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Housewares" sheetId="2" r:id="rId5"/>
    <sheet state="visible" name="Miscellaneous" sheetId="3" r:id="rId6"/>
    <sheet state="visible" name="Wall-mounted" sheetId="4" r:id="rId7"/>
    <sheet state="visible" name="Wallpaper" sheetId="5" r:id="rId8"/>
    <sheet state="visible" name="Floors" sheetId="6" r:id="rId9"/>
    <sheet state="visible" name="Rugs" sheetId="7" r:id="rId10"/>
    <sheet state="visible" name="Photos" sheetId="8" r:id="rId11"/>
    <sheet state="visible" name="Posters" sheetId="9" r:id="rId12"/>
    <sheet state="visible" name="Fencing" sheetId="10" r:id="rId13"/>
    <sheet state="visible" name="Tools" sheetId="11" r:id="rId14"/>
    <sheet state="visible" name="Tops" sheetId="12" r:id="rId15"/>
    <sheet state="visible" name="Bottoms" sheetId="13" r:id="rId16"/>
    <sheet state="visible" name="Dresses" sheetId="14" r:id="rId17"/>
    <sheet state="visible" name="Headwear" sheetId="15" r:id="rId18"/>
    <sheet state="visible" name="Accessories" sheetId="16" r:id="rId19"/>
    <sheet state="visible" name="Socks" sheetId="17" r:id="rId20"/>
    <sheet state="visible" name="Shoes" sheetId="18" r:id="rId21"/>
    <sheet state="visible" name="Bags" sheetId="19" r:id="rId22"/>
    <sheet state="visible" name="Umbrellas" sheetId="20" r:id="rId23"/>
    <sheet state="visible" name="Songs" sheetId="21" r:id="rId24"/>
    <sheet state="visible" name="Recipes" sheetId="22" r:id="rId25"/>
    <sheet state="visible" name="Bugs - North" sheetId="23" r:id="rId26"/>
    <sheet state="visible" name="Bugs - South" sheetId="24" r:id="rId27"/>
    <sheet state="visible" name="Fish - North" sheetId="25" r:id="rId28"/>
    <sheet state="visible" name="Fish - South" sheetId="26" r:id="rId29"/>
    <sheet state="visible" name="Fossils" sheetId="27" r:id="rId30"/>
    <sheet state="visible" name="Construction" sheetId="28" r:id="rId31"/>
    <sheet state="visible" name="Nook Miles" sheetId="29" r:id="rId32"/>
    <sheet state="visible" name="Achievements" sheetId="30" r:id="rId33"/>
    <sheet state="visible" name="Other" sheetId="31" r:id="rId34"/>
  </sheets>
  <definedNames>
    <definedName hidden="1" localSheetId="2" name="Z_11AB3FAE_053A_40A1_A322_CF1AF7514E6A_.wvu.FilterData">Miscellaneous!$A$1:$I$378</definedName>
    <definedName hidden="1" localSheetId="4" name="Z_11AB3FAE_053A_40A1_A322_CF1AF7514E6A_.wvu.FilterData">Wallpaper!$A$1:$G$245</definedName>
    <definedName hidden="1" localSheetId="5" name="Z_11AB3FAE_053A_40A1_A322_CF1AF7514E6A_.wvu.FilterData">Floors!$A$1:$G$174</definedName>
    <definedName hidden="1" localSheetId="6" name="Z_11AB3FAE_053A_40A1_A322_CF1AF7514E6A_.wvu.FilterData">Rugs!$A$1:$G$129</definedName>
    <definedName hidden="1" localSheetId="21" name="Z_11AB3FAE_053A_40A1_A322_CF1AF7514E6A_.wvu.FilterData">Recipes!$A$1:$I$594</definedName>
    <definedName hidden="1" localSheetId="30" name="Z_11AB3FAE_053A_40A1_A322_CF1AF7514E6A_.wvu.FilterData">Other!$A$1:$E$296</definedName>
  </definedNames>
  <calcPr/>
  <customWorkbookViews>
    <customWorkbookView activeSheetId="0" maximized="1" tabRatio="600" windowHeight="0" windowWidth="0" guid="{11AB3FAE-053A-40A1-A322-CF1AF7514E6A}" name="Filter 1"/>
  </customWorkbookViews>
</workbook>
</file>

<file path=xl/sharedStrings.xml><?xml version="1.0" encoding="utf-8"?>
<sst xmlns="http://schemas.openxmlformats.org/spreadsheetml/2006/main" count="73093" uniqueCount="6417">
  <si>
    <t>Name</t>
  </si>
  <si>
    <t>Image</t>
  </si>
  <si>
    <r>
      <t xml:space="preserve">Welcome to our item spreadsheet! This is a spreadsheet for collecting item information that anyone can contribute to and use (for-free or for-profit). This data is available for everyone but please link back to the sheet if you use the data on other platforms to provide credit to those who contributed.
This spreadsheet is mostly complete, but still a work in progress. Please notify us if you see a mistake or have info to add.
</t>
    </r>
    <r>
      <rPr>
        <b/>
      </rPr>
      <t>4/12 Update - Added lots of data, including IDs, precise source info, furniture size and interactions, and themes/styles for furniture and clothing. Large update regarding variants coming soon!</t>
    </r>
    <r>
      <t xml:space="preserve">
If you have spare time and would like to help out, we would wholeheartedly appreciate any extra hands, thanks!
If you want to contribute, you can either (any method is fine):
Join Discord and ask
Send request to edit via e-mail
Message user/acspreadsheet on Reddit</t>
    </r>
  </si>
  <si>
    <t>Variation</t>
  </si>
  <si>
    <t>DIY</t>
  </si>
  <si>
    <t>Customize</t>
  </si>
  <si>
    <t>Buy</t>
  </si>
  <si>
    <t>Sell</t>
  </si>
  <si>
    <t>Internal ID</t>
  </si>
  <si>
    <t>Theme / Room 1</t>
  </si>
  <si>
    <t>Theme / Room 2</t>
  </si>
  <si>
    <t>Series</t>
  </si>
  <si>
    <t>Size</t>
  </si>
  <si>
    <t>Num of kits to customize</t>
  </si>
  <si>
    <t>Sound quality</t>
  </si>
  <si>
    <t>Is equippable</t>
  </si>
  <si>
    <t>Is interactable</t>
  </si>
  <si>
    <t>Lighting</t>
  </si>
  <si>
    <t>Catalog</t>
  </si>
  <si>
    <t>Source</t>
  </si>
  <si>
    <t>Source notes</t>
  </si>
  <si>
    <t>Region restrictions</t>
  </si>
  <si>
    <t>Sources</t>
  </si>
  <si>
    <t>accessories stand</t>
  </si>
  <si>
    <t>Theme 1</t>
  </si>
  <si>
    <t>Contributors</t>
  </si>
  <si>
    <t xml:space="preserve">sneeze
6480
noizhub
Ricky
chaiinchomp
saberslime
robotic_scarab
mollumisc
sunmarsh 
kyrokey 
obstinateRixatrix
jackiwi
Zalex
SuperHamster
kait
hyuum
Azarro
Czarcasm
cinnamon_swirlix
astronomyfortwo
Welcius
</t>
  </si>
  <si>
    <t>Theme 2</t>
  </si>
  <si>
    <t>N</t>
  </si>
  <si>
    <t>Set</t>
  </si>
  <si>
    <t>Kit Costs</t>
  </si>
  <si>
    <t>Sound</t>
  </si>
  <si>
    <t>Interact</t>
  </si>
  <si>
    <t>Abbreviations/Spreadsheet Help</t>
  </si>
  <si>
    <t>Notes</t>
  </si>
  <si>
    <t>acoustic guitar</t>
  </si>
  <si>
    <t>Fancy</t>
  </si>
  <si>
    <t>Shop</t>
  </si>
  <si>
    <t>1x1</t>
  </si>
  <si>
    <t>No sound effects</t>
  </si>
  <si>
    <t>No</t>
  </si>
  <si>
    <t>No lighting</t>
  </si>
  <si>
    <t>NFS = Not for sale
NA = Not available or unsellable, you must trash items with NA in the sell tab instead of selling
VFX = Visual effects for wallpaper and flooring, such as animation</t>
  </si>
  <si>
    <t>For sale</t>
  </si>
  <si>
    <t>Nook's Cranny</t>
  </si>
  <si>
    <t>Available in the re-buyable slot in Nook's Cranny</t>
  </si>
  <si>
    <t>All Regions</t>
  </si>
  <si>
    <t>ACNH Nintendo Switch</t>
  </si>
  <si>
    <t>Nintendo</t>
  </si>
  <si>
    <t>agrias butterfly model</t>
  </si>
  <si>
    <t>Y</t>
  </si>
  <si>
    <t>NFS</t>
  </si>
  <si>
    <t>Music</t>
  </si>
  <si>
    <t>Yes</t>
  </si>
  <si>
    <t>Not for sale</t>
  </si>
  <si>
    <t>Crafting</t>
  </si>
  <si>
    <t>air circulator</t>
  </si>
  <si>
    <t>Flick</t>
  </si>
  <si>
    <t>Trade 3 insects to receive a model in the mail the next day</t>
  </si>
  <si>
    <t>aluminum briefcase</t>
  </si>
  <si>
    <t>Living Room</t>
  </si>
  <si>
    <t>Office</t>
  </si>
  <si>
    <t>Rich</t>
  </si>
  <si>
    <t>Available in Nook's Cranny (either upgrade tier) in the unique furniture slot</t>
  </si>
  <si>
    <t>alto saxophone</t>
  </si>
  <si>
    <t>Available in Nook's Cranny (upgraded only), in the third unique furniture slot</t>
  </si>
  <si>
    <t>amp</t>
  </si>
  <si>
    <t>Concert</t>
  </si>
  <si>
    <t>Available in Nook's Cranny (upgraded only), in the unique furniture slot</t>
  </si>
  <si>
    <t>anatomical model</t>
  </si>
  <si>
    <t>Body Title</t>
  </si>
  <si>
    <t>Pattern</t>
  </si>
  <si>
    <t>Pattern Title</t>
  </si>
  <si>
    <t>Kit Cost</t>
  </si>
  <si>
    <t>Version</t>
  </si>
  <si>
    <t>Lighting Type</t>
  </si>
  <si>
    <t>Filename</t>
  </si>
  <si>
    <t>Variant ID</t>
  </si>
  <si>
    <t>air conditioner</t>
  </si>
  <si>
    <t>analog kitchen scale</t>
  </si>
  <si>
    <t>School</t>
  </si>
  <si>
    <t>anchor statue</t>
  </si>
  <si>
    <t>White</t>
  </si>
  <si>
    <t>NA</t>
  </si>
  <si>
    <t>Sea</t>
  </si>
  <si>
    <t>Fishing Tourney</t>
  </si>
  <si>
    <t>Kitchen</t>
  </si>
  <si>
    <t>angled signpost</t>
  </si>
  <si>
    <t xml:space="preserve">2x1 </t>
  </si>
  <si>
    <t>1.0.0</t>
  </si>
  <si>
    <t>Facility</t>
  </si>
  <si>
    <t>FtrAirconditioner_Remake_0_0</t>
  </si>
  <si>
    <t>0_0</t>
  </si>
  <si>
    <t>anchovy model</t>
  </si>
  <si>
    <t>Gray</t>
  </si>
  <si>
    <t>Garden</t>
  </si>
  <si>
    <t>FtrAirconditioner_Remake_1_0</t>
  </si>
  <si>
    <t>1_0</t>
  </si>
  <si>
    <t>antique bed</t>
  </si>
  <si>
    <t>Black</t>
  </si>
  <si>
    <t>C.J.</t>
  </si>
  <si>
    <t>Trade 3 fish to receive a model in the mail the next day</t>
  </si>
  <si>
    <t>FtrAirconditioner_Remake_2_0</t>
  </si>
  <si>
    <t>2_0</t>
  </si>
  <si>
    <t>Antique</t>
  </si>
  <si>
    <t>angelfish model</t>
  </si>
  <si>
    <t>2x2</t>
  </si>
  <si>
    <t>Pink</t>
  </si>
  <si>
    <t>antique bureau</t>
  </si>
  <si>
    <t>FtrAirconditioner_Remake_3_0</t>
  </si>
  <si>
    <t>3_0</t>
  </si>
  <si>
    <t>ant farm</t>
  </si>
  <si>
    <t>Blue</t>
  </si>
  <si>
    <t>Childrens Room</t>
  </si>
  <si>
    <t>FtrAirconditioner_Remake_4_0</t>
  </si>
  <si>
    <t>4_0</t>
  </si>
  <si>
    <t>antique chair</t>
  </si>
  <si>
    <t>ant model</t>
  </si>
  <si>
    <t>Brown</t>
  </si>
  <si>
    <t>FtrAirconditioner_Remake_5_0</t>
  </si>
  <si>
    <t>5_0</t>
  </si>
  <si>
    <t>antique phone</t>
  </si>
  <si>
    <t>antique clock</t>
  </si>
  <si>
    <t xml:space="preserve">1x1 </t>
  </si>
  <si>
    <t>anthurium plant</t>
  </si>
  <si>
    <t>FtrAntiquePhoneW_Remake_0_0</t>
  </si>
  <si>
    <t>Natural</t>
  </si>
  <si>
    <t>FtrAntiquePhoneW_Remake_1_0</t>
  </si>
  <si>
    <t>arapaima model</t>
  </si>
  <si>
    <t>antique console table</t>
  </si>
  <si>
    <t>2x1</t>
  </si>
  <si>
    <t>aroma pot</t>
  </si>
  <si>
    <t>FtrAntiquePhoneW_Remake_2_0</t>
  </si>
  <si>
    <t>autograph cards</t>
  </si>
  <si>
    <t>Signature</t>
  </si>
  <si>
    <t>Musician's signature</t>
  </si>
  <si>
    <t>Study</t>
  </si>
  <si>
    <t>FtrAutograph_Remake_0_0</t>
  </si>
  <si>
    <t>Comedian's signature</t>
  </si>
  <si>
    <t>arowana model</t>
  </si>
  <si>
    <t>FtrAutograph_Remake_0_1</t>
  </si>
  <si>
    <t>0_1</t>
  </si>
  <si>
    <t>antique mini table</t>
  </si>
  <si>
    <t>Handprints</t>
  </si>
  <si>
    <t>Baby bear</t>
  </si>
  <si>
    <t>FtrAutograph_Remake_1_0</t>
  </si>
  <si>
    <t>Baby panda</t>
  </si>
  <si>
    <t>FtrAutograph_Remake_1_1</t>
  </si>
  <si>
    <t>1_1</t>
  </si>
  <si>
    <t>antique table</t>
  </si>
  <si>
    <t>bagworm model</t>
  </si>
  <si>
    <t>Illustration</t>
  </si>
  <si>
    <t>FtrAutograph_Remake_2_0</t>
  </si>
  <si>
    <t>ball</t>
  </si>
  <si>
    <t>FtrAutograph_Remake_2_1</t>
  </si>
  <si>
    <t>2_1</t>
  </si>
  <si>
    <t>Fitness</t>
  </si>
  <si>
    <t>Words of wisdom</t>
  </si>
  <si>
    <t>antique vanity</t>
  </si>
  <si>
    <t>bamboo candleholder</t>
  </si>
  <si>
    <t>FtrAutograph_Remake_3_0</t>
  </si>
  <si>
    <t>Oriental</t>
  </si>
  <si>
    <t>FtrAutograph_Remake_3_1</t>
  </si>
  <si>
    <t>3_1</t>
  </si>
  <si>
    <t>Candle</t>
  </si>
  <si>
    <t>bamboo drum</t>
  </si>
  <si>
    <t>antique wardrobe</t>
  </si>
  <si>
    <t>bamboo lunch box</t>
  </si>
  <si>
    <t>bamboo wall decoration</t>
  </si>
  <si>
    <t>Green bamboo</t>
  </si>
  <si>
    <t>Bamboo</t>
  </si>
  <si>
    <t xml:space="preserve">0.5x1 </t>
  </si>
  <si>
    <t>Spring seasonal DIY using bamboo (from bamboo trees)</t>
  </si>
  <si>
    <t>FtrBambooFlowerwall_Remake_0_0</t>
  </si>
  <si>
    <t>bamboo sphere</t>
  </si>
  <si>
    <t>Dried bamboo</t>
  </si>
  <si>
    <t>FtrBambooFlowerwall_Remake_1_0</t>
  </si>
  <si>
    <t>apple chair</t>
  </si>
  <si>
    <t>Smoke-cured bamboo</t>
  </si>
  <si>
    <t>FtrBambooFlowerwall_Remake_2_0</t>
  </si>
  <si>
    <t>bathroom towel rack</t>
  </si>
  <si>
    <t>bamboo-shoot lamp</t>
  </si>
  <si>
    <t>Silver</t>
  </si>
  <si>
    <t>Bathroom</t>
  </si>
  <si>
    <t>Shower</t>
  </si>
  <si>
    <t>FtrTowelrackWall_Remake_0_0</t>
  </si>
  <si>
    <t>Floor lamp</t>
  </si>
  <si>
    <t>Gold</t>
  </si>
  <si>
    <t>barred knifejaw model</t>
  </si>
  <si>
    <t>FtrTowelrackWall_Remake_1_0</t>
  </si>
  <si>
    <t>Copper</t>
  </si>
  <si>
    <t>FtrTowelrackWall_Remake_2_0</t>
  </si>
  <si>
    <t>barreleye model</t>
  </si>
  <si>
    <t>FtrTowelrackWall_Remake_3_0</t>
  </si>
  <si>
    <t>blue rose wreath</t>
  </si>
  <si>
    <t>Aquarius urn</t>
  </si>
  <si>
    <t>FtrDoorOrnamentWreathRoseUltraRare</t>
  </si>
  <si>
    <t>bone doorplate</t>
  </si>
  <si>
    <t>beach ball</t>
  </si>
  <si>
    <t>Color</t>
  </si>
  <si>
    <t>FtrDoorPlateBone_Remake_0_0</t>
  </si>
  <si>
    <t>FtrDoorPlateBone_Remake_1_0</t>
  </si>
  <si>
    <t>Available in all tiers of shops, including Timmy &amp; Tommy before the shop is opened</t>
  </si>
  <si>
    <t>bell cricket model</t>
  </si>
  <si>
    <t>FtrDoorPlateBone_Remake_2_0</t>
  </si>
  <si>
    <t>arcade combat game</t>
  </si>
  <si>
    <t>FtrDoorPlateBone_Remake_3_0</t>
  </si>
  <si>
    <t>betta model</t>
  </si>
  <si>
    <t>Red</t>
  </si>
  <si>
    <t>FtrDoorPlateBone_Remake_4_0</t>
  </si>
  <si>
    <t>bingo wheel</t>
  </si>
  <si>
    <t>Yellow</t>
  </si>
  <si>
    <t>Party</t>
  </si>
  <si>
    <t>FtrDoorPlateBone_Remake_5_0</t>
  </si>
  <si>
    <t>birthday cake</t>
  </si>
  <si>
    <t>Monitor</t>
  </si>
  <si>
    <t>arcade fighting game</t>
  </si>
  <si>
    <t>FtrDoorPlateBone_Remake_6_0</t>
  </si>
  <si>
    <t>6_0</t>
  </si>
  <si>
    <t>Natural wood</t>
  </si>
  <si>
    <t>Birthday</t>
  </si>
  <si>
    <t>birthday candles</t>
  </si>
  <si>
    <t>FtrDoorPlateBone_Remake_7_0</t>
  </si>
  <si>
    <t>7_0</t>
  </si>
  <si>
    <t>boomerang</t>
  </si>
  <si>
    <t>Design</t>
  </si>
  <si>
    <t xml:space="preserve">1x0.5 </t>
  </si>
  <si>
    <t>bitterling model</t>
  </si>
  <si>
    <t>FtrBoomerang_Remake_0_0</t>
  </si>
  <si>
    <t>arcade mahjong game</t>
  </si>
  <si>
    <t>Green &amp; orange</t>
  </si>
  <si>
    <t>FtrBoomerang_Remake_1_0</t>
  </si>
  <si>
    <t>black bass model</t>
  </si>
  <si>
    <t>Dark brown</t>
  </si>
  <si>
    <t>FtrBoomerang_Remake_2_0</t>
  </si>
  <si>
    <t>blowfish model</t>
  </si>
  <si>
    <t>Red &amp; black</t>
  </si>
  <si>
    <t>FtrBoomerang_Remake_3_0</t>
  </si>
  <si>
    <t>White &amp; blue</t>
  </si>
  <si>
    <t>blue marlin model</t>
  </si>
  <si>
    <t>arcade seat</t>
  </si>
  <si>
    <t>FtrBoomerang_Remake_4_0</t>
  </si>
  <si>
    <t>breaker</t>
  </si>
  <si>
    <t>Garage</t>
  </si>
  <si>
    <t>FtrBreaker</t>
  </si>
  <si>
    <t>bronze HHA plaque</t>
  </si>
  <si>
    <t>blue weevil beetle model</t>
  </si>
  <si>
    <t>HHA</t>
  </si>
  <si>
    <t>FtrShieldHhaBronze</t>
  </si>
  <si>
    <t>broom and dustpan</t>
  </si>
  <si>
    <t>Aries rocking chair</t>
  </si>
  <si>
    <t xml:space="preserve">1x1.5 </t>
  </si>
  <si>
    <t>FtrCleaningset_Remake_0_0</t>
  </si>
  <si>
    <t>bluegill model</t>
  </si>
  <si>
    <t>FtrCleaningset_Remake_1_0</t>
  </si>
  <si>
    <t>artisanal bug cage</t>
  </si>
  <si>
    <t>FtrCleaningset_Remake_2_0</t>
  </si>
  <si>
    <t>board game</t>
  </si>
  <si>
    <t>Colorful</t>
  </si>
  <si>
    <t>FtrCleaningset_Remake_3_0</t>
  </si>
  <si>
    <t>Bunny Day glowy garland</t>
  </si>
  <si>
    <t/>
  </si>
  <si>
    <t>1.1.0</t>
  </si>
  <si>
    <t>Bunny Day wall clock</t>
  </si>
  <si>
    <t>Bug-Off</t>
  </si>
  <si>
    <t>asteroid</t>
  </si>
  <si>
    <t>Bunny Day wreath</t>
  </si>
  <si>
    <t>book</t>
  </si>
  <si>
    <t>butterfly-fish model</t>
  </si>
  <si>
    <t>Space</t>
  </si>
  <si>
    <t>FtrFishChouchouuoWall</t>
  </si>
  <si>
    <t>cherry lamp</t>
  </si>
  <si>
    <t>astronaut suit</t>
  </si>
  <si>
    <t>book stands</t>
  </si>
  <si>
    <t>Cherry</t>
  </si>
  <si>
    <t>Fruit type</t>
  </si>
  <si>
    <t>FtrFruitsLampW_Remake_0_0</t>
  </si>
  <si>
    <t>Black cherry</t>
  </si>
  <si>
    <t>FtrFruitsLampW_Remake_1_0</t>
  </si>
  <si>
    <t>cherry-blossom clock</t>
  </si>
  <si>
    <t>automatic washer</t>
  </si>
  <si>
    <t>bottled ship</t>
  </si>
  <si>
    <t>Cherry blossom seasonal DIY using cherry-blossom petals (caught with net)</t>
  </si>
  <si>
    <t>FtrSakuraClockW_Remake_0_0</t>
  </si>
  <si>
    <t>Folkcraft</t>
  </si>
  <si>
    <t>Pink-white</t>
  </si>
  <si>
    <t>baby chair</t>
  </si>
  <si>
    <t>FtrSakuraClockW_Remake_1_0</t>
  </si>
  <si>
    <t>brine-shrimp aquarium</t>
  </si>
  <si>
    <t>chic cosmos wreath</t>
  </si>
  <si>
    <t>FtrDoorOrnamentWreathCosmosRare</t>
  </si>
  <si>
    <t>chic windflower wreath</t>
  </si>
  <si>
    <t>bronze bug trophy</t>
  </si>
  <si>
    <t>FtrDoorOrnamentWreathAnemoneRare</t>
  </si>
  <si>
    <t>coconut wall planter</t>
  </si>
  <si>
    <t>bamboo basket</t>
  </si>
  <si>
    <t>FtrPlanterPalm</t>
  </si>
  <si>
    <t>cool hyacinth wreath</t>
  </si>
  <si>
    <t>FtrDoorOrnamentWreathHyacinthMix</t>
  </si>
  <si>
    <t>cool pansy wreath</t>
  </si>
  <si>
    <t>bronze fish trophy</t>
  </si>
  <si>
    <t>bamboo bench</t>
  </si>
  <si>
    <t>FtrDoorOrnamentWreathPansyRare</t>
  </si>
  <si>
    <t>cool windflower wreath</t>
  </si>
  <si>
    <t>FtrDoorOrnamentWreathAnemoneMix</t>
  </si>
  <si>
    <t>corkboard</t>
  </si>
  <si>
    <t>bronze HHA trophy</t>
  </si>
  <si>
    <t>Apple</t>
  </si>
  <si>
    <t>Favorite card</t>
  </si>
  <si>
    <t>bamboo doll</t>
  </si>
  <si>
    <t>FtrCorkboard_Remake_0_0</t>
  </si>
  <si>
    <t>Fish</t>
  </si>
  <si>
    <t>FtrCorkboard_Remake_0_1</t>
  </si>
  <si>
    <t>brown cicada model</t>
  </si>
  <si>
    <t>Flower</t>
  </si>
  <si>
    <t>bamboo floor lamp</t>
  </si>
  <si>
    <t>FtrCorkboard_Remake_0_2</t>
  </si>
  <si>
    <t>0_2</t>
  </si>
  <si>
    <t>Bunny Day basket</t>
  </si>
  <si>
    <t>FtrCorkboard_Remake_1_0</t>
  </si>
  <si>
    <t>FtrCorkboard_Remake_1_1</t>
  </si>
  <si>
    <t>bamboo noodle slide</t>
  </si>
  <si>
    <t>Bunny Day</t>
  </si>
  <si>
    <t>From Zipper</t>
  </si>
  <si>
    <t>Bunny Day lamp</t>
  </si>
  <si>
    <t>FtrCorkboard_Remake_1_2</t>
  </si>
  <si>
    <t>1_2</t>
  </si>
  <si>
    <t>3x1</t>
  </si>
  <si>
    <t>FtrCorkboard_Remake_2_0</t>
  </si>
  <si>
    <t>butterfly fish model</t>
  </si>
  <si>
    <t>bamboo partition</t>
  </si>
  <si>
    <t>FtrCorkboard_Remake_2_1</t>
  </si>
  <si>
    <t>2x0.5</t>
  </si>
  <si>
    <t>FtrCorkboard_Remake_2_2</t>
  </si>
  <si>
    <t>camp stove</t>
  </si>
  <si>
    <t>2_2</t>
  </si>
  <si>
    <t>bamboo shelf</t>
  </si>
  <si>
    <t>bamboo speaker</t>
  </si>
  <si>
    <t>Outdoor</t>
  </si>
  <si>
    <t>Retro</t>
  </si>
  <si>
    <t>bamboo stool</t>
  </si>
  <si>
    <t>candle</t>
  </si>
  <si>
    <t>cosmos wreath</t>
  </si>
  <si>
    <t>FtrDoorOrnamentWreathCosmos</t>
  </si>
  <si>
    <t>crest doorplate</t>
  </si>
  <si>
    <t>bamboo stopblock</t>
  </si>
  <si>
    <t>Horror</t>
  </si>
  <si>
    <t>FtrDoorOrnamentCrest_Remake_0_0</t>
  </si>
  <si>
    <t>cardboard box</t>
  </si>
  <si>
    <t>1x0.5</t>
  </si>
  <si>
    <t>barbecue</t>
  </si>
  <si>
    <t>Gold &amp; silver</t>
  </si>
  <si>
    <t>FtrDoorOrnamentCrest_Remake_1_0</t>
  </si>
  <si>
    <t>Silver &amp; blue</t>
  </si>
  <si>
    <t>FtrDoorOrnamentCrest_Remake_2_0</t>
  </si>
  <si>
    <t>carp model</t>
  </si>
  <si>
    <t>barbell</t>
  </si>
  <si>
    <t>Red &amp; white</t>
  </si>
  <si>
    <t>FtrDoorOrnamentCrest_Remake_3_0</t>
  </si>
  <si>
    <t>Silver &amp; green</t>
  </si>
  <si>
    <t>FtrDoorOrnamentCrest_Remake_4_0</t>
  </si>
  <si>
    <t>cartoonist's set</t>
  </si>
  <si>
    <t>barrel</t>
  </si>
  <si>
    <t>FtrDoorOrnamentCrest_Remake_5_0</t>
  </si>
  <si>
    <t>cuckoo clock</t>
  </si>
  <si>
    <t>Emission</t>
  </si>
  <si>
    <t>FtrCuckooclock_Remake_0_0</t>
  </si>
  <si>
    <t>cassette player</t>
  </si>
  <si>
    <t>basic teacher's desk</t>
  </si>
  <si>
    <t>Green</t>
  </si>
  <si>
    <t>FtrCuckooclock_Remake_1_0</t>
  </si>
  <si>
    <t>Cheap</t>
  </si>
  <si>
    <t>FtrCuckooclock_Remake_2_0</t>
  </si>
  <si>
    <t>cat grass</t>
  </si>
  <si>
    <t>basketball hoop</t>
  </si>
  <si>
    <t>FtrCuckooclock_Remake_3_0</t>
  </si>
  <si>
    <t>FtrCuckooclock_Remake_4_0</t>
  </si>
  <si>
    <t>catfish model</t>
  </si>
  <si>
    <t>bathroom sink</t>
  </si>
  <si>
    <t>FtrCuckooclock_Remake_5_0</t>
  </si>
  <si>
    <t>celebratory candles</t>
  </si>
  <si>
    <t>FtrCuckooclock_Remake_6_0</t>
  </si>
  <si>
    <t>cute wall-mounted clock</t>
  </si>
  <si>
    <t>beach chair</t>
  </si>
  <si>
    <t>Cute</t>
  </si>
  <si>
    <t>FtrCuteClockW_Remake_0_0</t>
  </si>
  <si>
    <t>Season sale item</t>
  </si>
  <si>
    <t>Not in Europe</t>
  </si>
  <si>
    <t>centipede model</t>
  </si>
  <si>
    <t>Sky blue</t>
  </si>
  <si>
    <t>FtrCuteClockW_Remake_1_0</t>
  </si>
  <si>
    <t>beach towel</t>
  </si>
  <si>
    <t>FtrCuteClockW_Remake_2_0</t>
  </si>
  <si>
    <t>char model</t>
  </si>
  <si>
    <t>FtrCuteClockW_Remake_3_0</t>
  </si>
  <si>
    <t>FtrCuteClockW_Remake_4_0</t>
  </si>
  <si>
    <t>dark lily wreath</t>
  </si>
  <si>
    <t>beekeeper's hive</t>
  </si>
  <si>
    <t>FtrDoorOrnamentWreathYuriRare</t>
  </si>
  <si>
    <t>cherry salmon model</t>
  </si>
  <si>
    <t>dark rose wreath</t>
  </si>
  <si>
    <t>FtrDoorOrnamentWreathRoseRare</t>
  </si>
  <si>
    <t>dark tulip wreath</t>
  </si>
  <si>
    <t>FtrDoorOrnamentWreathTulipRare</t>
  </si>
  <si>
    <t>deer decoration</t>
  </si>
  <si>
    <t>bidet</t>
  </si>
  <si>
    <t>cherry speakers</t>
  </si>
  <si>
    <t>Paint color</t>
  </si>
  <si>
    <t>FtrHuntingtrophy_Remake_0_0</t>
  </si>
  <si>
    <t>Ash</t>
  </si>
  <si>
    <t>FtrHuntingtrophy_Remake_1_0</t>
  </si>
  <si>
    <t>Ivory</t>
  </si>
  <si>
    <t>big festive tree</t>
  </si>
  <si>
    <t>FtrHuntingtrophy_Remake_2_0</t>
  </si>
  <si>
    <t>cherry-blossom bonsai</t>
  </si>
  <si>
    <t>FtrHuntingtrophy_Remake_3_0</t>
  </si>
  <si>
    <t>FtrHuntingtrophy_Remake_4_0</t>
  </si>
  <si>
    <t>diner neon clock</t>
  </si>
  <si>
    <t>Festive seasonal DIY using ornaments (from shaking trees)</t>
  </si>
  <si>
    <t>chessboard</t>
  </si>
  <si>
    <t>billiard table</t>
  </si>
  <si>
    <t>Red lines</t>
  </si>
  <si>
    <t>Clock face</t>
  </si>
  <si>
    <t>American Retro</t>
  </si>
  <si>
    <t>FtrAmeretroClock_Remake_0_0</t>
  </si>
  <si>
    <t>Blue bee</t>
  </si>
  <si>
    <t>FtrAmeretroClock_Remake_0_1</t>
  </si>
  <si>
    <t>cicada shell model</t>
  </si>
  <si>
    <t>B &amp; W numeral</t>
  </si>
  <si>
    <t>birdbath</t>
  </si>
  <si>
    <t>FtrAmeretroClock_Remake_0_2</t>
  </si>
  <si>
    <t>FtrAmeretroClock_Remake_1_0</t>
  </si>
  <si>
    <t>citrus long-horned beetle model</t>
  </si>
  <si>
    <t>FtrAmeretroClock_Remake_1_1</t>
  </si>
  <si>
    <t>birdcage</t>
  </si>
  <si>
    <t>classic pitcher</t>
  </si>
  <si>
    <t>FtrAmeretroClock_Remake_1_2</t>
  </si>
  <si>
    <t>FtrAmeretroClock_Remake_2_0</t>
  </si>
  <si>
    <t>birdhouse</t>
  </si>
  <si>
    <t>FtrAmeretroClock_Remake_2_1</t>
  </si>
  <si>
    <t>FtrAmeretroClock_Remake_2_2</t>
  </si>
  <si>
    <t>Sapphire</t>
  </si>
  <si>
    <t>clown fish model</t>
  </si>
  <si>
    <t>FtrAmeretroClock_Remake_3_0</t>
  </si>
  <si>
    <t>birthday sign</t>
  </si>
  <si>
    <t>FtrAmeretroClock_Remake_3_1</t>
  </si>
  <si>
    <t>FtrAmeretroClock_Remake_3_2</t>
  </si>
  <si>
    <t>3_2</t>
  </si>
  <si>
    <t>coconut juice</t>
  </si>
  <si>
    <t>FtrAmeretroClock_Remake_4_0</t>
  </si>
  <si>
    <t>FtrAmeretroClock_Remake_4_1</t>
  </si>
  <si>
    <t>4_1</t>
  </si>
  <si>
    <t>birthday table</t>
  </si>
  <si>
    <t>FtrAmeretroClock_Remake_4_2</t>
  </si>
  <si>
    <t>4_2</t>
  </si>
  <si>
    <t>coelacanth model</t>
  </si>
  <si>
    <t>Cream</t>
  </si>
  <si>
    <t>FtrAmeretroClock_Remake_5_0</t>
  </si>
  <si>
    <t>blossom-viewing lantern</t>
  </si>
  <si>
    <t>FtrAmeretroClock_Remake_5_1</t>
  </si>
  <si>
    <t>5_1</t>
  </si>
  <si>
    <t>coffee cup</t>
  </si>
  <si>
    <t>FtrAmeretroClock_Remake_5_2</t>
  </si>
  <si>
    <t>5_2</t>
  </si>
  <si>
    <t>Purple</t>
  </si>
  <si>
    <t>blue corner</t>
  </si>
  <si>
    <t>FtrAmeretroClock_Remake_6_0</t>
  </si>
  <si>
    <t>coffee grinder</t>
  </si>
  <si>
    <t>FtrAmeretroClock_Remake_6_1</t>
  </si>
  <si>
    <t>6_1</t>
  </si>
  <si>
    <t>FtrAmeretroClock_Remake_6_2</t>
  </si>
  <si>
    <t>6_2</t>
  </si>
  <si>
    <t>common bluebottle model</t>
  </si>
  <si>
    <t>bonfire</t>
  </si>
  <si>
    <t>common butterfly model</t>
  </si>
  <si>
    <t>bonsai shelf</t>
  </si>
  <si>
    <t>double-sided wall clock</t>
  </si>
  <si>
    <t>FtrBothsideclockWall_Remake_0_0</t>
  </si>
  <si>
    <t>cooler box</t>
  </si>
  <si>
    <t>FtrBothsideclockWall_Remake_1_0</t>
  </si>
  <si>
    <t>box corner sofa</t>
  </si>
  <si>
    <t>FtrBothsideclockWall_Remake_2_0</t>
  </si>
  <si>
    <t>cordless phone</t>
  </si>
  <si>
    <t>FtrBothsideclockWall_Remake_3_0</t>
  </si>
  <si>
    <t>Box Sofa</t>
  </si>
  <si>
    <t>FtrBothsideclockWall_Remake_4_0</t>
  </si>
  <si>
    <t>box sofa</t>
  </si>
  <si>
    <t>FtrBothsideclockWall_Remake_5_0</t>
  </si>
  <si>
    <t>exit sign</t>
  </si>
  <si>
    <t>crawfish model</t>
  </si>
  <si>
    <t>←</t>
  </si>
  <si>
    <t>FtrExit_Remake_0_0</t>
  </si>
  <si>
    <t>Brake Tapper</t>
  </si>
  <si>
    <t>cream and sugar</t>
  </si>
  <si>
    <t>→</t>
  </si>
  <si>
    <t>FtrExit_Remake_1_0</t>
  </si>
  <si>
    <t>Not in catalog</t>
  </si>
  <si>
    <t>Pocket Camp</t>
  </si>
  <si>
    <t>brick oven</t>
  </si>
  <si>
    <t>Red exit</t>
  </si>
  <si>
    <t>cricket model</t>
  </si>
  <si>
    <t>FtrExit_Remake_2_0</t>
  </si>
  <si>
    <t>← →</t>
  </si>
  <si>
    <t>FtrExit_Remake_3_0</t>
  </si>
  <si>
    <t>fancy lily wreath</t>
  </si>
  <si>
    <t>crucian carp model</t>
  </si>
  <si>
    <t>1.5x1.5</t>
  </si>
  <si>
    <t>FtrDoorOrnamentWreathYuriMix</t>
  </si>
  <si>
    <t>fancy mum wreath</t>
  </si>
  <si>
    <t>brick well</t>
  </si>
  <si>
    <t>FtrDoorOrnamentWreathMumMix</t>
  </si>
  <si>
    <t>cushion</t>
  </si>
  <si>
    <t>fancy rose wreath</t>
  </si>
  <si>
    <t>FtrDoorOrnamentWreathRoseMix</t>
  </si>
  <si>
    <t>fish doorplate</t>
  </si>
  <si>
    <t>Light blue</t>
  </si>
  <si>
    <t>Nook Miles Shop</t>
  </si>
  <si>
    <t>bunk bed</t>
  </si>
  <si>
    <t>FtrDoorOrnamentFish_Remake_0_0</t>
  </si>
  <si>
    <t>cute music player</t>
  </si>
  <si>
    <t>FtrDoorOrnamentFish_Remake_1_0</t>
  </si>
  <si>
    <t>Orange</t>
  </si>
  <si>
    <t>FtrDoorOrnamentFish_Remake_2_0</t>
  </si>
  <si>
    <t>FtrDoorOrnamentFish_Remake_3_0</t>
  </si>
  <si>
    <t>Bunny Day arch</t>
  </si>
  <si>
    <t>FtrDoorOrnamentFish_Remake_4_0</t>
  </si>
  <si>
    <t>cutting board</t>
  </si>
  <si>
    <t>FtrDoorOrnamentFish_Remake_5_0</t>
  </si>
  <si>
    <t>FtrDoorOrnamentFish_Remake_6_0</t>
  </si>
  <si>
    <t>Bunny Day bed</t>
  </si>
  <si>
    <t>FtrDoorOrnamentFish_Remake_7_0</t>
  </si>
  <si>
    <t>fish print</t>
  </si>
  <si>
    <t>Giant trevally</t>
  </si>
  <si>
    <t>FtrFishprint_Remake_0_0</t>
  </si>
  <si>
    <t>Red snapper</t>
  </si>
  <si>
    <t>cyclommatus stag model</t>
  </si>
  <si>
    <t>FtrFishprint_Remake_1_0</t>
  </si>
  <si>
    <t>Bunny Day festive balloons</t>
  </si>
  <si>
    <t>Blue marlin</t>
  </si>
  <si>
    <t>FtrFishprint_Remake_2_0</t>
  </si>
  <si>
    <t>Squid</t>
  </si>
  <si>
    <t>dab model</t>
  </si>
  <si>
    <t>FtrFishprint_Remake_3_0</t>
  </si>
  <si>
    <t>Bunny Day merry balloons</t>
  </si>
  <si>
    <t>Black bass</t>
  </si>
  <si>
    <t>FtrFishprint_Remake_4_0</t>
  </si>
  <si>
    <t>Carp</t>
  </si>
  <si>
    <t>FtrFishprint_Remake_5_0</t>
  </si>
  <si>
    <t>Giant snakehead</t>
  </si>
  <si>
    <t>FtrFishprint_Remake_6_0</t>
  </si>
  <si>
    <t>dace model</t>
  </si>
  <si>
    <t>fishing-boat flag</t>
  </si>
  <si>
    <t>Bunny Day stool</t>
  </si>
  <si>
    <t>Nintenmaru - Big Catch</t>
  </si>
  <si>
    <t xml:space="preserve">2x1.5 </t>
  </si>
  <si>
    <t>FtrBigcatchflag_Remake_0_0</t>
  </si>
  <si>
    <t>Tsurukamemaru - Longevity</t>
  </si>
  <si>
    <t>FtrBigcatchflag_Remake_1_0</t>
  </si>
  <si>
    <t>Marufukumaru - Bounty</t>
  </si>
  <si>
    <t>DAL model plane</t>
  </si>
  <si>
    <t>Bunny Day table</t>
  </si>
  <si>
    <t>FtrBigcatchflag_Remake_2_0</t>
  </si>
  <si>
    <t>Uomasamaru III - Launch</t>
  </si>
  <si>
    <t>Dodo Airlines</t>
  </si>
  <si>
    <t>FtrBigcatchflag_Remake_3_0</t>
  </si>
  <si>
    <t>Received in mail from DAL after taking certain numbers of flights</t>
  </si>
  <si>
    <t>floral swag</t>
  </si>
  <si>
    <t>DAL mug</t>
  </si>
  <si>
    <t>Bunny Day vanity</t>
  </si>
  <si>
    <t>FtrFlowerSwag_Remake_0_0</t>
  </si>
  <si>
    <t>FtrFlowerSwag_Remake_1_0</t>
  </si>
  <si>
    <t>Dala horse</t>
  </si>
  <si>
    <t>Bunny Day wardrobe</t>
  </si>
  <si>
    <t>FtrFlowerSwag_Remake_2_0</t>
  </si>
  <si>
    <t>Gulliver</t>
  </si>
  <si>
    <t>damselfly model</t>
  </si>
  <si>
    <t>FtrFlowerSwag_Remake_3_0</t>
  </si>
  <si>
    <t>butter churn</t>
  </si>
  <si>
    <t>FtrFlowerSwag_Remake_4_0</t>
  </si>
  <si>
    <t>formal paper</t>
  </si>
  <si>
    <t>darner dragonfly model</t>
  </si>
  <si>
    <t>FtrTestimonial_Remake_0_0</t>
  </si>
  <si>
    <t>Light brown</t>
  </si>
  <si>
    <t>FtrTestimonial_Remake_1_0</t>
  </si>
  <si>
    <t>decoy duck</t>
  </si>
  <si>
    <t>FtrTestimonial_Remake_2_0</t>
  </si>
  <si>
    <t>fossil doorplate</t>
  </si>
  <si>
    <t>cacao tree</t>
  </si>
  <si>
    <t>FtrDoorOrnamentFossil_Remake_0_0</t>
  </si>
  <si>
    <t>desk mirror</t>
  </si>
  <si>
    <t>FtrDoorOrnamentFossil_Remake_1_0</t>
  </si>
  <si>
    <t>fruit wreath</t>
  </si>
  <si>
    <t>campfire</t>
  </si>
  <si>
    <t>FtrDoorOrnamentWreathFruit</t>
  </si>
  <si>
    <t>gears</t>
  </si>
  <si>
    <t>desktop computer</t>
  </si>
  <si>
    <t>FtrGearWall_Remake_0_0</t>
  </si>
  <si>
    <t>digital alarm clock</t>
  </si>
  <si>
    <t>campfire cookware</t>
  </si>
  <si>
    <t>FtrGearWall_Remake_1_0</t>
  </si>
  <si>
    <t>dinnerware</t>
  </si>
  <si>
    <t>FtrGearWall_Remake_2_0</t>
  </si>
  <si>
    <t>camping cot</t>
  </si>
  <si>
    <t>FtrGearWall_Remake_3_0</t>
  </si>
  <si>
    <t>dish-drying rack</t>
  </si>
  <si>
    <t>Wooden</t>
  </si>
  <si>
    <t>FtrGearWall_Remake_4_0</t>
  </si>
  <si>
    <t>gold HHA plaque</t>
  </si>
  <si>
    <t>Starting items</t>
  </si>
  <si>
    <t>campsite sign</t>
  </si>
  <si>
    <t>FtrShieldHhaGold</t>
  </si>
  <si>
    <t>diving beetle model</t>
  </si>
  <si>
    <t>gold rose wreath</t>
  </si>
  <si>
    <t>Cancer table</t>
  </si>
  <si>
    <t>FtrDoorOrnamentWreathRoseGold</t>
  </si>
  <si>
    <t>golden gears</t>
  </si>
  <si>
    <t>document stack</t>
  </si>
  <si>
    <t>FtrGearWallGold</t>
  </si>
  <si>
    <t>grasshopper-head model</t>
  </si>
  <si>
    <t>candy machine</t>
  </si>
  <si>
    <t>FtrInsectTonosamabattaFace</t>
  </si>
  <si>
    <t>hanging scroll</t>
  </si>
  <si>
    <t>Calligraphy</t>
  </si>
  <si>
    <t xml:space="preserve">1x2 </t>
  </si>
  <si>
    <t>dolly</t>
  </si>
  <si>
    <t>FtrHangingscroll_Remake_0_0</t>
  </si>
  <si>
    <t>Capricorn ornament</t>
  </si>
  <si>
    <t>Mountains</t>
  </si>
  <si>
    <t>FtrHangingscroll_Remake_0_1</t>
  </si>
  <si>
    <t>FtrHangingscroll_Remake_0_2</t>
  </si>
  <si>
    <t>dorado model</t>
  </si>
  <si>
    <t>cardboard bed</t>
  </si>
  <si>
    <t>Bird</t>
  </si>
  <si>
    <t>FtrHangingscroll_Remake_0_3</t>
  </si>
  <si>
    <t>0_3</t>
  </si>
  <si>
    <t>FtrHangingscroll_Remake_0_4</t>
  </si>
  <si>
    <t>0_4</t>
  </si>
  <si>
    <t>drone beetle model</t>
  </si>
  <si>
    <t>cardboard chair</t>
  </si>
  <si>
    <t>FtrHangingscroll_Remake_1_0</t>
  </si>
  <si>
    <t>dung beetle model</t>
  </si>
  <si>
    <t>FtrHangingscroll_Remake_1_1</t>
  </si>
  <si>
    <t>cardboard sofa</t>
  </si>
  <si>
    <t>FtrHangingscroll_Remake_1_2</t>
  </si>
  <si>
    <t>earth-boring dung beetle model</t>
  </si>
  <si>
    <t>FtrHangingscroll_Remake_1_3</t>
  </si>
  <si>
    <t>1_3</t>
  </si>
  <si>
    <t>cardboard table</t>
  </si>
  <si>
    <t>FtrHangingscroll_Remake_1_4</t>
  </si>
  <si>
    <t>1_4</t>
  </si>
  <si>
    <t>electronics kit</t>
  </si>
  <si>
    <t>FtrHangingscroll_Remake_2_0</t>
  </si>
  <si>
    <t>cat tower</t>
  </si>
  <si>
    <t>FtrHangingscroll_Remake_2_1</t>
  </si>
  <si>
    <t>emperor butterfly model</t>
  </si>
  <si>
    <t>FtrHangingscroll_Remake_2_2</t>
  </si>
  <si>
    <t>cello</t>
  </si>
  <si>
    <t>FtrHangingscroll_Remake_2_3</t>
  </si>
  <si>
    <t>2_3</t>
  </si>
  <si>
    <t>FtrHangingscroll_Remake_2_4</t>
  </si>
  <si>
    <t>2_4</t>
  </si>
  <si>
    <t>espresso maker</t>
  </si>
  <si>
    <t>chalkboard</t>
  </si>
  <si>
    <t>FtrHangingscroll_Remake_3_0</t>
  </si>
  <si>
    <t>FtrHangingscroll_Remake_3_1</t>
  </si>
  <si>
    <t>champion's pennant</t>
  </si>
  <si>
    <t>essay set</t>
  </si>
  <si>
    <t>FtrHangingscroll_Remake_3_2</t>
  </si>
  <si>
    <t>FtrHangingscroll_Remake_3_3</t>
  </si>
  <si>
    <t>3_3</t>
  </si>
  <si>
    <t>changing room</t>
  </si>
  <si>
    <t>evening cicada model</t>
  </si>
  <si>
    <t>FtrHangingscroll_Remake_3_4</t>
  </si>
  <si>
    <t>3_4</t>
  </si>
  <si>
    <t>FtrHangingscroll_Remake_4_0</t>
  </si>
  <si>
    <t>fancy violin</t>
  </si>
  <si>
    <t>FtrHangingscroll_Remake_4_1</t>
  </si>
  <si>
    <t>cherry-blossom branches</t>
  </si>
  <si>
    <t>FtrHangingscroll_Remake_4_2</t>
  </si>
  <si>
    <t>FtrHangingscroll_Remake_4_3</t>
  </si>
  <si>
    <t>4_3</t>
  </si>
  <si>
    <t>fax machine</t>
  </si>
  <si>
    <t>cherry-blossom pond stone</t>
  </si>
  <si>
    <t>FtrHangingscroll_Remake_4_4</t>
  </si>
  <si>
    <t>4_4</t>
  </si>
  <si>
    <t>cherry-blossom-petal pile</t>
  </si>
  <si>
    <t>festive top set</t>
  </si>
  <si>
    <t>film projector</t>
  </si>
  <si>
    <t>clackercart</t>
  </si>
  <si>
    <t>Spotlight</t>
  </si>
  <si>
    <t>firefly model</t>
  </si>
  <si>
    <t>hanging terrarium</t>
  </si>
  <si>
    <t>claw-foot tub</t>
  </si>
  <si>
    <t>Frame</t>
  </si>
  <si>
    <t>FtrTerrariumWall_Remake_0_0</t>
  </si>
  <si>
    <t>firewood</t>
  </si>
  <si>
    <t>FtrTerrariumWall_Remake_1_0</t>
  </si>
  <si>
    <t>clay furnace</t>
  </si>
  <si>
    <t>FtrTerrariumWall_Remake_2_0</t>
  </si>
  <si>
    <t>flea model</t>
  </si>
  <si>
    <t>heart doorplate</t>
  </si>
  <si>
    <t>FtrDoorOrnamentPlateHeart_Remake_0_0</t>
  </si>
  <si>
    <t>climbing wall</t>
  </si>
  <si>
    <t>FtrDoorOrnamentPlateHeart_Remake_1_0</t>
  </si>
  <si>
    <t>floating-biotope planter</t>
  </si>
  <si>
    <t>Monotone</t>
  </si>
  <si>
    <t>FtrDoorOrnamentPlateHeart_Remake_2_0</t>
  </si>
  <si>
    <t>FtrDoorOrnamentPlateHeart_Remake_3_0</t>
  </si>
  <si>
    <t>clothes closet</t>
  </si>
  <si>
    <t>FtrDoorOrnamentPlateHeart_Remake_4_0</t>
  </si>
  <si>
    <t>floor sign</t>
  </si>
  <si>
    <t>FtrDoorOrnamentPlateHeart_Remake_5_0</t>
  </si>
  <si>
    <t>clothesline</t>
  </si>
  <si>
    <t>FtrDoorOrnamentPlateHeart_Remake_6_0</t>
  </si>
  <si>
    <t>fly model</t>
  </si>
  <si>
    <t>FtrDoorOrnamentPlateHeart_Remake_7_0</t>
  </si>
  <si>
    <t>HHA pennant</t>
  </si>
  <si>
    <t>clothesline pole</t>
  </si>
  <si>
    <t>football</t>
  </si>
  <si>
    <t>FtrPenantHha</t>
  </si>
  <si>
    <t>hyacinth wreath</t>
  </si>
  <si>
    <t>football fish model</t>
  </si>
  <si>
    <t>FtrDoorOrnamentWreathHyacinth</t>
  </si>
  <si>
    <t>imperial decorative shelves</t>
  </si>
  <si>
    <t>colorful wheel</t>
  </si>
  <si>
    <t>fortune-telling set</t>
  </si>
  <si>
    <t>Imperial</t>
  </si>
  <si>
    <t>FtrOrientalShelfWall_Remake_0_0</t>
  </si>
  <si>
    <t>fragrance diffuser</t>
  </si>
  <si>
    <t>FtrOrientalShelfWall_Remake_1_0</t>
  </si>
  <si>
    <t>cone</t>
  </si>
  <si>
    <t>FtrOrientalShelfWall_Remake_2_0</t>
  </si>
  <si>
    <t>fragrance sticks</t>
  </si>
  <si>
    <t>FtrOrientalShelfWall_Remake_3_0</t>
  </si>
  <si>
    <t>imperial dining lantern</t>
  </si>
  <si>
    <t>freshwater goby model</t>
  </si>
  <si>
    <t>FtrChineseLampWall_Remake_0_0</t>
  </si>
  <si>
    <t>construction sign</t>
  </si>
  <si>
    <t>frog model</t>
  </si>
  <si>
    <t>FtrChineseLampWall_Remake_1_0</t>
  </si>
  <si>
    <t>frozen-treat set</t>
  </si>
  <si>
    <t>FtrChineseLampWall_Remake_2_0</t>
  </si>
  <si>
    <t>cosmos shower</t>
  </si>
  <si>
    <t>FtrChineseLampWall_Remake_3_0</t>
  </si>
  <si>
    <t>intercom monitor</t>
  </si>
  <si>
    <t>Snow &amp; Ice</t>
  </si>
  <si>
    <t>FtrIntercom</t>
  </si>
  <si>
    <t>Snowman</t>
  </si>
  <si>
    <t>iron doorplate</t>
  </si>
  <si>
    <t>Reward for making a perfect snow-person</t>
  </si>
  <si>
    <t>fruit basket</t>
  </si>
  <si>
    <t>FtrDoorOrnamentIron_Remake_0_0</t>
  </si>
  <si>
    <t>cotton-candy stall</t>
  </si>
  <si>
    <t>FtrDoorOrnamentIron_Remake_1_0</t>
  </si>
  <si>
    <t>frying pan</t>
  </si>
  <si>
    <t>FtrDoorOrnamentIron_Remake_2_0</t>
  </si>
  <si>
    <t>crescent-moon chair</t>
  </si>
  <si>
    <t>FtrDoorOrnamentIron_Remake_3_0</t>
  </si>
  <si>
    <t>Ash brown</t>
  </si>
  <si>
    <t>FtrDoorOrnamentIron_Remake_4_0</t>
  </si>
  <si>
    <t>crewed spaceship</t>
  </si>
  <si>
    <t>gar model</t>
  </si>
  <si>
    <t>FtrDoorOrnamentIron_Remake_5_0</t>
  </si>
  <si>
    <t>FtrDoorOrnamentIron_Remake_6_0</t>
  </si>
  <si>
    <t>garden gnome</t>
  </si>
  <si>
    <t>FtrDoorOrnamentIron_Remake_7_0</t>
  </si>
  <si>
    <t>iron wall lamp</t>
  </si>
  <si>
    <t>cute bed</t>
  </si>
  <si>
    <t>Body color</t>
  </si>
  <si>
    <t>FtrIronLampW_Remake_0_0</t>
  </si>
  <si>
    <t>giant cicada model</t>
  </si>
  <si>
    <t>FtrIronLampW_Remake_1_0</t>
  </si>
  <si>
    <t>iron wall rack</t>
  </si>
  <si>
    <t>cute chair</t>
  </si>
  <si>
    <t>FtrIronShelfW_Remake_0_0</t>
  </si>
  <si>
    <t>giant snakehead model</t>
  </si>
  <si>
    <t>FtrIronShelfW_Remake_1_0</t>
  </si>
  <si>
    <t>ironwood clock</t>
  </si>
  <si>
    <t>Birch</t>
  </si>
  <si>
    <t>Lumber type</t>
  </si>
  <si>
    <t>FtrIronwoodClockW_Remake_0_0</t>
  </si>
  <si>
    <t>giant stag model</t>
  </si>
  <si>
    <t>Teak</t>
  </si>
  <si>
    <t>cute DIY table</t>
  </si>
  <si>
    <t>FtrIronwoodClockW_Remake_1_0</t>
  </si>
  <si>
    <t>Walnut</t>
  </si>
  <si>
    <t>giant trevally model</t>
  </si>
  <si>
    <t>FtrIronwoodClockW_Remake_2_0</t>
  </si>
  <si>
    <t>Old</t>
  </si>
  <si>
    <t>FtrIronwoodClockW_Remake_3_0</t>
  </si>
  <si>
    <t>Oak</t>
  </si>
  <si>
    <t>FtrIronwoodClockW_Remake_4_0</t>
  </si>
  <si>
    <t>key holder</t>
  </si>
  <si>
    <t>cute floor lamp</t>
  </si>
  <si>
    <t>giant water bug model</t>
  </si>
  <si>
    <t>Dark wood</t>
  </si>
  <si>
    <t>FtrKeyhanger_Remake_0_0</t>
  </si>
  <si>
    <t>Brown wood</t>
  </si>
  <si>
    <t>giraffe stag model</t>
  </si>
  <si>
    <t>FtrKeyhanger_Remake_1_0</t>
  </si>
  <si>
    <t>FtrKeyhanger_Remake_2_0</t>
  </si>
  <si>
    <t>cute sofa</t>
  </si>
  <si>
    <t>FtrKeyhanger_Remake_3_0</t>
  </si>
  <si>
    <t>Leo sculpture</t>
  </si>
  <si>
    <t>glass holder with candle</t>
  </si>
  <si>
    <t>FtrZodiacLeo</t>
  </si>
  <si>
    <t>lily wreath</t>
  </si>
  <si>
    <t>FtrDoorOrnamentWreathYuri</t>
  </si>
  <si>
    <t>log wall-mounted clock</t>
  </si>
  <si>
    <t>FtrLogClockWall_Remake_0_0</t>
  </si>
  <si>
    <t>cute tea table</t>
  </si>
  <si>
    <t>Orange wood</t>
  </si>
  <si>
    <t>FtrLogClockWall_Remake_1_0</t>
  </si>
  <si>
    <t>globe</t>
  </si>
  <si>
    <t>White wood</t>
  </si>
  <si>
    <t>FtrLogClockWall_Remake_2_0</t>
  </si>
  <si>
    <t>White birch</t>
  </si>
  <si>
    <t>FtrLogClockWall_Remake_3_0</t>
  </si>
  <si>
    <t>macrame tapestry</t>
  </si>
  <si>
    <t>gold bars</t>
  </si>
  <si>
    <t>FtrMacrametapestry_Remake_0_0</t>
  </si>
  <si>
    <t>cute vanity</t>
  </si>
  <si>
    <t>FtrMacrametapestry_Remake_1_0</t>
  </si>
  <si>
    <t>gold bug trophy</t>
  </si>
  <si>
    <t>FtrMacrametapestry_Remake_2_0</t>
  </si>
  <si>
    <t>FtrMacrametapestry_Remake_3_0</t>
  </si>
  <si>
    <t>magnetic knife rack</t>
  </si>
  <si>
    <t>gold fish trophy</t>
  </si>
  <si>
    <t>Stainless steel</t>
  </si>
  <si>
    <t>FtrKniferackWall_Remake_0_0</t>
  </si>
  <si>
    <t>cute wardrobe</t>
  </si>
  <si>
    <t>FtrKniferackWall_Remake_1_0</t>
  </si>
  <si>
    <t>gold HHA trophy</t>
  </si>
  <si>
    <t>Pop</t>
  </si>
  <si>
    <t>FtrKniferackWall_Remake_2_0</t>
  </si>
  <si>
    <t>golden arowana model</t>
  </si>
  <si>
    <t>mantis-head model</t>
  </si>
  <si>
    <t>FtrInsectKamakiriFace</t>
  </si>
  <si>
    <t>cypress bathtub</t>
  </si>
  <si>
    <t>mobile</t>
  </si>
  <si>
    <t>golden candlestick</t>
  </si>
  <si>
    <t>Hot air balloons</t>
  </si>
  <si>
    <t>FtrMobile_Remake_0_0</t>
  </si>
  <si>
    <t>golden dishes</t>
  </si>
  <si>
    <t>Sheep</t>
  </si>
  <si>
    <t>FtrMobile_Remake_1_0</t>
  </si>
  <si>
    <t>cypress plant</t>
  </si>
  <si>
    <t>Ocean creatures</t>
  </si>
  <si>
    <t>FtrMobile_Remake_2_0</t>
  </si>
  <si>
    <t>golden dung beetle</t>
  </si>
  <si>
    <t>dartboard</t>
  </si>
  <si>
    <t>FtrMobile_Remake_3_0</t>
  </si>
  <si>
    <t>Gorgeous</t>
  </si>
  <si>
    <t>golden stag model</t>
  </si>
  <si>
    <t>FtrMobile_Remake_4_0</t>
  </si>
  <si>
    <t>Mom's art</t>
  </si>
  <si>
    <t>Still Life</t>
  </si>
  <si>
    <t>Art</t>
  </si>
  <si>
    <t>deer scare</t>
  </si>
  <si>
    <t>Mom</t>
  </si>
  <si>
    <t>FtrMomArt_Remake_0_0</t>
  </si>
  <si>
    <t>golden trout model</t>
  </si>
  <si>
    <t>Street with Trees</t>
  </si>
  <si>
    <t>deluxe washer</t>
  </si>
  <si>
    <t>FtrMomArt_Remake_1_0</t>
  </si>
  <si>
    <t>Nostalgia</t>
  </si>
  <si>
    <t>goldfish model</t>
  </si>
  <si>
    <t>FtrMomArt_Remake_2_0</t>
  </si>
  <si>
    <t>Angel</t>
  </si>
  <si>
    <t>FtrMomArt_Remake_3_0</t>
  </si>
  <si>
    <t>Sweet Roses</t>
  </si>
  <si>
    <t>FtrMomArt_Remake_4_0</t>
  </si>
  <si>
    <t>den chair</t>
  </si>
  <si>
    <t>goliath beetle model</t>
  </si>
  <si>
    <t>Field of Flowers</t>
  </si>
  <si>
    <t>FtrMomArt_Remake_5_0</t>
  </si>
  <si>
    <t>Dog</t>
  </si>
  <si>
    <t>FtrMomArt_Remake_6_0</t>
  </si>
  <si>
    <t>grand Atlas moth model</t>
  </si>
  <si>
    <t>Blooming</t>
  </si>
  <si>
    <t>FtrMomArt_Remake_7_0</t>
  </si>
  <si>
    <t>Mom's embroidery</t>
  </si>
  <si>
    <t>den desk</t>
  </si>
  <si>
    <t>FtrMomEmbroidery</t>
  </si>
  <si>
    <t>Flowers</t>
  </si>
  <si>
    <t>FtrMomEmbroidery_Remake_0_0</t>
  </si>
  <si>
    <t>FtrMomEmbroidery_Remake_1_0</t>
  </si>
  <si>
    <t>grand b. dragonfly model</t>
  </si>
  <si>
    <t>destinations signpost</t>
  </si>
  <si>
    <t>Bouquet</t>
  </si>
  <si>
    <t>FtrMomEmbroidery_Remake_2_0</t>
  </si>
  <si>
    <t>Girl</t>
  </si>
  <si>
    <t>FtrMomEmbroidery_Remake_3_0</t>
  </si>
  <si>
    <t>Fairy tale</t>
  </si>
  <si>
    <t>digital scale</t>
  </si>
  <si>
    <t>FtrMomEmbroidery_Remake_4_0</t>
  </si>
  <si>
    <t>grasshopper model</t>
  </si>
  <si>
    <t>Trees</t>
  </si>
  <si>
    <t>FtrMomEmbroidery_Remake_5_0</t>
  </si>
  <si>
    <t>mounted black bass</t>
  </si>
  <si>
    <t>diner chair</t>
  </si>
  <si>
    <t>FtrFishBlackbassWall</t>
  </si>
  <si>
    <t>mounted blue marlin</t>
  </si>
  <si>
    <t>great purple emperor model</t>
  </si>
  <si>
    <t>FtrFishKajikiWall</t>
  </si>
  <si>
    <t>mum wreath</t>
  </si>
  <si>
    <t>FtrDoorOrnamentWreathMum</t>
  </si>
  <si>
    <t>diner counter chair</t>
  </si>
  <si>
    <t>natural mum wreath</t>
  </si>
  <si>
    <t>FtrDoorOrnamentWreathMumRare</t>
  </si>
  <si>
    <t>orange wall-mounted clock</t>
  </si>
  <si>
    <t>guppy model</t>
  </si>
  <si>
    <t>FtrFruitsClockW_Remake_0_0</t>
  </si>
  <si>
    <t>diner counter table</t>
  </si>
  <si>
    <t>Blood orange</t>
  </si>
  <si>
    <t>FtrFruitsClockW_Remake_1_0</t>
  </si>
  <si>
    <t>ornament mobile</t>
  </si>
  <si>
    <t>hammerhead shark model</t>
  </si>
  <si>
    <t>FtrOrnamentMobile_Remake_0_0</t>
  </si>
  <si>
    <t>diner dining table</t>
  </si>
  <si>
    <t>FtrOrnamentMobile_Remake_1_0</t>
  </si>
  <si>
    <t>hamster cage</t>
  </si>
  <si>
    <t>FtrOrnamentMobile_Remake_2_0</t>
  </si>
  <si>
    <t>diner mini table</t>
  </si>
  <si>
    <t>FtrOrnamentMobile_Remake_3_0</t>
  </si>
  <si>
    <t>handy water cooler</t>
  </si>
  <si>
    <t>FtrOrnamentMobile_Remake_4_0</t>
  </si>
  <si>
    <t>FtrOrnamentMobile_Remake_5_0</t>
  </si>
  <si>
    <t>ornament wreath</t>
  </si>
  <si>
    <t>diner neon sign</t>
  </si>
  <si>
    <t>FtrDoorOrnamentWreathOrnament_Remake_0_0</t>
  </si>
  <si>
    <t>hermit crab model</t>
  </si>
  <si>
    <t>FtrDoorOrnamentWreathOrnament_Remake_1_0</t>
  </si>
  <si>
    <t>diner sofa</t>
  </si>
  <si>
    <t>FtrDoorOrnamentWreathOrnament_Remake_2_0</t>
  </si>
  <si>
    <t>holiday candle</t>
  </si>
  <si>
    <t>director's chair</t>
  </si>
  <si>
    <t>FtrDoorOrnamentWreathOrnament_Remake_3_0</t>
  </si>
  <si>
    <t>FtrDoorOrnamentWreathOrnament_Remake_4_0</t>
  </si>
  <si>
    <t>Light green</t>
  </si>
  <si>
    <t>DIY workbench</t>
  </si>
  <si>
    <t>FtrDoorOrnamentWreathOrnament_Remake_5_0</t>
  </si>
  <si>
    <t>homework set</t>
  </si>
  <si>
    <t>FtrDoorOrnamentWreathOrnament_Remake_6_0</t>
  </si>
  <si>
    <t>DJ's turntable</t>
  </si>
  <si>
    <t>FtrDoorOrnamentWreathOrnament_Remake_7_0</t>
  </si>
  <si>
    <t>pansy wreath</t>
  </si>
  <si>
    <t>FtrDoorOrnamentWreathPansy</t>
  </si>
  <si>
    <t>party garland</t>
  </si>
  <si>
    <t>honeybee model</t>
  </si>
  <si>
    <t>Hi-fi</t>
  </si>
  <si>
    <t>doghouse</t>
  </si>
  <si>
    <t>FtrPartydecorationWall_Remake_0_0</t>
  </si>
  <si>
    <t>horned atlas model</t>
  </si>
  <si>
    <t>Pastel</t>
  </si>
  <si>
    <t>FtrPartydecorationWall_Remake_1_0</t>
  </si>
  <si>
    <t>double sofa</t>
  </si>
  <si>
    <t>Boating stripes</t>
  </si>
  <si>
    <t>FtrPartydecorationWall_Remake_2_0</t>
  </si>
  <si>
    <t>horned dynastid model</t>
  </si>
  <si>
    <t>Orange &amp; black</t>
  </si>
  <si>
    <t>FtrPartydecorationWall_Remake_3_0</t>
  </si>
  <si>
    <t>double-door refrigerator</t>
  </si>
  <si>
    <t>FtrPartydecorationWall_Remake_4_0</t>
  </si>
  <si>
    <t>horned elephant model</t>
  </si>
  <si>
    <t>FtrPartydecorationWall_Remake_5_0</t>
  </si>
  <si>
    <t>paw-print doorplate</t>
  </si>
  <si>
    <t>horned hercules model</t>
  </si>
  <si>
    <t>drink machine</t>
  </si>
  <si>
    <t>Light wood</t>
  </si>
  <si>
    <t>FtrDoorOrnamentPaw_Remake_0_0</t>
  </si>
  <si>
    <t>horse mackerel model</t>
  </si>
  <si>
    <t>FtrDoorOrnamentPaw_Remake_1_0</t>
  </si>
  <si>
    <t>Dark gray</t>
  </si>
  <si>
    <t>drinking fountain</t>
  </si>
  <si>
    <t>FtrDoorOrnamentPaw_Remake_2_0</t>
  </si>
  <si>
    <t>hourglass</t>
  </si>
  <si>
    <t>FtrDoorOrnamentPaw_Remake_3_0</t>
  </si>
  <si>
    <t>drum set</t>
  </si>
  <si>
    <t>FtrDoorOrnamentPaw_Remake_4_0</t>
  </si>
  <si>
    <t>hula doll</t>
  </si>
  <si>
    <t>FtrDoorOrnamentPaw_Remake_5_0</t>
  </si>
  <si>
    <t>drying rack</t>
  </si>
  <si>
    <t>FtrDoorOrnamentPaw_Remake_6_0</t>
  </si>
  <si>
    <t>FtrDoorOrnamentPaw_Remake_7_0</t>
  </si>
  <si>
    <t>pendulum clock</t>
  </si>
  <si>
    <t>effects rack</t>
  </si>
  <si>
    <t>FtrClockPendulumWall</t>
  </si>
  <si>
    <t>pennant</t>
  </si>
  <si>
    <t>humidifier</t>
  </si>
  <si>
    <t>Sports</t>
  </si>
  <si>
    <t>FtrPennant_Remake_0_0</t>
  </si>
  <si>
    <t>University</t>
  </si>
  <si>
    <t>elaborate kimono stand</t>
  </si>
  <si>
    <t>FtrPennant_Remake_1_0</t>
  </si>
  <si>
    <t>hyacinth lamp</t>
  </si>
  <si>
    <t>Classic</t>
  </si>
  <si>
    <t>FtrPennant_Remake_2_0</t>
  </si>
  <si>
    <t>Sponsor</t>
  </si>
  <si>
    <t>FtrPennant_Remake_3_0</t>
  </si>
  <si>
    <t>electric bass</t>
  </si>
  <si>
    <t>Souvenir</t>
  </si>
  <si>
    <t>incense burner</t>
  </si>
  <si>
    <t>FtrPennant_Remake_4_0</t>
  </si>
  <si>
    <t>pot rack</t>
  </si>
  <si>
    <t>FtrPotrack_Remake_0_0</t>
  </si>
  <si>
    <t>electric guitar</t>
  </si>
  <si>
    <t>FtrPotrack_Remake_1_0</t>
  </si>
  <si>
    <t>infused-water dispenser</t>
  </si>
  <si>
    <t>FtrPotrack_Remake_2_0</t>
  </si>
  <si>
    <t>potted ivy</t>
  </si>
  <si>
    <t>ironing set</t>
  </si>
  <si>
    <t>FtrLeafWall_Remake_0_0</t>
  </si>
  <si>
    <t>electric kick scooter</t>
  </si>
  <si>
    <t>FtrLeafWall_Remake_1_0</t>
  </si>
  <si>
    <t>jewel beetle model</t>
  </si>
  <si>
    <t>FtrLeafWall_Remake_2_0</t>
  </si>
  <si>
    <t>elephant slide</t>
  </si>
  <si>
    <t>FtrLeafWall_Remake_3_0</t>
  </si>
  <si>
    <t>pretty cosmos wreath</t>
  </si>
  <si>
    <t>judge's bell</t>
  </si>
  <si>
    <t>FtrDoorOrnamentWreathCosmosMix</t>
  </si>
  <si>
    <t>pretty tulip wreath</t>
  </si>
  <si>
    <t>FtrDoorOrnamentWreathTulipMix</t>
  </si>
  <si>
    <t>exercise ball</t>
  </si>
  <si>
    <t>purple hyacinth wreath</t>
  </si>
  <si>
    <t>katana</t>
  </si>
  <si>
    <t>FtrDoorOrnamentWreathHyacinthRare</t>
  </si>
  <si>
    <t>retro radiator</t>
  </si>
  <si>
    <t>FtrCentralheating</t>
  </si>
  <si>
    <t>rose wreath</t>
  </si>
  <si>
    <t>exercise bike</t>
  </si>
  <si>
    <t>FtrDoorOrnamentWreathRose</t>
  </si>
  <si>
    <t>Sagittarius arrow</t>
  </si>
  <si>
    <t>kettle</t>
  </si>
  <si>
    <t>FtrZodiacSagittarius</t>
  </si>
  <si>
    <t>shell wreath</t>
  </si>
  <si>
    <t>fan</t>
  </si>
  <si>
    <t>FtrDoorOrnamentWreathShell</t>
  </si>
  <si>
    <t>shower set</t>
  </si>
  <si>
    <t>FtrShowerWall_Remake_0_0</t>
  </si>
  <si>
    <t>kettlebell</t>
  </si>
  <si>
    <t>FtrShowerWall_Remake_1_0</t>
  </si>
  <si>
    <t>FtrShowerWall_Remake_2_0</t>
  </si>
  <si>
    <t>fan palm</t>
  </si>
  <si>
    <t>FtrShowerWall_Remake_3_0</t>
  </si>
  <si>
    <t>silver HHA plaque</t>
  </si>
  <si>
    <t>FtrShieldHhaSilver</t>
  </si>
  <si>
    <t>skull doorplate</t>
  </si>
  <si>
    <t>FtrDoorPlateSkull_Remake_0_0</t>
  </si>
  <si>
    <t>killifish model</t>
  </si>
  <si>
    <t>FtrDoorPlateSkull_Remake_1_0</t>
  </si>
  <si>
    <t>snazzy pansy wreath</t>
  </si>
  <si>
    <t>festive tree</t>
  </si>
  <si>
    <t>FtrDoorOrnamentWreathPansyMix</t>
  </si>
  <si>
    <t>snowflake wreath</t>
  </si>
  <si>
    <t>king salmon model</t>
  </si>
  <si>
    <t>Winter seasonal DIY using snowflakes (caught with net)</t>
  </si>
  <si>
    <t>FtrDoorOrnamentWreathIce</t>
  </si>
  <si>
    <t>spider doorplate</t>
  </si>
  <si>
    <t>FtrDoorOrnamentPlateInsect_Remake_0_0</t>
  </si>
  <si>
    <t>knife block</t>
  </si>
  <si>
    <t>FtrDoorOrnamentPlateInsect_Remake_1_0</t>
  </si>
  <si>
    <t>fire pit</t>
  </si>
  <si>
    <t>FtrDoorOrnamentPlateInsect_Remake_2_0</t>
  </si>
  <si>
    <t>FtrDoorOrnamentPlateInsect_Remake_3_0</t>
  </si>
  <si>
    <t>FtrDoorOrnamentPlateInsect_Remake_4_0</t>
  </si>
  <si>
    <t>fireplace</t>
  </si>
  <si>
    <t>koi model</t>
  </si>
  <si>
    <t>FtrDoorOrnamentPlateInsect_Remake_5_0</t>
  </si>
  <si>
    <t>FtrDoorOrnamentPlateInsect_Remake_6_0</t>
  </si>
  <si>
    <t>lab-experiments set</t>
  </si>
  <si>
    <t>FtrDoorOrnamentPlateInsect_Remake_7_0</t>
  </si>
  <si>
    <t>fish-drying rack</t>
  </si>
  <si>
    <t>spider web</t>
  </si>
  <si>
    <t>FtrSpiderweb</t>
  </si>
  <si>
    <t>starry garland</t>
  </si>
  <si>
    <t>ladybug model</t>
  </si>
  <si>
    <t>fishing-rod stand</t>
  </si>
  <si>
    <t>FtrStarDecorationWall_Remake_0_0</t>
  </si>
  <si>
    <t>FtrStarDecorationWall_Remake_1_0</t>
  </si>
  <si>
    <t>lantern</t>
  </si>
  <si>
    <t>flashy-flower sign</t>
  </si>
  <si>
    <t>FtrStarDecorationWall_Remake_2_0</t>
  </si>
  <si>
    <t>FtrStarDecorationWall_Remake_3_0</t>
  </si>
  <si>
    <t>laptop</t>
  </si>
  <si>
    <t>flat garden rock</t>
  </si>
  <si>
    <t>FtrStarDecorationWall_Remake_4_0</t>
  </si>
  <si>
    <t>FtrStarDecorationWall_Remake_5_0</t>
  </si>
  <si>
    <t>floor lamp</t>
  </si>
  <si>
    <t>FtrStarDecorationWall_Remake_6_0</t>
  </si>
  <si>
    <t>studio wall spotlight</t>
  </si>
  <si>
    <t>LCD TV (20 in.)</t>
  </si>
  <si>
    <t>FtrLampSpotWall_Remake_0_0</t>
  </si>
  <si>
    <t>FtrLampSpotWall_Remake_1_0</t>
  </si>
  <si>
    <t>floor light</t>
  </si>
  <si>
    <t>FtrLampSpotWall_Remake_2_0</t>
  </si>
  <si>
    <t>FtrLampSpotWall_Remake_3_0</t>
  </si>
  <si>
    <t>floor seat</t>
  </si>
  <si>
    <t>LCD TV (50 in.)</t>
  </si>
  <si>
    <t>FtrLampSpotWall_Remake_4_0</t>
  </si>
  <si>
    <t>FtrLampSpotWall_Remake_5_0</t>
  </si>
  <si>
    <t>flower stand</t>
  </si>
  <si>
    <t>FtrLampSpotWall_Remake_6_0</t>
  </si>
  <si>
    <t>FtrLampSpotWall_Remake_7_0</t>
  </si>
  <si>
    <t>Libra scale</t>
  </si>
  <si>
    <t>surveillance camera</t>
  </si>
  <si>
    <t>flying saucer</t>
  </si>
  <si>
    <t>FtrSurveillance</t>
  </si>
  <si>
    <t>switch</t>
  </si>
  <si>
    <t>FtrSwitchWall_Remake_0_0</t>
  </si>
  <si>
    <t>life ring</t>
  </si>
  <si>
    <t>folding chair</t>
  </si>
  <si>
    <t>FtrSwitchWall_Remake_1_0</t>
  </si>
  <si>
    <t>FtrSwitchWall_Remake_2_0</t>
  </si>
  <si>
    <t>folding floor lamp</t>
  </si>
  <si>
    <t>loach model</t>
  </si>
  <si>
    <t>Wood grain</t>
  </si>
  <si>
    <t>FtrSwitchWall_Remake_3_0</t>
  </si>
  <si>
    <t>tapestry</t>
  </si>
  <si>
    <t>foosball table</t>
  </si>
  <si>
    <t>Geometric pattern</t>
  </si>
  <si>
    <t>long locust model</t>
  </si>
  <si>
    <t>FtrTapestry_Remake_0_0</t>
  </si>
  <si>
    <t>Animal</t>
  </si>
  <si>
    <t>lucky cat</t>
  </si>
  <si>
    <t>fortune-cookie cart</t>
  </si>
  <si>
    <t>FtrTapestry_Remake_1_0</t>
  </si>
  <si>
    <t>Floral</t>
  </si>
  <si>
    <t>FtrTapestry_Remake_2_0</t>
  </si>
  <si>
    <t>fountain</t>
  </si>
  <si>
    <t>lucky gold cat</t>
  </si>
  <si>
    <t>FtrTapestry_Remake_3_0</t>
  </si>
  <si>
    <t>3x3</t>
  </si>
  <si>
    <t>FtrTapestry_Remake_4_0</t>
  </si>
  <si>
    <t>Madagascan sunset moth model</t>
  </si>
  <si>
    <t>Snow</t>
  </si>
  <si>
    <t>freezer</t>
  </si>
  <si>
    <t>FtrTapestry_Remake_5_0</t>
  </si>
  <si>
    <t>throwback wall clock</t>
  </si>
  <si>
    <t>Hero</t>
  </si>
  <si>
    <t>FtrBoyClockWall_Remake_0_0</t>
  </si>
  <si>
    <t>magazine</t>
  </si>
  <si>
    <t>FtrBoyClockWall_Remake_1_0</t>
  </si>
  <si>
    <t>fresh cooler</t>
  </si>
  <si>
    <t>FtrBoyClockWall_Remake_2_0</t>
  </si>
  <si>
    <t>magazine rack</t>
  </si>
  <si>
    <t>FtrBoyClockWall_Remake_3_0</t>
  </si>
  <si>
    <t>frozen arch</t>
  </si>
  <si>
    <t>FtrBoyClockWall_Remake_4_0</t>
  </si>
  <si>
    <t>magic kit</t>
  </si>
  <si>
    <t>FtrBoyClockWall_Remake_5_0</t>
  </si>
  <si>
    <t>frozen bed</t>
  </si>
  <si>
    <t>FtrBoyClockWall_Remake_6_0</t>
  </si>
  <si>
    <t>timber doorplate</t>
  </si>
  <si>
    <t>mahi-mahi model</t>
  </si>
  <si>
    <t>FtrDoorOrnamentLog_Remake_0_0</t>
  </si>
  <si>
    <t>frozen chair</t>
  </si>
  <si>
    <t>man-faced stink bug model</t>
  </si>
  <si>
    <t>FtrDoorOrnamentLog_Remake_1_0</t>
  </si>
  <si>
    <t>frozen counter</t>
  </si>
  <si>
    <t>mantis model</t>
  </si>
  <si>
    <t>FtrDoorOrnamentLog_Remake_2_0</t>
  </si>
  <si>
    <t>matryoshka</t>
  </si>
  <si>
    <t>FtrDoorOrnamentLog_Remake_3_0</t>
  </si>
  <si>
    <t>FtrDoorOrnamentLog_Remake_4_0</t>
  </si>
  <si>
    <t>frozen partition</t>
  </si>
  <si>
    <t>metal can</t>
  </si>
  <si>
    <t>FtrDoorOrnamentLog_Remake_5_0</t>
  </si>
  <si>
    <t>frozen pillar</t>
  </si>
  <si>
    <t>FtrDoorOrnamentLog_Remake_6_0</t>
  </si>
  <si>
    <t>metronome</t>
  </si>
  <si>
    <t>FtrDoorOrnamentLog_Remake_7_0</t>
  </si>
  <si>
    <t>frozen sculpture</t>
  </si>
  <si>
    <t>tree branch wreath</t>
  </si>
  <si>
    <t>microscope</t>
  </si>
  <si>
    <t>FtrDoorOrnamentWreathBranch</t>
  </si>
  <si>
    <t>tree's bounty mobile</t>
  </si>
  <si>
    <t>frozen table</t>
  </si>
  <si>
    <t>microwave</t>
  </si>
  <si>
    <t>Nut color</t>
  </si>
  <si>
    <t>Fall seasonal DIY using acorns (from shaking trees)</t>
  </si>
  <si>
    <t>FtrNutMobile_Remake_0_0</t>
  </si>
  <si>
    <t>frozen tree</t>
  </si>
  <si>
    <t>migratory locust model</t>
  </si>
  <si>
    <t>FtrNutMobile_Remake_1_0</t>
  </si>
  <si>
    <t>tulip wreath</t>
  </si>
  <si>
    <t>FtrDoorOrnamentWreathTulip</t>
  </si>
  <si>
    <t>ventilation fan</t>
  </si>
  <si>
    <t>mini-cactus set</t>
  </si>
  <si>
    <t>futon</t>
  </si>
  <si>
    <t>FtrExtractorfan_Remake_0_0</t>
  </si>
  <si>
    <t>FtrExtractorfan_Remake_1_0</t>
  </si>
  <si>
    <t>mitten crab model</t>
  </si>
  <si>
    <t>FtrExtractorfan_Remake_2_0</t>
  </si>
  <si>
    <t>garbage bin</t>
  </si>
  <si>
    <t>FtrExtractorfan_Remake_3_0</t>
  </si>
  <si>
    <t>mixer</t>
  </si>
  <si>
    <t>FtrExtractorfan_Remake_4_0</t>
  </si>
  <si>
    <t>wall clock</t>
  </si>
  <si>
    <t>garbage can</t>
  </si>
  <si>
    <t>FtrOfficeClock_Remake_0_0</t>
  </si>
  <si>
    <t>miyama stag model</t>
  </si>
  <si>
    <t>FtrOfficeClock_Remake_1_0</t>
  </si>
  <si>
    <t>garbage pail</t>
  </si>
  <si>
    <t>FtrOfficeClock_Remake_2_0</t>
  </si>
  <si>
    <t>modeling clay</t>
  </si>
  <si>
    <t>FtrOfficeClock_Remake_3_0</t>
  </si>
  <si>
    <t>garden bench</t>
  </si>
  <si>
    <t>FtrOfficeClock_Remake_4_0</t>
  </si>
  <si>
    <t>wall fan</t>
  </si>
  <si>
    <t>mole cricket model</t>
  </si>
  <si>
    <t>FtrFanRetroWall_Remake_0_0</t>
  </si>
  <si>
    <t>garden faucet</t>
  </si>
  <si>
    <t>Mom's candle set</t>
  </si>
  <si>
    <t>FtrFanRetroWall_Remake_1_0</t>
  </si>
  <si>
    <t>FtrFanRetroWall_Remake_2_0</t>
  </si>
  <si>
    <t>garden lantern</t>
  </si>
  <si>
    <t>Mom's cushion</t>
  </si>
  <si>
    <t>FtrFanRetroWall_Remake_3_0</t>
  </si>
  <si>
    <t>FtrFanRetroWall_Remake_4_0</t>
  </si>
  <si>
    <t>Mom's homemade cake</t>
  </si>
  <si>
    <t>FtrFanRetroWall_Remake_5_0</t>
  </si>
  <si>
    <t>Mom's pen stand</t>
  </si>
  <si>
    <t>FtrFanRetroWall_Remake_6_0</t>
  </si>
  <si>
    <t>garden rock</t>
  </si>
  <si>
    <t>FtrFanRetroWall_Remake_7_0</t>
  </si>
  <si>
    <t>wall-mounted candle</t>
  </si>
  <si>
    <t>Mom's plushie</t>
  </si>
  <si>
    <t>FtrCandleWall_Remake_0_0</t>
  </si>
  <si>
    <t>garden wagon</t>
  </si>
  <si>
    <t>Mom's tea cozy</t>
  </si>
  <si>
    <t>FtrCandleWall_Remake_1_0</t>
  </si>
  <si>
    <t>FtrCandleWall_Remake_2_0</t>
  </si>
  <si>
    <t>Mom's tissue box</t>
  </si>
  <si>
    <t>gas range</t>
  </si>
  <si>
    <t>FtrCandleWall_Remake_3_0</t>
  </si>
  <si>
    <t>monarch butterfly model</t>
  </si>
  <si>
    <t>FtrCandleWall_Remake_4_0</t>
  </si>
  <si>
    <t>wall-mounted phone</t>
  </si>
  <si>
    <t>Gemini closet</t>
  </si>
  <si>
    <t>FtrPhoneWall_Remake_0_0</t>
  </si>
  <si>
    <t>moray eel model</t>
  </si>
  <si>
    <t>FtrPhoneWall_Remake_1_0</t>
  </si>
  <si>
    <t>giant teddy bear</t>
  </si>
  <si>
    <t>FtrPhoneWall_Remake_2_0</t>
  </si>
  <si>
    <t>mosquito model</t>
  </si>
  <si>
    <t>FtrPhoneWall_Remake_3_0</t>
  </si>
  <si>
    <t>go board</t>
  </si>
  <si>
    <t>FtrPhoneWall_Remake_4_0</t>
  </si>
  <si>
    <t>FtrPhoneWall_Remake_5_0</t>
  </si>
  <si>
    <t>wall-mounted tool board</t>
  </si>
  <si>
    <t>moss ball</t>
  </si>
  <si>
    <t>golden casket</t>
  </si>
  <si>
    <t>FtrToolhanger_Remake_0_0</t>
  </si>
  <si>
    <t>Camel</t>
  </si>
  <si>
    <t>FtrToolhanger_Remake_1_0</t>
  </si>
  <si>
    <t>moth model</t>
  </si>
  <si>
    <t>golden seat</t>
  </si>
  <si>
    <t>FtrToolhanger_Remake_2_0</t>
  </si>
  <si>
    <t>FtrToolhanger_Remake_3_0</t>
  </si>
  <si>
    <t>mug</t>
  </si>
  <si>
    <t>golden toilet</t>
  </si>
  <si>
    <t>FtrToolhanger_Remake_4_0</t>
  </si>
  <si>
    <t>FtrToolhanger_Remake_5_0</t>
  </si>
  <si>
    <t>wall-mounted TV (20 in.)</t>
  </si>
  <si>
    <t>golf bag</t>
  </si>
  <si>
    <t>FtrTV20inchWall_Remake_0_0</t>
  </si>
  <si>
    <t>nail-art set</t>
  </si>
  <si>
    <t>FtrTV20inchWall_Remake_1_0</t>
  </si>
  <si>
    <t>gong</t>
  </si>
  <si>
    <t>FtrTV20inchWall_Remake_2_0</t>
  </si>
  <si>
    <t>FtrTV20inchWall_Remake_3_0</t>
  </si>
  <si>
    <t>grand piano</t>
  </si>
  <si>
    <t>FtrTV20inchWall_Remake_4_0</t>
  </si>
  <si>
    <t>Napoleonfish model</t>
  </si>
  <si>
    <t>FtrTV20inchWall_Remake_5_0</t>
  </si>
  <si>
    <t>grass standee</t>
  </si>
  <si>
    <t>FtrTV20inchWall_Remake_6_0</t>
  </si>
  <si>
    <t>FtrTV20inchWall_Remake_7_0</t>
  </si>
  <si>
    <t>wall-mounted TV (50 in.)</t>
  </si>
  <si>
    <t>great white shark model</t>
  </si>
  <si>
    <t>FtrTV50inchWall_Remake_0_0</t>
  </si>
  <si>
    <t>neon tetra model</t>
  </si>
  <si>
    <t>FtrTV50inchWall_Remake_1_0</t>
  </si>
  <si>
    <t>FtrTV50inchWall_Remake_2_0</t>
  </si>
  <si>
    <t>Newton's cradle</t>
  </si>
  <si>
    <t>green-leaf pile</t>
  </si>
  <si>
    <t>FtrTV50inchWall_Remake_3_0</t>
  </si>
  <si>
    <t>FtrTV50inchWall_Remake_4_0</t>
  </si>
  <si>
    <t>wasp-head model</t>
  </si>
  <si>
    <t>hammock</t>
  </si>
  <si>
    <t>nibble fish model</t>
  </si>
  <si>
    <t>handcart</t>
  </si>
  <si>
    <t>FtrInsectHachiFace</t>
  </si>
  <si>
    <t>windflower wreath</t>
  </si>
  <si>
    <t>Nintendo Switch</t>
  </si>
  <si>
    <t>FtrDoorOrnamentWreathAnemone</t>
  </si>
  <si>
    <t>wooden-block wall clock</t>
  </si>
  <si>
    <t>harp</t>
  </si>
  <si>
    <t>Block color</t>
  </si>
  <si>
    <t>FtrBlockClock_Remake_0_0</t>
  </si>
  <si>
    <t>nova light</t>
  </si>
  <si>
    <t>Mixed wood</t>
  </si>
  <si>
    <t>FtrBlockClock_Remake_1_0</t>
  </si>
  <si>
    <t>hay bed</t>
  </si>
  <si>
    <t>FtrBlockClock_Remake_2_0</t>
  </si>
  <si>
    <t>nutcracker</t>
  </si>
  <si>
    <t>FtrBlockClock_Remake_3_0</t>
  </si>
  <si>
    <t>hearth</t>
  </si>
  <si>
    <t>Vivid</t>
  </si>
  <si>
    <t>oil lamp</t>
  </si>
  <si>
    <t>FtrBlockClock_Remake_4_0</t>
  </si>
  <si>
    <t>wooden-plank sign</t>
  </si>
  <si>
    <t>FtrSignboardWood_Remake_0_0</t>
  </si>
  <si>
    <t>hedge standee</t>
  </si>
  <si>
    <t>old-fashioned alarm clock</t>
  </si>
  <si>
    <t>FtrSignboardWood_Remake_1_0</t>
  </si>
  <si>
    <t>FtrSignboardWood_Remake_2_0</t>
  </si>
  <si>
    <t>hi-fi stereo</t>
  </si>
  <si>
    <t>old-fashioned washtub</t>
  </si>
  <si>
    <t>FtrSignboardWood_Remake_3_0</t>
  </si>
  <si>
    <t>writing poster</t>
  </si>
  <si>
    <t>Alphabet</t>
  </si>
  <si>
    <t>high-end stereo</t>
  </si>
  <si>
    <t>olive flounder model</t>
  </si>
  <si>
    <t>FtrStudyposter_Remake_0_0</t>
  </si>
  <si>
    <t>Multiplication tables</t>
  </si>
  <si>
    <t>FtrStudyposter_Remake_1_0</t>
  </si>
  <si>
    <t>orchid mantis model</t>
  </si>
  <si>
    <t>hose reel</t>
  </si>
  <si>
    <t>Periodic table</t>
  </si>
  <si>
    <t>FtrStudyposter_Remake_2_0</t>
  </si>
  <si>
    <t>Constellations</t>
  </si>
  <si>
    <t>painting set</t>
  </si>
  <si>
    <t>FtrStudyposter_Remake_3_0</t>
  </si>
  <si>
    <t>illuminated present</t>
  </si>
  <si>
    <t>pale chub model</t>
  </si>
  <si>
    <t>paper kite butterfly model</t>
  </si>
  <si>
    <t>illuminated reindeer</t>
  </si>
  <si>
    <t>1x1 (wall)</t>
  </si>
  <si>
    <t>paper tiger</t>
  </si>
  <si>
    <t>illuminated snowflakes</t>
  </si>
  <si>
    <t>peach surprise box</t>
  </si>
  <si>
    <t>illuminated tree</t>
  </si>
  <si>
    <t>peacock butterfly model</t>
  </si>
  <si>
    <t>pedal board</t>
  </si>
  <si>
    <t>imperial bed</t>
  </si>
  <si>
    <t>pet food bowl</t>
  </si>
  <si>
    <t>imperial chest</t>
  </si>
  <si>
    <t>1x1.5 (wall)</t>
  </si>
  <si>
    <t>phonograph</t>
  </si>
  <si>
    <t>Phono</t>
  </si>
  <si>
    <t>picnic basket</t>
  </si>
  <si>
    <t>imperial dining chair</t>
  </si>
  <si>
    <t>2x1.5 (wall)</t>
  </si>
  <si>
    <t>Chinese</t>
  </si>
  <si>
    <t>pike model</t>
  </si>
  <si>
    <t>imperial dining table</t>
  </si>
  <si>
    <t>pill bug model</t>
  </si>
  <si>
    <t>imperial low table</t>
  </si>
  <si>
    <t>pine bonsai tree</t>
  </si>
  <si>
    <t>imperial partition</t>
  </si>
  <si>
    <t>piranha model</t>
  </si>
  <si>
    <t>inflatable sofa</t>
  </si>
  <si>
    <t>plasma ball</t>
  </si>
  <si>
    <t>plastic canister</t>
  </si>
  <si>
    <t>iron closet</t>
  </si>
  <si>
    <t>Pocket modern camper</t>
  </si>
  <si>
    <t>iron frame</t>
  </si>
  <si>
    <t>Pocket vintage camper</t>
  </si>
  <si>
    <t>iron garden bench</t>
  </si>
  <si>
    <t>pond smelt model</t>
  </si>
  <si>
    <t>iron garden chair</t>
  </si>
  <si>
    <t>pondskater model</t>
  </si>
  <si>
    <t>pop-eyed goldfish model</t>
  </si>
  <si>
    <t>iron garden table</t>
  </si>
  <si>
    <t>pop-up toaster</t>
  </si>
  <si>
    <t>iron hanger stand</t>
  </si>
  <si>
    <t>portable radio</t>
  </si>
  <si>
    <t>iron shelf</t>
  </si>
  <si>
    <t>portable record player</t>
  </si>
  <si>
    <t>iron worktable</t>
  </si>
  <si>
    <t>pot</t>
  </si>
  <si>
    <t>2x1 (wall)</t>
  </si>
  <si>
    <t>ironing board</t>
  </si>
  <si>
    <t>pro tape recorder</t>
  </si>
  <si>
    <t>protein shaker bottle</t>
  </si>
  <si>
    <t>ironwood bed</t>
  </si>
  <si>
    <t>puffer fish model</t>
  </si>
  <si>
    <t>ironwood cart</t>
  </si>
  <si>
    <t>Queen Alexandra's birdwing model</t>
  </si>
  <si>
    <t>ironwood chair</t>
  </si>
  <si>
    <t>rainbow stag model</t>
  </si>
  <si>
    <t>ironwood cupboard</t>
  </si>
  <si>
    <t>rainbowfish model</t>
  </si>
  <si>
    <t>Rajah Brooke's birdwing model</t>
  </si>
  <si>
    <t>ironwood DIY workbench</t>
  </si>
  <si>
    <t>ranchu goldfish model</t>
  </si>
  <si>
    <t>ironwood dresser</t>
  </si>
  <si>
    <t>rattan table lamp</t>
  </si>
  <si>
    <t>Rattan</t>
  </si>
  <si>
    <t>ironwood kitchenette</t>
  </si>
  <si>
    <t>rattan towel basket</t>
  </si>
  <si>
    <t>ironwood low table</t>
  </si>
  <si>
    <t>ray model</t>
  </si>
  <si>
    <t>Lighting type</t>
  </si>
  <si>
    <t>record box</t>
  </si>
  <si>
    <t>ironwood table</t>
  </si>
  <si>
    <t>recycled-can thumb piano</t>
  </si>
  <si>
    <t>jail bars</t>
  </si>
  <si>
    <t>red dragonfly model</t>
  </si>
  <si>
    <t>juicy-apple TV</t>
  </si>
  <si>
    <t>red snapper model</t>
  </si>
  <si>
    <t>jukebox</t>
  </si>
  <si>
    <t>revolving spice rack</t>
  </si>
  <si>
    <t>kettle bathtub</t>
  </si>
  <si>
    <t>ribbon eel model</t>
  </si>
  <si>
    <t>rice cooker</t>
  </si>
  <si>
    <t>kimono stand</t>
  </si>
  <si>
    <t>rice grasshopper model</t>
  </si>
  <si>
    <t>kitchen island</t>
  </si>
  <si>
    <t>ring</t>
  </si>
  <si>
    <t>kitty litter box</t>
  </si>
  <si>
    <t>ringtoss</t>
  </si>
  <si>
    <t>robust cicada model</t>
  </si>
  <si>
    <t>kotatsu</t>
  </si>
  <si>
    <t>rosalia batesi beetle model</t>
  </si>
  <si>
    <t>rotary phone</t>
  </si>
  <si>
    <t>large cardboard boxes</t>
  </si>
  <si>
    <t>saddled bichir model</t>
  </si>
  <si>
    <t>salmon model</t>
  </si>
  <si>
    <t>lawn chair</t>
  </si>
  <si>
    <t>saw shark model</t>
  </si>
  <si>
    <t>lawn mower</t>
  </si>
  <si>
    <t>saw stag model</t>
  </si>
  <si>
    <t>leaf campfire</t>
  </si>
  <si>
    <t>scarab beetle model</t>
  </si>
  <si>
    <t>Scorpio lamp</t>
  </si>
  <si>
    <t>leaf stool</t>
  </si>
  <si>
    <t>scorpion model</t>
  </si>
  <si>
    <t>sea bass model</t>
  </si>
  <si>
    <t>Fall seasonal DIY using autumn leaves (caught with net)</t>
  </si>
  <si>
    <t>lecture-hall bench</t>
  </si>
  <si>
    <t>sea butterfly model</t>
  </si>
  <si>
    <t>sea globe</t>
  </si>
  <si>
    <t>lecture-hall desk</t>
  </si>
  <si>
    <t>sea horse model</t>
  </si>
  <si>
    <t>lifeguard chair</t>
  </si>
  <si>
    <t>sewing machine</t>
  </si>
  <si>
    <t>sewing project</t>
  </si>
  <si>
    <t>0.5x1 (wall)</t>
  </si>
  <si>
    <t>lighthouse</t>
  </si>
  <si>
    <t>shaved-ice maker</t>
  </si>
  <si>
    <t>shell lamp</t>
  </si>
  <si>
    <t>lily record player</t>
  </si>
  <si>
    <t>loft bed with desk</t>
  </si>
  <si>
    <t>shell speaker</t>
  </si>
  <si>
    <t>silver bug trophy</t>
  </si>
  <si>
    <t>log bed</t>
  </si>
  <si>
    <t>silver fish trophy</t>
  </si>
  <si>
    <t>log bench</t>
  </si>
  <si>
    <t>silver HHA trophy</t>
  </si>
  <si>
    <t>simple kettle</t>
  </si>
  <si>
    <t>log decorative shelves</t>
  </si>
  <si>
    <t>snail model</t>
  </si>
  <si>
    <t>log dining table</t>
  </si>
  <si>
    <t>None</t>
  </si>
  <si>
    <t>snapping turtle model</t>
  </si>
  <si>
    <t>log extra-long sofa</t>
  </si>
  <si>
    <t>snow globe</t>
  </si>
  <si>
    <t>log garden lounge</t>
  </si>
  <si>
    <t>soft-shelled turtle model</t>
  </si>
  <si>
    <t>soup kettle</t>
  </si>
  <si>
    <t>log round table</t>
  </si>
  <si>
    <t>spider model</t>
  </si>
  <si>
    <t>log sofa</t>
  </si>
  <si>
    <t>squid model</t>
  </si>
  <si>
    <t>stack of books</t>
  </si>
  <si>
    <t>log stakes</t>
  </si>
  <si>
    <t>stacked magazines</t>
  </si>
  <si>
    <t>log stool</t>
  </si>
  <si>
    <t>stand mixer</t>
  </si>
  <si>
    <t>long bathtub</t>
  </si>
  <si>
    <t>star clock</t>
  </si>
  <si>
    <t>loom</t>
  </si>
  <si>
    <t>steamer-basket set</t>
  </si>
  <si>
    <t>stinkbug model</t>
  </si>
  <si>
    <t>1x0.5 (wall)</t>
  </si>
  <si>
    <t>low screen</t>
  </si>
  <si>
    <t>stovetop espresso maker</t>
  </si>
  <si>
    <t>Japanese</t>
  </si>
  <si>
    <t>lunar lander</t>
  </si>
  <si>
    <t>stringfish model</t>
  </si>
  <si>
    <t>sturdy sewing box</t>
  </si>
  <si>
    <t>lunar rover</t>
  </si>
  <si>
    <t>sturgeon model</t>
  </si>
  <si>
    <t>Mama bear</t>
  </si>
  <si>
    <t>succulent plant</t>
  </si>
  <si>
    <t>Mama panda</t>
  </si>
  <si>
    <t>suckerfish model</t>
  </si>
  <si>
    <t>surgeonfish model</t>
  </si>
  <si>
    <t>manhole cover</t>
  </si>
  <si>
    <t>sweetfish model</t>
  </si>
  <si>
    <t>maple-leaf pond stone</t>
  </si>
  <si>
    <t>table lamp</t>
  </si>
  <si>
    <t>marimba</t>
  </si>
  <si>
    <t>table setting</t>
  </si>
  <si>
    <t>Market Place decoration</t>
  </si>
  <si>
    <t>tabletop festive tree</t>
  </si>
  <si>
    <t>medium cardboard boxes</t>
  </si>
  <si>
    <t>tadpole model</t>
  </si>
  <si>
    <t>menu chalkboard</t>
  </si>
  <si>
    <t>tape deck</t>
  </si>
  <si>
    <t>mic stand</t>
  </si>
  <si>
    <t>tarantula model</t>
  </si>
  <si>
    <t>mini DIY workbench</t>
  </si>
  <si>
    <t>tea set</t>
  </si>
  <si>
    <t>mini fridge</t>
  </si>
  <si>
    <t>terrarium</t>
  </si>
  <si>
    <t>moai statue</t>
  </si>
  <si>
    <t>throwback container</t>
  </si>
  <si>
    <t>modern office chair</t>
  </si>
  <si>
    <t>monster statue</t>
  </si>
  <si>
    <t>throwback gothic mirror</t>
  </si>
  <si>
    <t>monstera</t>
  </si>
  <si>
    <t>moon</t>
  </si>
  <si>
    <t>throwback skull radio</t>
  </si>
  <si>
    <t>mossy garden rock</t>
  </si>
  <si>
    <t>throwback wrestling figure</t>
  </si>
  <si>
    <t>mountain bike</t>
  </si>
  <si>
    <t>tiger beetle model</t>
  </si>
  <si>
    <t>tiger butterfly model</t>
  </si>
  <si>
    <t>mountain standee</t>
  </si>
  <si>
    <t>tilapia model</t>
  </si>
  <si>
    <t>tin bucket</t>
  </si>
  <si>
    <t>Mr. Flamingo</t>
  </si>
  <si>
    <t>tissue box</t>
  </si>
  <si>
    <t>Flamingo</t>
  </si>
  <si>
    <t>Mrs. Flamingo</t>
  </si>
  <si>
    <t>toolbox</t>
  </si>
  <si>
    <t>mum cushion</t>
  </si>
  <si>
    <t>toy box</t>
  </si>
  <si>
    <t>mush lamp</t>
  </si>
  <si>
    <t>Mushroom seasonal DIY</t>
  </si>
  <si>
    <t>mush log</t>
  </si>
  <si>
    <t>toy centipede</t>
  </si>
  <si>
    <t>mush low stool</t>
  </si>
  <si>
    <t>toy cockroach</t>
  </si>
  <si>
    <t>mush parasol</t>
  </si>
  <si>
    <t>traditional balancing toy</t>
  </si>
  <si>
    <t>mush partition</t>
  </si>
  <si>
    <t>traditional tea set</t>
  </si>
  <si>
    <t>mush table</t>
  </si>
  <si>
    <t>trash bags</t>
  </si>
  <si>
    <t>tree's bounty lamp</t>
  </si>
  <si>
    <t>music stand</t>
  </si>
  <si>
    <t>tree's bounty little tree</t>
  </si>
  <si>
    <t>tuna model</t>
  </si>
  <si>
    <t>natural garden chair</t>
  </si>
  <si>
    <t>typewriter</t>
  </si>
  <si>
    <t>natural garden table</t>
  </si>
  <si>
    <t>natural square table</t>
  </si>
  <si>
    <t>ukulele</t>
  </si>
  <si>
    <t>neutral corner</t>
  </si>
  <si>
    <t>unfinished puzzle</t>
  </si>
  <si>
    <t>oarfish model</t>
  </si>
  <si>
    <t>unglazed dish set</t>
  </si>
  <si>
    <t>ocean sunfish model</t>
  </si>
  <si>
    <t>violin beetle model</t>
  </si>
  <si>
    <t>office desk</t>
  </si>
  <si>
    <t>walker cicada model</t>
  </si>
  <si>
    <t>oil barrel</t>
  </si>
  <si>
    <t>walking leaf model</t>
  </si>
  <si>
    <t>walking stick model</t>
  </si>
  <si>
    <t>oil-barrel bathtub</t>
  </si>
  <si>
    <t>wasp model</t>
  </si>
  <si>
    <t>OK Motors sign</t>
  </si>
  <si>
    <t>wharf roach model</t>
  </si>
  <si>
    <t>old sewing machine</t>
  </si>
  <si>
    <t>windflower fan</t>
  </si>
  <si>
    <t>open-frame kitchen</t>
  </si>
  <si>
    <t>wobbling Zipper toy</t>
  </si>
  <si>
    <t>orange end table</t>
  </si>
  <si>
    <t>wooden fish</t>
  </si>
  <si>
    <t>outdoor air conditioner</t>
  </si>
  <si>
    <t>wooden table mirror</t>
  </si>
  <si>
    <t>outdoor bath</t>
  </si>
  <si>
    <t>wooden toolbox</t>
  </si>
  <si>
    <t>wooden-block toy</t>
  </si>
  <si>
    <t>outdoor bench</t>
  </si>
  <si>
    <t>yellow butterfly model</t>
  </si>
  <si>
    <t>outdoor generator</t>
  </si>
  <si>
    <t>yellow perch model</t>
  </si>
  <si>
    <t>zebra turkeyfish model</t>
  </si>
  <si>
    <t>outdoor picnic set</t>
  </si>
  <si>
    <t>outdoor table</t>
  </si>
  <si>
    <t>pagoda</t>
  </si>
  <si>
    <t>palm-tree lamp</t>
  </si>
  <si>
    <t>pansy table</t>
  </si>
  <si>
    <t>pants press</t>
  </si>
  <si>
    <t>VFX</t>
  </si>
  <si>
    <t>Color 1</t>
  </si>
  <si>
    <t>Color 2</t>
  </si>
  <si>
    <t>abstract wall</t>
  </si>
  <si>
    <t>Papa bear</t>
  </si>
  <si>
    <t>ancient wall</t>
  </si>
  <si>
    <t>Papa panda</t>
  </si>
  <si>
    <t>Beige</t>
  </si>
  <si>
    <t>Saharah</t>
  </si>
  <si>
    <t>apple wall</t>
  </si>
  <si>
    <t>paper lantern</t>
  </si>
  <si>
    <t>aqua tile wall</t>
  </si>
  <si>
    <t>parabolic antenna</t>
  </si>
  <si>
    <t>Light Blue</t>
  </si>
  <si>
    <t>arched-window wall</t>
  </si>
  <si>
    <t>autumn wall</t>
  </si>
  <si>
    <t>park clock</t>
  </si>
  <si>
    <t>backyard-fence wall</t>
  </si>
  <si>
    <t>peach chair</t>
  </si>
  <si>
    <t>bamboo wall</t>
  </si>
  <si>
    <t>pear bed</t>
  </si>
  <si>
    <t>bamboo-grove wall</t>
  </si>
  <si>
    <t>pear wardrobe</t>
  </si>
  <si>
    <t>bamboo-screen wall</t>
  </si>
  <si>
    <t>bank-vault wall</t>
  </si>
  <si>
    <t>pet bed</t>
  </si>
  <si>
    <t>basic wall</t>
  </si>
  <si>
    <t>beaded-curtain wall</t>
  </si>
  <si>
    <t>phone box</t>
  </si>
  <si>
    <t>beige art-deco wall</t>
  </si>
  <si>
    <t>piano bench</t>
  </si>
  <si>
    <t>beige blossoming wall</t>
  </si>
  <si>
    <t>pile of leaves</t>
  </si>
  <si>
    <t>beige desert-tile wall</t>
  </si>
  <si>
    <t>pile of zen cushions</t>
  </si>
  <si>
    <t>black botanical-tile wall</t>
  </si>
  <si>
    <t>black hallway wall</t>
  </si>
  <si>
    <t>1x2 (wall)</t>
  </si>
  <si>
    <t>black perforated-board wall</t>
  </si>
  <si>
    <t>pinball machine</t>
  </si>
  <si>
    <t>black two-toned tile wall</t>
  </si>
  <si>
    <t>Pisces lamp</t>
  </si>
  <si>
    <t>black-brick wall</t>
  </si>
  <si>
    <t>plain sink</t>
  </si>
  <si>
    <t>black-crown wall</t>
  </si>
  <si>
    <t>plain wooden shop sign</t>
  </si>
  <si>
    <t>blackboard wall</t>
  </si>
  <si>
    <t>blue blossoming wall</t>
  </si>
  <si>
    <t>blue camo wall</t>
  </si>
  <si>
    <t>plastic pool</t>
  </si>
  <si>
    <t>blue delicate-blooms wall</t>
  </si>
  <si>
    <t>playground gym</t>
  </si>
  <si>
    <t>blue desert-tile wall</t>
  </si>
  <si>
    <t>podium</t>
  </si>
  <si>
    <t>blue diner wall</t>
  </si>
  <si>
    <t>pond stone</t>
  </si>
  <si>
    <t>blue flower-print wall</t>
  </si>
  <si>
    <t>pool</t>
  </si>
  <si>
    <t>blue heart-pattern wall</t>
  </si>
  <si>
    <t>poolside bed</t>
  </si>
  <si>
    <t>blue honeycomb-tile wall</t>
  </si>
  <si>
    <t>popcorn machine</t>
  </si>
  <si>
    <t>blue intricate wall</t>
  </si>
  <si>
    <t>blue molded-panel wall</t>
  </si>
  <si>
    <t>portable toilet</t>
  </si>
  <si>
    <t>blue painted-wood wall</t>
  </si>
  <si>
    <t>public bench</t>
  </si>
  <si>
    <t>blue playroom wall</t>
  </si>
  <si>
    <t>blue quilt wall</t>
  </si>
  <si>
    <t>pull-up-bar stand</t>
  </si>
  <si>
    <t>blue shanty wall</t>
  </si>
  <si>
    <t>blue simple-cloth wall</t>
  </si>
  <si>
    <t>punching bag</t>
  </si>
  <si>
    <t>blue subway-tile wall</t>
  </si>
  <si>
    <t>pyramid</t>
  </si>
  <si>
    <t>blue tile wall</t>
  </si>
  <si>
    <t>blue two-toned tile wall</t>
  </si>
  <si>
    <t>raccoon figurine</t>
  </si>
  <si>
    <t>blue-crown wall</t>
  </si>
  <si>
    <t>blue-paint wall</t>
  </si>
  <si>
    <t>blue-rose wall</t>
  </si>
  <si>
    <t>rattan armchair</t>
  </si>
  <si>
    <t>blue-striped wall</t>
  </si>
  <si>
    <t>rattan bed</t>
  </si>
  <si>
    <t>botanical-tile wall</t>
  </si>
  <si>
    <t>brown botanical-tile wall</t>
  </si>
  <si>
    <t>rattan end table</t>
  </si>
  <si>
    <t>brown diner wall</t>
  </si>
  <si>
    <t>brown hallway wall</t>
  </si>
  <si>
    <t>rattan low table</t>
  </si>
  <si>
    <t>brown herringbone wall</t>
  </si>
  <si>
    <t>brown shanty wall</t>
  </si>
  <si>
    <t>rattan stool</t>
  </si>
  <si>
    <t>brown-brick wall</t>
  </si>
  <si>
    <t>brown-crown wall</t>
  </si>
  <si>
    <t>rattan vanity</t>
  </si>
  <si>
    <t>Bunny Day wall</t>
  </si>
  <si>
    <t>rattan wardrobe</t>
  </si>
  <si>
    <t>butterflies wall</t>
  </si>
  <si>
    <t>cabin wall</t>
  </si>
  <si>
    <t>rattan waste bin</t>
  </si>
  <si>
    <t>café-curtain wall</t>
  </si>
  <si>
    <t>camo wall</t>
  </si>
  <si>
    <t>red corner</t>
  </si>
  <si>
    <t>chain-link fence</t>
  </si>
  <si>
    <t>red-leaf pile</t>
  </si>
  <si>
    <t>chalkboard wall</t>
  </si>
  <si>
    <t>refrigerator</t>
  </si>
  <si>
    <t>cherry wall</t>
  </si>
  <si>
    <t>mushroom wreath</t>
  </si>
  <si>
    <t>cherry-blossom-trees wall</t>
  </si>
  <si>
    <t>retro fan</t>
  </si>
  <si>
    <t>chic tearoom wall</t>
  </si>
  <si>
    <t>retro gas pump</t>
  </si>
  <si>
    <t>chic wall</t>
  </si>
  <si>
    <t>retro stereo</t>
  </si>
  <si>
    <t>chocolate hallway wall</t>
  </si>
  <si>
    <t>chocolate herringbone wall</t>
  </si>
  <si>
    <t>robot hero</t>
  </si>
  <si>
    <t>circuit-board wall</t>
  </si>
  <si>
    <t>cityscape wall</t>
  </si>
  <si>
    <t>rock guitar</t>
  </si>
  <si>
    <t>classic-library wall</t>
  </si>
  <si>
    <t>rocket</t>
  </si>
  <si>
    <t>colorful puzzle wall</t>
  </si>
  <si>
    <t>rocket lamp</t>
  </si>
  <si>
    <t>colorful-tile wall</t>
  </si>
  <si>
    <t>common wall</t>
  </si>
  <si>
    <t>rocking chair</t>
  </si>
  <si>
    <t>concrete wall</t>
  </si>
  <si>
    <t>construction-site wall</t>
  </si>
  <si>
    <t>rocking horse</t>
  </si>
  <si>
    <t>crepe-design wall</t>
  </si>
  <si>
    <t>cute blue wall</t>
  </si>
  <si>
    <t>rose bed</t>
  </si>
  <si>
    <t>cute red wall</t>
  </si>
  <si>
    <t>cute white wall</t>
  </si>
  <si>
    <t>cute yellow wall</t>
  </si>
  <si>
    <t>round space heater</t>
  </si>
  <si>
    <t>dark wooden-mosaic wall</t>
  </si>
  <si>
    <t>dark-chocolate wall</t>
  </si>
  <si>
    <t>safe</t>
  </si>
  <si>
    <t>desert vista</t>
  </si>
  <si>
    <t>sand castle</t>
  </si>
  <si>
    <t>dig-site wall</t>
  </si>
  <si>
    <t>dirt-clod wall</t>
  </si>
  <si>
    <t>sandbox</t>
  </si>
  <si>
    <t>3x2</t>
  </si>
  <si>
    <t>dojo wall</t>
  </si>
  <si>
    <t>satellite</t>
  </si>
  <si>
    <t>dungeon wall</t>
  </si>
  <si>
    <t>sauna heater</t>
  </si>
  <si>
    <t>exquisite wall</t>
  </si>
  <si>
    <t>forest wall</t>
  </si>
  <si>
    <t>scarecrow</t>
  </si>
  <si>
    <t>future-tech wall</t>
  </si>
  <si>
    <t>scattered papers</t>
  </si>
  <si>
    <t>garbage-heap wall</t>
  </si>
  <si>
    <t>gold-screen wall</t>
  </si>
  <si>
    <t>school chair</t>
  </si>
  <si>
    <t>golden wall</t>
  </si>
  <si>
    <t>gray diner wall</t>
  </si>
  <si>
    <t>school desk</t>
  </si>
  <si>
    <t>gray molded-panel wall</t>
  </si>
  <si>
    <t>screen</t>
  </si>
  <si>
    <t>gray shanty wall</t>
  </si>
  <si>
    <t>gray-striped wall</t>
  </si>
  <si>
    <t>server</t>
  </si>
  <si>
    <t>green blossoming wall</t>
  </si>
  <si>
    <t>serving cart</t>
  </si>
  <si>
    <t>green delicate-blooms wall</t>
  </si>
  <si>
    <t>green flower-print wall</t>
  </si>
  <si>
    <t>shaded floor lamp</t>
  </si>
  <si>
    <t>green honeycomb-tile wall</t>
  </si>
  <si>
    <t>shell arch</t>
  </si>
  <si>
    <t>green intricate wall</t>
  </si>
  <si>
    <t>green molded-panel wall</t>
  </si>
  <si>
    <t>shell bed</t>
  </si>
  <si>
    <t>green painted-wood wall</t>
  </si>
  <si>
    <t>green playroom wall</t>
  </si>
  <si>
    <t>shell fountain</t>
  </si>
  <si>
    <t>green-paint wall</t>
  </si>
  <si>
    <t>groovy wall</t>
  </si>
  <si>
    <t>shell partition</t>
  </si>
  <si>
    <t>harmonious wall</t>
  </si>
  <si>
    <t>heavy-curtain wall</t>
  </si>
  <si>
    <t>honeycomb wall</t>
  </si>
  <si>
    <t>shell stool</t>
  </si>
  <si>
    <t>honeycomb-tile wall</t>
  </si>
  <si>
    <t>ice wall</t>
  </si>
  <si>
    <t>shell table</t>
  </si>
  <si>
    <t>iceberg wall</t>
  </si>
  <si>
    <t>imperial wall</t>
  </si>
  <si>
    <t>shower booth</t>
  </si>
  <si>
    <t>industrial wall</t>
  </si>
  <si>
    <t>signpost</t>
  </si>
  <si>
    <t>ivy wall</t>
  </si>
  <si>
    <t>Jingle wall</t>
  </si>
  <si>
    <t>silo</t>
  </si>
  <si>
    <t>jungle wall</t>
  </si>
  <si>
    <t>kisses wall</t>
  </si>
  <si>
    <t>laboratory wall</t>
  </si>
  <si>
    <t>silver mic</t>
  </si>
  <si>
    <t>lattice wall</t>
  </si>
  <si>
    <t>magma-cavern wall</t>
  </si>
  <si>
    <t>simple DIY workbench</t>
  </si>
  <si>
    <t>manga-library wall</t>
  </si>
  <si>
    <t>mangrove wall</t>
  </si>
  <si>
    <t>simple panel</t>
  </si>
  <si>
    <t>marine pop wall</t>
  </si>
  <si>
    <t>meadow vista</t>
  </si>
  <si>
    <t>simple well</t>
  </si>
  <si>
    <t>misty-garden wall</t>
  </si>
  <si>
    <t>mod wall</t>
  </si>
  <si>
    <t>skeleton</t>
  </si>
  <si>
    <t>modern shoji-screen wall</t>
  </si>
  <si>
    <t>modern tearoom wall</t>
  </si>
  <si>
    <t>sleeping bag</t>
  </si>
  <si>
    <t>modern wood wall</t>
  </si>
  <si>
    <t>monochromatic dotted wall</t>
  </si>
  <si>
    <t>sleigh</t>
  </si>
  <si>
    <t>monochromatic-tile wall</t>
  </si>
  <si>
    <t>mortar wall</t>
  </si>
  <si>
    <t>small cardboard boxes</t>
  </si>
  <si>
    <t>mosaic-tile wall</t>
  </si>
  <si>
    <t>smoker</t>
  </si>
  <si>
    <t>mossy-garden wall</t>
  </si>
  <si>
    <t>snack machine</t>
  </si>
  <si>
    <t>mush wall</t>
  </si>
  <si>
    <t>soccer goal</t>
  </si>
  <si>
    <t>Nook Inc. wall</t>
  </si>
  <si>
    <t>soft-serve lamp</t>
  </si>
  <si>
    <t>ocean-horizon wall</t>
  </si>
  <si>
    <t>office wall</t>
  </si>
  <si>
    <t>solar panel</t>
  </si>
  <si>
    <t>old wallpaper</t>
  </si>
  <si>
    <t>South Pole</t>
  </si>
  <si>
    <t>olive desert-tile wall</t>
  </si>
  <si>
    <t>orange camo wall</t>
  </si>
  <si>
    <t>orange molded-panel wall</t>
  </si>
  <si>
    <t>space shuttle</t>
  </si>
  <si>
    <t>orange wall</t>
  </si>
  <si>
    <t>orange-paint wall</t>
  </si>
  <si>
    <t>speed bag</t>
  </si>
  <si>
    <t>paintball wall</t>
  </si>
  <si>
    <t>palace wall</t>
  </si>
  <si>
    <t>sphinx</t>
  </si>
  <si>
    <t>party wall</t>
  </si>
  <si>
    <t>spinning wheel</t>
  </si>
  <si>
    <t>pastel dotted wall</t>
  </si>
  <si>
    <t>pastel puzzle wall</t>
  </si>
  <si>
    <t>springy ride-on</t>
  </si>
  <si>
    <t>peach two-toned tile wall</t>
  </si>
  <si>
    <t>squat toilet</t>
  </si>
  <si>
    <t>peach wall</t>
  </si>
  <si>
    <t>pear wall</t>
  </si>
  <si>
    <t>stadiometer</t>
  </si>
  <si>
    <t>perforated-board wall</t>
  </si>
  <si>
    <t>pink blossoming wall</t>
  </si>
  <si>
    <t>stall</t>
  </si>
  <si>
    <t>pink diner wall</t>
  </si>
  <si>
    <t>pink flower-print wall</t>
  </si>
  <si>
    <t>standard umbrella stand</t>
  </si>
  <si>
    <t>pink heart-pattern wall</t>
  </si>
  <si>
    <t>pink painted-wood wall</t>
  </si>
  <si>
    <t>standing toilet</t>
  </si>
  <si>
    <t>pink playroom wall</t>
  </si>
  <si>
    <t>pink quilt wall</t>
  </si>
  <si>
    <t>Statue of Liberty</t>
  </si>
  <si>
    <t>pink shanty wall</t>
  </si>
  <si>
    <t>pink simple-cloth wall</t>
  </si>
  <si>
    <t>stone arch</t>
  </si>
  <si>
    <t>pink-crown wall</t>
  </si>
  <si>
    <t>pink-striped wall</t>
  </si>
  <si>
    <t>stone stool</t>
  </si>
  <si>
    <t>purple camo wall</t>
  </si>
  <si>
    <t>purple desert-tile wall</t>
  </si>
  <si>
    <t>stone table</t>
  </si>
  <si>
    <t>purple dotted wall</t>
  </si>
  <si>
    <t>purple puzzle wall</t>
  </si>
  <si>
    <t>purple quilt wall</t>
  </si>
  <si>
    <t>stone tablet</t>
  </si>
  <si>
    <t>purple-rose wall</t>
  </si>
  <si>
    <t>stone lion-dog</t>
  </si>
  <si>
    <t>rammed-earth wall</t>
  </si>
  <si>
    <t>ramshackle wall</t>
  </si>
  <si>
    <t>Stonehenge</t>
  </si>
  <si>
    <t>red art-deco wall</t>
  </si>
  <si>
    <t>red delicate-blooms wall</t>
  </si>
  <si>
    <t>street organ</t>
  </si>
  <si>
    <t>red dotted wall</t>
  </si>
  <si>
    <t>red heart-pattern wall</t>
  </si>
  <si>
    <t>street piano</t>
  </si>
  <si>
    <t>red intricate wall</t>
  </si>
  <si>
    <t>red perforated-board wall</t>
  </si>
  <si>
    <t>streetlamp</t>
  </si>
  <si>
    <t>red two-toned tile wall</t>
  </si>
  <si>
    <t>studio spotlight</t>
  </si>
  <si>
    <t>red-brick wall</t>
  </si>
  <si>
    <t>surfboard</t>
  </si>
  <si>
    <t>retro flower-print wall</t>
  </si>
  <si>
    <t>rice-paddy wall</t>
  </si>
  <si>
    <t>swinging bench</t>
  </si>
  <si>
    <t>ringside seating</t>
  </si>
  <si>
    <t>synthesizer</t>
  </si>
  <si>
    <t>rock-climbing wall</t>
  </si>
  <si>
    <t>system kitchen</t>
  </si>
  <si>
    <t>rose wall</t>
  </si>
  <si>
    <t>table with cloth</t>
  </si>
  <si>
    <t>ruins wall</t>
  </si>
  <si>
    <t>tall garden rock</t>
  </si>
  <si>
    <t>rustic-stone wall</t>
  </si>
  <si>
    <t>tall lantern</t>
  </si>
  <si>
    <t>sakura-wood wall</t>
  </si>
  <si>
    <t>tankless toilet</t>
  </si>
  <si>
    <t>sci-fi wall</t>
  </si>
  <si>
    <t>tatami bed</t>
  </si>
  <si>
    <t>screen wall</t>
  </si>
  <si>
    <t>Taurus bathtub</t>
  </si>
  <si>
    <t>sea view</t>
  </si>
  <si>
    <t>tea table</t>
  </si>
  <si>
    <t>security-monitors wall</t>
  </si>
  <si>
    <t>teacup ride</t>
  </si>
  <si>
    <t>sepia puzzle wall</t>
  </si>
  <si>
    <t>telescope</t>
  </si>
  <si>
    <t>tennis table</t>
  </si>
  <si>
    <t>server-room wall</t>
  </si>
  <si>
    <t>termite mound</t>
  </si>
  <si>
    <t>shoji screen</t>
  </si>
  <si>
    <t>three-tiered snowperson</t>
  </si>
  <si>
    <t>shutter wall</t>
  </si>
  <si>
    <t>ski-slope wall</t>
  </si>
  <si>
    <t>throwback dino screen</t>
  </si>
  <si>
    <t>skull wall</t>
  </si>
  <si>
    <t>throwback hat table</t>
  </si>
  <si>
    <t>sky wall</t>
  </si>
  <si>
    <t>throwback mitt chair</t>
  </si>
  <si>
    <t>skyscraper wall</t>
  </si>
  <si>
    <t>snowflake wall</t>
  </si>
  <si>
    <t>throwback race-car bed</t>
  </si>
  <si>
    <t>soothing tearoom wall</t>
  </si>
  <si>
    <t>stacked-wood wall</t>
  </si>
  <si>
    <t>stadium wall</t>
  </si>
  <si>
    <t>throwback rocket</t>
  </si>
  <si>
    <t>standard tearoom wall</t>
  </si>
  <si>
    <t>tiki torch</t>
  </si>
  <si>
    <t>starry wall</t>
  </si>
  <si>
    <t>starry-sky wall</t>
  </si>
  <si>
    <t>tiny library</t>
  </si>
  <si>
    <t>stately wall</t>
  </si>
  <si>
    <t>tire stack</t>
  </si>
  <si>
    <t>steel-frame wall</t>
  </si>
  <si>
    <t>tire toy</t>
  </si>
  <si>
    <t>stone wall</t>
  </si>
  <si>
    <t>stormy-night wall</t>
  </si>
  <si>
    <t>toilet</t>
  </si>
  <si>
    <t>straw wall</t>
  </si>
  <si>
    <t>toilet-cleaning set</t>
  </si>
  <si>
    <t>strawberry-chocolate wall</t>
  </si>
  <si>
    <t>tool cart</t>
  </si>
  <si>
    <t>street-art wall</t>
  </si>
  <si>
    <t>tool shelf</t>
  </si>
  <si>
    <t>summit wall</t>
  </si>
  <si>
    <t>tourist telescope</t>
  </si>
  <si>
    <t>tree-lined wall</t>
  </si>
  <si>
    <t>Tower of Pisa</t>
  </si>
  <si>
    <t>tropical vista</t>
  </si>
  <si>
    <t>train set</t>
  </si>
  <si>
    <t>Summer seasonal DIY using summer shells (found on beach)</t>
  </si>
  <si>
    <t>underwater wall</t>
  </si>
  <si>
    <t>treadmill</t>
  </si>
  <si>
    <t>wavy-tile wall</t>
  </si>
  <si>
    <t>tree standee</t>
  </si>
  <si>
    <t>western vista</t>
  </si>
  <si>
    <t>white botanical-tile wall</t>
  </si>
  <si>
    <t>tree's bounty arch</t>
  </si>
  <si>
    <t>white delicate-blooms wall</t>
  </si>
  <si>
    <t>tree's bounty big tree</t>
  </si>
  <si>
    <t>white hallway wall</t>
  </si>
  <si>
    <t>tricycle</t>
  </si>
  <si>
    <t>white honeycomb-tile wall</t>
  </si>
  <si>
    <t>trophy case</t>
  </si>
  <si>
    <t>white painted-wood wall</t>
  </si>
  <si>
    <t>tulip surprise box</t>
  </si>
  <si>
    <t>white perforated-board wall</t>
  </si>
  <si>
    <t>TV camera</t>
  </si>
  <si>
    <t>white simple-cloth wall</t>
  </si>
  <si>
    <t>upright locker</t>
  </si>
  <si>
    <t>white subway-tile wall</t>
  </si>
  <si>
    <t>upright piano</t>
  </si>
  <si>
    <t>white-brick wall</t>
  </si>
  <si>
    <t>upright vacuum</t>
  </si>
  <si>
    <t>white-chocolate wall</t>
  </si>
  <si>
    <t>utility pole</t>
  </si>
  <si>
    <t>white-rose wall</t>
  </si>
  <si>
    <t>utility sink</t>
  </si>
  <si>
    <t>wild-wood wall</t>
  </si>
  <si>
    <t>vacuum cleaner</t>
  </si>
  <si>
    <t>wooden-knot wall</t>
  </si>
  <si>
    <t>wooden-mosaic wall</t>
  </si>
  <si>
    <t>velvet stool</t>
  </si>
  <si>
    <t>woodland wall</t>
  </si>
  <si>
    <t>video camera</t>
  </si>
  <si>
    <t>yellow flower-print wall</t>
  </si>
  <si>
    <t>yellow heart-pattern wall</t>
  </si>
  <si>
    <t>vintage TV tray</t>
  </si>
  <si>
    <t>yellow intricate wall</t>
  </si>
  <si>
    <t>Virgo harp</t>
  </si>
  <si>
    <t>yellow playroom wall</t>
  </si>
  <si>
    <t>yellow quilt wall</t>
  </si>
  <si>
    <t>water cooler</t>
  </si>
  <si>
    <t>yellow simple-cloth wall</t>
  </si>
  <si>
    <t>yellow-paint wall</t>
  </si>
  <si>
    <t>water pump</t>
  </si>
  <si>
    <t>yellow-striped wall</t>
  </si>
  <si>
    <t>wave breaker</t>
  </si>
  <si>
    <t>weight bench</t>
  </si>
  <si>
    <t>western-style stone</t>
  </si>
  <si>
    <t>whale shark model</t>
  </si>
  <si>
    <t>wheelchair</t>
  </si>
  <si>
    <t>whirlpool bath</t>
  </si>
  <si>
    <t>whiteboard</t>
  </si>
  <si>
    <t>wild log bench</t>
  </si>
  <si>
    <t>wind turbine</t>
  </si>
  <si>
    <t>wood-burning stove</t>
  </si>
  <si>
    <t>wooden bookshelf</t>
  </si>
  <si>
    <t>wooden bucket</t>
  </si>
  <si>
    <t>aqua tile flooring</t>
  </si>
  <si>
    <t>wooden chair</t>
  </si>
  <si>
    <t>arabesque flooring</t>
  </si>
  <si>
    <t>wooden chest</t>
  </si>
  <si>
    <t>arched-brick flooring</t>
  </si>
  <si>
    <t>argyle tile flooring</t>
  </si>
  <si>
    <t>wooden double bed</t>
  </si>
  <si>
    <t>artsy parquet flooring</t>
  </si>
  <si>
    <t>backyard lawn</t>
  </si>
  <si>
    <t>wooden end table</t>
  </si>
  <si>
    <t>bamboo flooring</t>
  </si>
  <si>
    <t>wooden full-length mirror</t>
  </si>
  <si>
    <t>basement flooring</t>
  </si>
  <si>
    <t>beige desert-tile flooring</t>
  </si>
  <si>
    <t>wooden low table</t>
  </si>
  <si>
    <t>berry-chocolates flooring</t>
  </si>
  <si>
    <t>birch flooring</t>
  </si>
  <si>
    <t>wooden mini table</t>
  </si>
  <si>
    <t>black iron-parquet flooring</t>
  </si>
  <si>
    <t>black-brick flooring</t>
  </si>
  <si>
    <t>wooden simple bed</t>
  </si>
  <si>
    <t>blue camo flooring</t>
  </si>
  <si>
    <t>wooden stool</t>
  </si>
  <si>
    <t>blue desert-tile flooring</t>
  </si>
  <si>
    <t>blue dot flooring</t>
  </si>
  <si>
    <t>blue floral flooring</t>
  </si>
  <si>
    <t>wooden table</t>
  </si>
  <si>
    <t>blue honeycomb tile</t>
  </si>
  <si>
    <t>blue mosaic-tile flooring</t>
  </si>
  <si>
    <t>wooden wardrobe</t>
  </si>
  <si>
    <t>blue rubber flooring</t>
  </si>
  <si>
    <t>blue-paint flooring</t>
  </si>
  <si>
    <t>wooden waste bin</t>
  </si>
  <si>
    <t>boxing-ring mat</t>
  </si>
  <si>
    <t>brown argyle-tile flooring</t>
  </si>
  <si>
    <t>wooden-block bed</t>
  </si>
  <si>
    <t>brown floral flooring</t>
  </si>
  <si>
    <t>brown honeycomb tile</t>
  </si>
  <si>
    <t>wooden-block bench</t>
  </si>
  <si>
    <t>brown iron-parquet flooring</t>
  </si>
  <si>
    <t>wooden-block bookshelf</t>
  </si>
  <si>
    <t>brown-brick flooring</t>
  </si>
  <si>
    <t>Bunny Day flooring</t>
  </si>
  <si>
    <t>wooden-block chair</t>
  </si>
  <si>
    <t>camo flooring</t>
  </si>
  <si>
    <t>cherry-blossom flooring</t>
  </si>
  <si>
    <t>wooden-block chest</t>
  </si>
  <si>
    <t>circuit-board flooring</t>
  </si>
  <si>
    <t>cloud flooring</t>
  </si>
  <si>
    <t>wooden-block stereo</t>
  </si>
  <si>
    <t>colored-leaves flooring</t>
  </si>
  <si>
    <t>colorful mosaic-tile flooring</t>
  </si>
  <si>
    <t>wooden-block stool</t>
  </si>
  <si>
    <t>colorful puzzle flooring</t>
  </si>
  <si>
    <t>colorful tile flooring</t>
  </si>
  <si>
    <t>wooden-block table</t>
  </si>
  <si>
    <t>common flooring</t>
  </si>
  <si>
    <t>concrete flooring</t>
  </si>
  <si>
    <t>writing chair</t>
  </si>
  <si>
    <t>construction-site flooring</t>
  </si>
  <si>
    <t>cool vinyl flooring</t>
  </si>
  <si>
    <t>writing desk</t>
  </si>
  <si>
    <t>cool-paint flooring</t>
  </si>
  <si>
    <t>cork flooring</t>
  </si>
  <si>
    <t>crop-circles flooring</t>
  </si>
  <si>
    <t>yellow-leaf pile</t>
  </si>
  <si>
    <t>crosswalk flooring</t>
  </si>
  <si>
    <t>cubic parquet flooring</t>
  </si>
  <si>
    <t>yucca</t>
  </si>
  <si>
    <t>cute blue-tile flooring</t>
  </si>
  <si>
    <t>cute red-tile flooring</t>
  </si>
  <si>
    <t>zen cushion</t>
  </si>
  <si>
    <t>cute white-tile flooring</t>
  </si>
  <si>
    <t>zen-style stone</t>
  </si>
  <si>
    <t>cute yellow-tile flooring</t>
  </si>
  <si>
    <t>cute-paint flooring</t>
  </si>
  <si>
    <t>daisy meadow</t>
  </si>
  <si>
    <t>dark herringbone flooring</t>
  </si>
  <si>
    <t>dark parquet flooring</t>
  </si>
  <si>
    <t>dark wood-pattern flooring</t>
  </si>
  <si>
    <t>dark-block flooring</t>
  </si>
  <si>
    <t>dark-chocolates flooring</t>
  </si>
  <si>
    <t>dig-site flooring</t>
  </si>
  <si>
    <t>Reorder</t>
  </si>
  <si>
    <t>dirt flooring</t>
  </si>
  <si>
    <t>aluminum rug</t>
  </si>
  <si>
    <t>field flooring</t>
  </si>
  <si>
    <t>flagstone flooring</t>
  </si>
  <si>
    <t>floral mosaic-tile flooring</t>
  </si>
  <si>
    <t>3x2 (rug)</t>
  </si>
  <si>
    <t>Medium rug</t>
  </si>
  <si>
    <t>apple rug</t>
  </si>
  <si>
    <t>floral rush-mat flooring</t>
  </si>
  <si>
    <t>3x3 (rug)</t>
  </si>
  <si>
    <t>black blocks rug</t>
  </si>
  <si>
    <t>flowing-river flooring</t>
  </si>
  <si>
    <t>black wooden-deck rug</t>
  </si>
  <si>
    <t>forest flooring</t>
  </si>
  <si>
    <t>future-tech flooring</t>
  </si>
  <si>
    <t>black-design kitchen mat</t>
  </si>
  <si>
    <t>2x1 (rug)</t>
  </si>
  <si>
    <t>galaxy flooring</t>
  </si>
  <si>
    <t>Small rug</t>
  </si>
  <si>
    <t>blue argyle rug</t>
  </si>
  <si>
    <t>garbage-heap flooring</t>
  </si>
  <si>
    <t>4x3 (rug)</t>
  </si>
  <si>
    <t>Large rug</t>
  </si>
  <si>
    <t>blue blocks rug</t>
  </si>
  <si>
    <t>giraffe-print flooring</t>
  </si>
  <si>
    <t>blue dotted rug</t>
  </si>
  <si>
    <t>gold iron-parquet flooring</t>
  </si>
  <si>
    <t>blue kilim-style carpet</t>
  </si>
  <si>
    <t>5x5 (rug)</t>
  </si>
  <si>
    <t>blue kitchen mat</t>
  </si>
  <si>
    <t>golden flooring</t>
  </si>
  <si>
    <t>blue medium round mat</t>
  </si>
  <si>
    <t>gravel flooring</t>
  </si>
  <si>
    <t>blue message mat</t>
  </si>
  <si>
    <t>gray argyle-tile flooring</t>
  </si>
  <si>
    <t>blue Persian rug</t>
  </si>
  <si>
    <t>gray vinyl flooring</t>
  </si>
  <si>
    <t>blue shaggy rug</t>
  </si>
  <si>
    <t>green floral flooring</t>
  </si>
  <si>
    <t>blue small round mat</t>
  </si>
  <si>
    <t>green honeycomb tile</t>
  </si>
  <si>
    <t>2x2 (rug)</t>
  </si>
  <si>
    <t>blue stripes rug</t>
  </si>
  <si>
    <t>green retro flooring</t>
  </si>
  <si>
    <t>blue vinyl sheet</t>
  </si>
  <si>
    <t>green rubber flooring</t>
  </si>
  <si>
    <t>blue wavy rug</t>
  </si>
  <si>
    <t>green vinyl flooring</t>
  </si>
  <si>
    <t>green-paint flooring</t>
  </si>
  <si>
    <t>blue-design kitchen mat</t>
  </si>
  <si>
    <t>hexagonal floral flooring</t>
  </si>
  <si>
    <t>highway flooring</t>
  </si>
  <si>
    <t>botanical rug</t>
  </si>
  <si>
    <t>honeycomb flooring</t>
  </si>
  <si>
    <t>brown argyle rug</t>
  </si>
  <si>
    <t>ice flooring</t>
  </si>
  <si>
    <t>brown kitchen mat</t>
  </si>
  <si>
    <t>iceberg flooring</t>
  </si>
  <si>
    <t>brown shaggy rug</t>
  </si>
  <si>
    <t>imperial tile</t>
  </si>
  <si>
    <t>brown wooden-deck rug</t>
  </si>
  <si>
    <t>jointed-mat flooring</t>
  </si>
  <si>
    <t>Bunny Day rug</t>
  </si>
  <si>
    <t>cherry rug</t>
  </si>
  <si>
    <t>jungle flooring</t>
  </si>
  <si>
    <t>colorful vinyl sheet</t>
  </si>
  <si>
    <t>kitschy tile</t>
  </si>
  <si>
    <t>dark bamboo rug</t>
  </si>
  <si>
    <t>lava flooring</t>
  </si>
  <si>
    <t>Earth rug</t>
  </si>
  <si>
    <t>leopard-print flooring</t>
  </si>
  <si>
    <t>fish rug</t>
  </si>
  <si>
    <t>light herringbone flooring</t>
  </si>
  <si>
    <t>light parquet flooring</t>
  </si>
  <si>
    <t>light wood-pattern flooring</t>
  </si>
  <si>
    <t>fluffy rug</t>
  </si>
  <si>
    <t>lobby flooring</t>
  </si>
  <si>
    <t>lunar surface</t>
  </si>
  <si>
    <t>fossil rug</t>
  </si>
  <si>
    <t>marine pop flooring</t>
  </si>
  <si>
    <t>green checked rug</t>
  </si>
  <si>
    <t>mint dot flooring</t>
  </si>
  <si>
    <t>4x4 (rug)</t>
  </si>
  <si>
    <t>green kilim-style carpet</t>
  </si>
  <si>
    <t>modern wood flooring</t>
  </si>
  <si>
    <t>green kitchen mat</t>
  </si>
  <si>
    <t>money flooring</t>
  </si>
  <si>
    <t>monochromatic dot flooring</t>
  </si>
  <si>
    <t>green shaggy rug</t>
  </si>
  <si>
    <t>monochromatic tile flooring</t>
  </si>
  <si>
    <t>mossy-garden flooring</t>
  </si>
  <si>
    <t>green stripes rug</t>
  </si>
  <si>
    <t>natural-block flooring</t>
  </si>
  <si>
    <t>iron entrance mat</t>
  </si>
  <si>
    <t>Nook Inc. flooring</t>
  </si>
  <si>
    <t>oasis flooring</t>
  </si>
  <si>
    <t>ivory medium round mat</t>
  </si>
  <si>
    <t>olive desert-tile flooring</t>
  </si>
  <si>
    <t>ivory simple bath mat</t>
  </si>
  <si>
    <t>orange camo flooring</t>
  </si>
  <si>
    <t>ivory small round mat</t>
  </si>
  <si>
    <t>orange retro flooring</t>
  </si>
  <si>
    <t>lacy rug</t>
  </si>
  <si>
    <t>paintball flooring</t>
  </si>
  <si>
    <t>ladybug rug</t>
  </si>
  <si>
    <t>palace tile</t>
  </si>
  <si>
    <t>light bamboo rug</t>
  </si>
  <si>
    <t>parking flooring</t>
  </si>
  <si>
    <t>party flooring</t>
  </si>
  <si>
    <t>magic-circle rug</t>
  </si>
  <si>
    <t>pastel puzzle flooring</t>
  </si>
  <si>
    <t>modern wavy rug</t>
  </si>
  <si>
    <t>patchwork-tile flooring</t>
  </si>
  <si>
    <t>Mom's cool kitchen mat</t>
  </si>
  <si>
    <t>pine-board flooring</t>
  </si>
  <si>
    <t>Mom's lively kitchen mat</t>
  </si>
  <si>
    <t>pink-paint flooring</t>
  </si>
  <si>
    <t>Mom's playful kitchen mat</t>
  </si>
  <si>
    <t>purple camo flooring</t>
  </si>
  <si>
    <t>Mom's reliable kitchen mat</t>
  </si>
  <si>
    <t>purple desert-tile flooring</t>
  </si>
  <si>
    <t>monochromatic dotted rug</t>
  </si>
  <si>
    <t>purple puzzle flooring</t>
  </si>
  <si>
    <t>monochromatic wavy rug</t>
  </si>
  <si>
    <t>mush rug</t>
  </si>
  <si>
    <t>pyramid tile</t>
  </si>
  <si>
    <t>natural wooden-deck rug</t>
  </si>
  <si>
    <t>racetrack flooring</t>
  </si>
  <si>
    <t>Nook Inc. botanical rug</t>
  </si>
  <si>
    <t>ramshackle flooring</t>
  </si>
  <si>
    <t>Nook Inc. rug</t>
  </si>
  <si>
    <t>random-square-tile flooring</t>
  </si>
  <si>
    <t>Nook Inc. silk rug</t>
  </si>
  <si>
    <t>rattan flooring</t>
  </si>
  <si>
    <t>orange rug</t>
  </si>
  <si>
    <t>red dot flooring</t>
  </si>
  <si>
    <t>oval entrance mat</t>
  </si>
  <si>
    <t>red-and-black vinyl flooring</t>
  </si>
  <si>
    <t>peach checked rug</t>
  </si>
  <si>
    <t>red-brick flooring</t>
  </si>
  <si>
    <t>rocky-mountain flooring</t>
  </si>
  <si>
    <t>peach rug</t>
  </si>
  <si>
    <t>rose flooring</t>
  </si>
  <si>
    <t>peach stripes rug</t>
  </si>
  <si>
    <t>rosewood flooring</t>
  </si>
  <si>
    <t>pear rug</t>
  </si>
  <si>
    <t>rubber-tile flooring</t>
  </si>
  <si>
    <t>pink heart rug</t>
  </si>
  <si>
    <t>rush tatami</t>
  </si>
  <si>
    <t>pink rose rug</t>
  </si>
  <si>
    <t>rush tatami flooring</t>
  </si>
  <si>
    <t>purple heart rug</t>
  </si>
  <si>
    <t>Saharah's desert</t>
  </si>
  <si>
    <t>purple Persian rug</t>
  </si>
  <si>
    <t>sakura-wood flooring</t>
  </si>
  <si>
    <t>purple shaggy rug</t>
  </si>
  <si>
    <t>sandlot</t>
  </si>
  <si>
    <t>red argyle rug</t>
  </si>
  <si>
    <t>red blocks rug</t>
  </si>
  <si>
    <t>sandy-beach flooring</t>
  </si>
  <si>
    <t>red carpet</t>
  </si>
  <si>
    <t>sci-fi flooring</t>
  </si>
  <si>
    <t>red dotted rug</t>
  </si>
  <si>
    <t>scramble crosswalk</t>
  </si>
  <si>
    <t>red kilim-style carpet</t>
  </si>
  <si>
    <t>sepia puzzle flooring</t>
  </si>
  <si>
    <t>red medium round mat</t>
  </si>
  <si>
    <t>ship deck</t>
  </si>
  <si>
    <t>sidewalk flooring</t>
  </si>
  <si>
    <t>red message mat</t>
  </si>
  <si>
    <t>simple blue flooring</t>
  </si>
  <si>
    <t>red Persian rug</t>
  </si>
  <si>
    <t>simple purple flooring</t>
  </si>
  <si>
    <t>red rose rug</t>
  </si>
  <si>
    <t>Obtained From</t>
  </si>
  <si>
    <t>Admiral's photo</t>
  </si>
  <si>
    <t>simple red flooring</t>
  </si>
  <si>
    <t>High Friendship</t>
  </si>
  <si>
    <t>red small round mat</t>
  </si>
  <si>
    <t>simple white flooring</t>
  </si>
  <si>
    <t>red vinyl sheet</t>
  </si>
  <si>
    <t>ski-slope flooring</t>
  </si>
  <si>
    <t>red wavy rug</t>
  </si>
  <si>
    <t>skull-print flooring</t>
  </si>
  <si>
    <t>slate flooring</t>
  </si>
  <si>
    <t>red-and-blue checked rug</t>
  </si>
  <si>
    <t>starry-sands flooring</t>
  </si>
  <si>
    <t>steel flooring</t>
  </si>
  <si>
    <t>red-design kitchen mat</t>
  </si>
  <si>
    <t>Agent S's photo</t>
  </si>
  <si>
    <t>stone tile</t>
  </si>
  <si>
    <t>retro dotted rug</t>
  </si>
  <si>
    <t>stripe flooring</t>
  </si>
  <si>
    <t>rough rug</t>
  </si>
  <si>
    <t>sumo ring</t>
  </si>
  <si>
    <t>rubber mud mat</t>
  </si>
  <si>
    <t>shanty mat</t>
  </si>
  <si>
    <t>swamp flooring</t>
  </si>
  <si>
    <t>shell rug</t>
  </si>
  <si>
    <t>tatami</t>
  </si>
  <si>
    <t>Agnes's photo</t>
  </si>
  <si>
    <t>simple green bath mat</t>
  </si>
  <si>
    <t>tatami flooring</t>
  </si>
  <si>
    <t>simple medium avocado mat</t>
  </si>
  <si>
    <t>terra-cotta flooring</t>
  </si>
  <si>
    <t>simple medium black mat</t>
  </si>
  <si>
    <t>tiger-print flooring</t>
  </si>
  <si>
    <t>simple medium blue mat</t>
  </si>
  <si>
    <t>train-station flooring</t>
  </si>
  <si>
    <t>simple medium brown mat</t>
  </si>
  <si>
    <t>underwater flooring</t>
  </si>
  <si>
    <t>Al's photo</t>
  </si>
  <si>
    <t>water flooring</t>
  </si>
  <si>
    <t>simple medium orange mat</t>
  </si>
  <si>
    <t>western desert</t>
  </si>
  <si>
    <t>simple medium purple mat</t>
  </si>
  <si>
    <t>white honeycomb tile</t>
  </si>
  <si>
    <t>simple medium red mat</t>
  </si>
  <si>
    <t>white iron-parquet flooring</t>
  </si>
  <si>
    <t>simple navy bath mat</t>
  </si>
  <si>
    <t>white mosaic-tile flooring</t>
  </si>
  <si>
    <t>Alfonso's photo</t>
  </si>
  <si>
    <t>simple pink bath mat</t>
  </si>
  <si>
    <t>white-brick flooring</t>
  </si>
  <si>
    <t>simple small avocado mat</t>
  </si>
  <si>
    <t>white-chocolates flooring</t>
  </si>
  <si>
    <t>simple small black mat</t>
  </si>
  <si>
    <t>white-paint flooring</t>
  </si>
  <si>
    <t>wildflower meadow</t>
  </si>
  <si>
    <t>simple small blue mat</t>
  </si>
  <si>
    <t>Alice's photo</t>
  </si>
  <si>
    <t>simple small brown mat</t>
  </si>
  <si>
    <t>wooden-knot flooring</t>
  </si>
  <si>
    <t>simple small orange mat</t>
  </si>
  <si>
    <t>yellow floral flooring</t>
  </si>
  <si>
    <t>simple small purple mat</t>
  </si>
  <si>
    <t>zebra-print flooring</t>
  </si>
  <si>
    <t>simple small red mat</t>
  </si>
  <si>
    <t>sloppy rug</t>
  </si>
  <si>
    <t>snowflake rug</t>
  </si>
  <si>
    <t>Alli's photo</t>
  </si>
  <si>
    <t>tatami mat</t>
  </si>
  <si>
    <t>tropical rug</t>
  </si>
  <si>
    <t>turquoise heart rug</t>
  </si>
  <si>
    <t>white heart rug</t>
  </si>
  <si>
    <t>Amelia's photo</t>
  </si>
  <si>
    <t>Admiral's poster</t>
  </si>
  <si>
    <t>white message mat</t>
  </si>
  <si>
    <t>Amiibo</t>
  </si>
  <si>
    <t>Agent S's poster</t>
  </si>
  <si>
    <t>Agnes's poster</t>
  </si>
  <si>
    <t>white rose rug</t>
  </si>
  <si>
    <t>Al's poster</t>
  </si>
  <si>
    <t>Alfonso's poster</t>
  </si>
  <si>
    <t>white simple medium mat</t>
  </si>
  <si>
    <t>Alice's poster</t>
  </si>
  <si>
    <t>Anabelle's photo</t>
  </si>
  <si>
    <t>Alli's poster</t>
  </si>
  <si>
    <t>white simple small mat</t>
  </si>
  <si>
    <t>Amelia's poster</t>
  </si>
  <si>
    <t>Anabelle's poster</t>
  </si>
  <si>
    <t>white wooden-deck rug</t>
  </si>
  <si>
    <t>Anchovy's poster</t>
  </si>
  <si>
    <t>yellow argyle rug</t>
  </si>
  <si>
    <t>Angus's poster</t>
  </si>
  <si>
    <t>yellow blocks rug</t>
  </si>
  <si>
    <t>Anicotti's poster</t>
  </si>
  <si>
    <t>Anchovy's photo</t>
  </si>
  <si>
    <t>Ankha's poster</t>
  </si>
  <si>
    <t>yellow checked rug</t>
  </si>
  <si>
    <t>yellow kilim-style carpet</t>
  </si>
  <si>
    <t>Annalisa's poster</t>
  </si>
  <si>
    <t>yellow kitchen mat</t>
  </si>
  <si>
    <t>Annalise's poster</t>
  </si>
  <si>
    <t>yellow medium round mat</t>
  </si>
  <si>
    <t>Antonio's poster</t>
  </si>
  <si>
    <t>Apollo's poster</t>
  </si>
  <si>
    <t>yellow message mat</t>
  </si>
  <si>
    <t>Apple's poster</t>
  </si>
  <si>
    <t>Astrid's poster</t>
  </si>
  <si>
    <t>yellow Persian rug</t>
  </si>
  <si>
    <t>Angus's photo</t>
  </si>
  <si>
    <t>Audie's poster</t>
  </si>
  <si>
    <t>Aurora's poster</t>
  </si>
  <si>
    <t>yellow rose rug</t>
  </si>
  <si>
    <t>Ava's poster</t>
  </si>
  <si>
    <t>Avery's poster</t>
  </si>
  <si>
    <t>yellow small round mat</t>
  </si>
  <si>
    <t>Axel's poster</t>
  </si>
  <si>
    <t>Baabara's poster</t>
  </si>
  <si>
    <t>yellow stripes rug</t>
  </si>
  <si>
    <t>Bam's poster</t>
  </si>
  <si>
    <t>yellow vinyl sheet</t>
  </si>
  <si>
    <t>Bangle's poster</t>
  </si>
  <si>
    <t>Barold's poster</t>
  </si>
  <si>
    <t>yellow-design kitchen mat</t>
  </si>
  <si>
    <t>Anicotti's photo</t>
  </si>
  <si>
    <t>Bea's poster</t>
  </si>
  <si>
    <t>Beardo's poster</t>
  </si>
  <si>
    <t>Beau's poster</t>
  </si>
  <si>
    <t>Becky's poster</t>
  </si>
  <si>
    <t>Bella's poster</t>
  </si>
  <si>
    <t>Benedict's poster</t>
  </si>
  <si>
    <t>Benjamin's poster</t>
  </si>
  <si>
    <t>Bertha's poster</t>
  </si>
  <si>
    <t>bamboo lattice fence</t>
  </si>
  <si>
    <t>Bettina's poster</t>
  </si>
  <si>
    <t>Bianca's poster</t>
  </si>
  <si>
    <t>Ankha's photo</t>
  </si>
  <si>
    <t>barbed-wire fence</t>
  </si>
  <si>
    <t>Biff's poster</t>
  </si>
  <si>
    <t>Big Top's poster</t>
  </si>
  <si>
    <t>brick fence</t>
  </si>
  <si>
    <t>Bill's poster</t>
  </si>
  <si>
    <t>Bunny Day fence</t>
  </si>
  <si>
    <t>Billy's poster</t>
  </si>
  <si>
    <t>Biskit's poster</t>
  </si>
  <si>
    <t>corral fence</t>
  </si>
  <si>
    <t>Bitty's poster</t>
  </si>
  <si>
    <t>country fence</t>
  </si>
  <si>
    <t>Blaire's poster</t>
  </si>
  <si>
    <t>Blanca's poster</t>
  </si>
  <si>
    <t>imperial fence</t>
  </si>
  <si>
    <t>iron fence</t>
  </si>
  <si>
    <t>Blanche's poster</t>
  </si>
  <si>
    <t>Annalisa's photo</t>
  </si>
  <si>
    <t>iron-and-stone fence</t>
  </si>
  <si>
    <t>Blathers's poster</t>
  </si>
  <si>
    <t>lattice fence</t>
  </si>
  <si>
    <t>Bluebear's poster</t>
  </si>
  <si>
    <t>Bob's poster</t>
  </si>
  <si>
    <t>rope fence</t>
  </si>
  <si>
    <t>Bonbon's poster</t>
  </si>
  <si>
    <t>simple wooden fence</t>
  </si>
  <si>
    <t>Bones's poster</t>
  </si>
  <si>
    <t>spiky fence</t>
  </si>
  <si>
    <t>Booker's poster</t>
  </si>
  <si>
    <t>Boomer's poster</t>
  </si>
  <si>
    <t>stone fence</t>
  </si>
  <si>
    <t>Boone's poster</t>
  </si>
  <si>
    <t>straw fence</t>
  </si>
  <si>
    <t>Boots's poster</t>
  </si>
  <si>
    <t>vertical-board fence</t>
  </si>
  <si>
    <t>Boris's poster</t>
  </si>
  <si>
    <t>Annalise's photo</t>
  </si>
  <si>
    <t>zen fence</t>
  </si>
  <si>
    <t>Boyd's poster</t>
  </si>
  <si>
    <t>Bree's poster</t>
  </si>
  <si>
    <t>Brewster's poster</t>
  </si>
  <si>
    <t>Broccolo's poster</t>
  </si>
  <si>
    <t>Broffina's poster</t>
  </si>
  <si>
    <t>Bruce's poster</t>
  </si>
  <si>
    <t>Bubbles's poster</t>
  </si>
  <si>
    <t>Antonio's photo</t>
  </si>
  <si>
    <t>Buck's poster</t>
  </si>
  <si>
    <t>Bud's poster</t>
  </si>
  <si>
    <t>Bunnie's poster</t>
  </si>
  <si>
    <t>Butch's poster</t>
  </si>
  <si>
    <t>Buzz's poster</t>
  </si>
  <si>
    <t>Cally's poster</t>
  </si>
  <si>
    <t>Camofrog's poster</t>
  </si>
  <si>
    <t>Canberra's poster</t>
  </si>
  <si>
    <t>Candi's poster</t>
  </si>
  <si>
    <t>Apollo's photo</t>
  </si>
  <si>
    <t>Carmen's poster</t>
  </si>
  <si>
    <t>Caroline's poster</t>
  </si>
  <si>
    <t>Uses</t>
  </si>
  <si>
    <t>Carrie's poster</t>
  </si>
  <si>
    <t>Cashmere's poster</t>
  </si>
  <si>
    <t>axe</t>
  </si>
  <si>
    <t>Celeste's poster</t>
  </si>
  <si>
    <t>Celia's poster</t>
  </si>
  <si>
    <t>Cesar's poster</t>
  </si>
  <si>
    <t>Chadder's poster</t>
  </si>
  <si>
    <t>Charlise's poster</t>
  </si>
  <si>
    <t>Apple's photo</t>
  </si>
  <si>
    <t>Cheri's poster</t>
  </si>
  <si>
    <t>Nook's Cranny, Crafting</t>
  </si>
  <si>
    <t>bamboo wand</t>
  </si>
  <si>
    <t>Cherry's poster</t>
  </si>
  <si>
    <t>Chester's poster</t>
  </si>
  <si>
    <t>Unlimited</t>
  </si>
  <si>
    <t>bug wand</t>
  </si>
  <si>
    <t>Chevre's poster</t>
  </si>
  <si>
    <t>Chief's poster</t>
  </si>
  <si>
    <t>Bunny Day wand</t>
  </si>
  <si>
    <t>Chip's poster</t>
  </si>
  <si>
    <t>Chops's poster</t>
  </si>
  <si>
    <t>Astrid's photo</t>
  </si>
  <si>
    <t>Chow's poster</t>
  </si>
  <si>
    <t>cherry-blossom wand</t>
  </si>
  <si>
    <t>Chrissy's poster</t>
  </si>
  <si>
    <t>Cinnamoroll poster</t>
  </si>
  <si>
    <t>Claude's poster</t>
  </si>
  <si>
    <t>Claudia's poster</t>
  </si>
  <si>
    <t>colorful fishing rod</t>
  </si>
  <si>
    <t>Clay's poster</t>
  </si>
  <si>
    <t>Cleo's poster</t>
  </si>
  <si>
    <t>Colorful Tools</t>
  </si>
  <si>
    <t>Clyde's poster</t>
  </si>
  <si>
    <t>Available in Nook's Cranny (upgraded only)</t>
  </si>
  <si>
    <t>colorful net</t>
  </si>
  <si>
    <t>Coach's poster</t>
  </si>
  <si>
    <t>Audie's photo</t>
  </si>
  <si>
    <t>Cobb's poster</t>
  </si>
  <si>
    <t>Coco's poster</t>
  </si>
  <si>
    <t>colorful shovel</t>
  </si>
  <si>
    <t>Cole's poster</t>
  </si>
  <si>
    <t>Colton's poster</t>
  </si>
  <si>
    <t>colorful slingshot</t>
  </si>
  <si>
    <t>Cookie's poster</t>
  </si>
  <si>
    <t>Copper's poster</t>
  </si>
  <si>
    <t>Cousteau's poster</t>
  </si>
  <si>
    <t>colorful watering can</t>
  </si>
  <si>
    <t>Cranston's poster</t>
  </si>
  <si>
    <t>Croque's poster</t>
  </si>
  <si>
    <t>Aurora's photo</t>
  </si>
  <si>
    <t>cosmos wand</t>
  </si>
  <si>
    <t>Cube's poster</t>
  </si>
  <si>
    <t>Curlos's poster</t>
  </si>
  <si>
    <t>elephant watering can</t>
  </si>
  <si>
    <t>Curly's poster</t>
  </si>
  <si>
    <t>Curt's poster</t>
  </si>
  <si>
    <t>Cyd's poster</t>
  </si>
  <si>
    <t>Cyrano's poster</t>
  </si>
  <si>
    <t>fish fishing rod</t>
  </si>
  <si>
    <t>Cyrus's poster</t>
  </si>
  <si>
    <t>Daisy's poster</t>
  </si>
  <si>
    <t>Deena's poster</t>
  </si>
  <si>
    <t>Ava's photo</t>
  </si>
  <si>
    <t>fish wand</t>
  </si>
  <si>
    <t>Deirdre's poster</t>
  </si>
  <si>
    <t>Del's poster</t>
  </si>
  <si>
    <t>Deli's poster</t>
  </si>
  <si>
    <t>fishing rod</t>
  </si>
  <si>
    <t>Derwin's poster</t>
  </si>
  <si>
    <t>Diana's poster</t>
  </si>
  <si>
    <t>Digby's poster</t>
  </si>
  <si>
    <t>flimsy axe</t>
  </si>
  <si>
    <t>Diva's poster</t>
  </si>
  <si>
    <t>Dizzy's poster</t>
  </si>
  <si>
    <t>Avery's photo</t>
  </si>
  <si>
    <t>DJ KK's poster</t>
  </si>
  <si>
    <t>Available after unlocking the axe in the story</t>
  </si>
  <si>
    <t>flimsy fishing rod</t>
  </si>
  <si>
    <t>Dobie's poster</t>
  </si>
  <si>
    <t>Doc's poster</t>
  </si>
  <si>
    <t>flimsy net</t>
  </si>
  <si>
    <t>Dom's poster</t>
  </si>
  <si>
    <t>Don's poster</t>
  </si>
  <si>
    <t>Dora's poster</t>
  </si>
  <si>
    <t>flimsy shovel</t>
  </si>
  <si>
    <t>Dotty's poster</t>
  </si>
  <si>
    <t>Drago's poster</t>
  </si>
  <si>
    <t>Available after unlocking the shovel in the story</t>
  </si>
  <si>
    <t>Axel's photo</t>
  </si>
  <si>
    <t>flimsy watering can</t>
  </si>
  <si>
    <t>Drake's poster</t>
  </si>
  <si>
    <t>Drift's poster</t>
  </si>
  <si>
    <t>golden axe</t>
  </si>
  <si>
    <t>Ed's poster</t>
  </si>
  <si>
    <t>Egbert's poster</t>
  </si>
  <si>
    <t>Elise's poster</t>
  </si>
  <si>
    <t>Ellie's poster</t>
  </si>
  <si>
    <t>golden net</t>
  </si>
  <si>
    <t>Elmer's poster</t>
  </si>
  <si>
    <t>Baabara's photo</t>
  </si>
  <si>
    <t>Eloise's poster</t>
  </si>
  <si>
    <t>Elvis's poster</t>
  </si>
  <si>
    <t>golden rod</t>
  </si>
  <si>
    <t>Erik's poster</t>
  </si>
  <si>
    <t>Eugene's poster</t>
  </si>
  <si>
    <t>Eunice's poster</t>
  </si>
  <si>
    <t>golden shovel</t>
  </si>
  <si>
    <t>Fang's poster</t>
  </si>
  <si>
    <t>golden slingshot</t>
  </si>
  <si>
    <t>Fauna's poster</t>
  </si>
  <si>
    <t>Felicity's poster</t>
  </si>
  <si>
    <t>Filbert's poster</t>
  </si>
  <si>
    <t>Bam's photo</t>
  </si>
  <si>
    <t>golden wand</t>
  </si>
  <si>
    <t>Flip's poster</t>
  </si>
  <si>
    <t>Flo's poster</t>
  </si>
  <si>
    <t>golden watering can</t>
  </si>
  <si>
    <t>Flora's poster</t>
  </si>
  <si>
    <t>Flurry's poster</t>
  </si>
  <si>
    <t>hyacinth wand</t>
  </si>
  <si>
    <t>Francine's poster</t>
  </si>
  <si>
    <t>Frank's poster</t>
  </si>
  <si>
    <t>ice wand</t>
  </si>
  <si>
    <t>Franklin's poster</t>
  </si>
  <si>
    <t>Freckles's poster</t>
  </si>
  <si>
    <t>iron wand</t>
  </si>
  <si>
    <t>Freya's poster</t>
  </si>
  <si>
    <t>Bangle's photo</t>
  </si>
  <si>
    <t>Friga's poster</t>
  </si>
  <si>
    <t>Frita's poster</t>
  </si>
  <si>
    <t>ladder</t>
  </si>
  <si>
    <t>Frobert's poster</t>
  </si>
  <si>
    <t>Fuchsia's poster</t>
  </si>
  <si>
    <t>Gabi's poster</t>
  </si>
  <si>
    <t>light stick</t>
  </si>
  <si>
    <t>Gala's poster</t>
  </si>
  <si>
    <t>Gaston's poster</t>
  </si>
  <si>
    <t>lily wand</t>
  </si>
  <si>
    <t>Gayle's poster</t>
  </si>
  <si>
    <t>Barold's photo</t>
  </si>
  <si>
    <t>Genji's poster</t>
  </si>
  <si>
    <t>Gigi's poster</t>
  </si>
  <si>
    <t>mums wand</t>
  </si>
  <si>
    <t>Gladys's poster</t>
  </si>
  <si>
    <t>Gloria's poster</t>
  </si>
  <si>
    <t>mushroom wand</t>
  </si>
  <si>
    <t>Goldie's poster</t>
  </si>
  <si>
    <t>Gonzo's poster</t>
  </si>
  <si>
    <t>net</t>
  </si>
  <si>
    <t>Goose's poster</t>
  </si>
  <si>
    <t>Bea's photo</t>
  </si>
  <si>
    <t>Gracie's poster</t>
  </si>
  <si>
    <t>Nook Inc. uchiwa fan</t>
  </si>
  <si>
    <t>Graham's poster</t>
  </si>
  <si>
    <t>Grams's poster</t>
  </si>
  <si>
    <t>Greta's poster</t>
  </si>
  <si>
    <t>ocarina</t>
  </si>
  <si>
    <t>Grizzly's poster</t>
  </si>
  <si>
    <t>Groucho's poster</t>
  </si>
  <si>
    <t>Gruff's poster</t>
  </si>
  <si>
    <t>outdoorsy fishing rod</t>
  </si>
  <si>
    <t>Gulliver's poster</t>
  </si>
  <si>
    <t>Gwen's poster</t>
  </si>
  <si>
    <t>Outdoor Tools</t>
  </si>
  <si>
    <t>Hamlet's poster</t>
  </si>
  <si>
    <t>Beardo's photo</t>
  </si>
  <si>
    <t>outdoorsy net</t>
  </si>
  <si>
    <t>Hamphrey's poster</t>
  </si>
  <si>
    <t>Hans's poster</t>
  </si>
  <si>
    <t>Harriet's poster</t>
  </si>
  <si>
    <t>outdoorsy shovel</t>
  </si>
  <si>
    <t>Harry's poster</t>
  </si>
  <si>
    <t>Hazel's poster</t>
  </si>
  <si>
    <t>outdoorsy slingshot</t>
  </si>
  <si>
    <t>Hello Kitty poster</t>
  </si>
  <si>
    <t>Henry's poster</t>
  </si>
  <si>
    <t>Hippeux's poster</t>
  </si>
  <si>
    <t>outdoorsy watering can</t>
  </si>
  <si>
    <t>Hopkins's poster</t>
  </si>
  <si>
    <t>Hopper's poster</t>
  </si>
  <si>
    <t>Beau's photo</t>
  </si>
  <si>
    <t>Hornsby's poster</t>
  </si>
  <si>
    <t>pan flute</t>
  </si>
  <si>
    <t>Huck's poster</t>
  </si>
  <si>
    <t>pansy wand</t>
  </si>
  <si>
    <t>Hugh's poster</t>
  </si>
  <si>
    <t>Iggly's poster</t>
  </si>
  <si>
    <t>Ike's poster</t>
  </si>
  <si>
    <t>party popper</t>
  </si>
  <si>
    <t>Isabelle's poster</t>
  </si>
  <si>
    <t>Jack's poster</t>
  </si>
  <si>
    <t>Only available close to new year holiday</t>
  </si>
  <si>
    <t>Jacob's poster</t>
  </si>
  <si>
    <t>printed-design shovel</t>
  </si>
  <si>
    <t>Jacques's poster</t>
  </si>
  <si>
    <t>Becky's photo</t>
  </si>
  <si>
    <t>Jambette's poster</t>
  </si>
  <si>
    <t>rose wand</t>
  </si>
  <si>
    <t>Jay's poster</t>
  </si>
  <si>
    <t>Jeremiah's poster</t>
  </si>
  <si>
    <t>Jingle's poster</t>
  </si>
  <si>
    <t>shell wand</t>
  </si>
  <si>
    <t>Jitters's poster</t>
  </si>
  <si>
    <t>Joan's poster</t>
  </si>
  <si>
    <t>shovel</t>
  </si>
  <si>
    <t>Joey's poster</t>
  </si>
  <si>
    <t>Judy's poster</t>
  </si>
  <si>
    <t>slingshot</t>
  </si>
  <si>
    <t>Julia's poster</t>
  </si>
  <si>
    <t>Julian's poster</t>
  </si>
  <si>
    <t>star net</t>
  </si>
  <si>
    <t>June's poster</t>
  </si>
  <si>
    <t>Bella's photo</t>
  </si>
  <si>
    <t>K.K.'s poster</t>
  </si>
  <si>
    <t>star wand</t>
  </si>
  <si>
    <t>Kabuki's poster</t>
  </si>
  <si>
    <t>Kapp'n's poster</t>
  </si>
  <si>
    <t>stone axe</t>
  </si>
  <si>
    <t>Katie's poster</t>
  </si>
  <si>
    <t>Katrina's poster</t>
  </si>
  <si>
    <t>tambourine</t>
  </si>
  <si>
    <t>Katt's poster</t>
  </si>
  <si>
    <t>Keaton's poster</t>
  </si>
  <si>
    <t>Benedict's photo</t>
  </si>
  <si>
    <t>Ken's poster</t>
  </si>
  <si>
    <t>timer</t>
  </si>
  <si>
    <t>Kerokerokeroppi poster</t>
  </si>
  <si>
    <t>Ketchup's poster</t>
  </si>
  <si>
    <t>Kevin's poster</t>
  </si>
  <si>
    <t>tree-branch wand</t>
  </si>
  <si>
    <t>Kicks's poster</t>
  </si>
  <si>
    <t>Kid Cat's poster</t>
  </si>
  <si>
    <t>Kidd's poster</t>
  </si>
  <si>
    <t>tulip wand</t>
  </si>
  <si>
    <t>Kiki &amp; Lala poster</t>
  </si>
  <si>
    <t>vaulting pole</t>
  </si>
  <si>
    <t>Kiki's poster</t>
  </si>
  <si>
    <t>Benjamin's photo</t>
  </si>
  <si>
    <t>Kitt's poster</t>
  </si>
  <si>
    <t>wand</t>
  </si>
  <si>
    <t>Kitty's poster</t>
  </si>
  <si>
    <t>Klaus's poster</t>
  </si>
  <si>
    <t>watering can</t>
  </si>
  <si>
    <t>Knox's poster</t>
  </si>
  <si>
    <t>Kody's poster</t>
  </si>
  <si>
    <t>windflower wand</t>
  </si>
  <si>
    <t>Kyle's poster</t>
  </si>
  <si>
    <t>Bertha's photo</t>
  </si>
  <si>
    <t>Label's poster</t>
  </si>
  <si>
    <t>Leif's poster</t>
  </si>
  <si>
    <t>Leila's poster</t>
  </si>
  <si>
    <t>Leilani's poster</t>
  </si>
  <si>
    <t>Leonardo's poster</t>
  </si>
  <si>
    <t>Leopold's poster</t>
  </si>
  <si>
    <t>Lily's poster</t>
  </si>
  <si>
    <t>Limberg's poster</t>
  </si>
  <si>
    <t>Lionel's poster</t>
  </si>
  <si>
    <t>Bettina's photo</t>
  </si>
  <si>
    <t>Lobo's poster</t>
  </si>
  <si>
    <t>Lolly's poster</t>
  </si>
  <si>
    <t>Style</t>
  </si>
  <si>
    <t>A tee</t>
  </si>
  <si>
    <t>Lopez's poster</t>
  </si>
  <si>
    <t>Lottie's poster</t>
  </si>
  <si>
    <t>Nook Shopping Catalog</t>
  </si>
  <si>
    <t>Simple</t>
  </si>
  <si>
    <t>acid-washed jacket</t>
  </si>
  <si>
    <t>Louie's poster</t>
  </si>
  <si>
    <t>Lucha's poster</t>
  </si>
  <si>
    <t>Lucky's poster</t>
  </si>
  <si>
    <t>Able Sisters</t>
  </si>
  <si>
    <t>Lucy's poster</t>
  </si>
  <si>
    <t>Available from Able Sisters shop only</t>
  </si>
  <si>
    <t>after-school jacket</t>
  </si>
  <si>
    <t>Luna's poster</t>
  </si>
  <si>
    <t>Bianca's photo</t>
  </si>
  <si>
    <t>Lyle's poster</t>
  </si>
  <si>
    <t>Cool</t>
  </si>
  <si>
    <t>animal-print coat</t>
  </si>
  <si>
    <t>Lyman's poster</t>
  </si>
  <si>
    <t>Mabel's poster</t>
  </si>
  <si>
    <t>Mac's poster</t>
  </si>
  <si>
    <t>animal-stripes tee</t>
  </si>
  <si>
    <t>Maddie's poster</t>
  </si>
  <si>
    <t>Maelle's poster</t>
  </si>
  <si>
    <t>Available from either Mable's temporary shop or Able Sisters shop</t>
  </si>
  <si>
    <t>annyeong tee</t>
  </si>
  <si>
    <t>Maggie's poster</t>
  </si>
  <si>
    <t>Mallary's poster</t>
  </si>
  <si>
    <t>Biff's photo</t>
  </si>
  <si>
    <t>anorak jacket</t>
  </si>
  <si>
    <t>Maple's poster</t>
  </si>
  <si>
    <t>apron</t>
  </si>
  <si>
    <t>Marcel's poster</t>
  </si>
  <si>
    <t>Marcie's poster</t>
  </si>
  <si>
    <t>Margie's poster</t>
  </si>
  <si>
    <t>Aran-knit cardigan</t>
  </si>
  <si>
    <t>Marina's poster</t>
  </si>
  <si>
    <t>Big Top's photo</t>
  </si>
  <si>
    <t>Marshal's poster</t>
  </si>
  <si>
    <t>Aran-knit sweater</t>
  </si>
  <si>
    <t>Mathilda's poster</t>
  </si>
  <si>
    <t>Megan's poster</t>
  </si>
  <si>
    <t>argyle sweater</t>
  </si>
  <si>
    <t>Melba's poster</t>
  </si>
  <si>
    <t>Merengue's poster</t>
  </si>
  <si>
    <t>argyle vest</t>
  </si>
  <si>
    <t>Merry's poster</t>
  </si>
  <si>
    <t>Bill's photo</t>
  </si>
  <si>
    <t>Midge's poster</t>
  </si>
  <si>
    <t>athletic jacket</t>
  </si>
  <si>
    <t>Mint's poster</t>
  </si>
  <si>
    <t>Mira's poster</t>
  </si>
  <si>
    <t>Miranda's poster</t>
  </si>
  <si>
    <t>Active</t>
  </si>
  <si>
    <t>baggy shirt</t>
  </si>
  <si>
    <t>Mitzi's poster</t>
  </si>
  <si>
    <t>Moe's poster</t>
  </si>
  <si>
    <t>Recycle bin</t>
  </si>
  <si>
    <t>baseball shirt</t>
  </si>
  <si>
    <t>Molly's poster</t>
  </si>
  <si>
    <t>Monique's poster</t>
  </si>
  <si>
    <t>Monty's poster</t>
  </si>
  <si>
    <t>basketball tank</t>
  </si>
  <si>
    <t>Moose's poster</t>
  </si>
  <si>
    <t>Mott's poster</t>
  </si>
  <si>
    <t>Billy's photo</t>
  </si>
  <si>
    <t>bear tee</t>
  </si>
  <si>
    <t>Muffy's poster</t>
  </si>
  <si>
    <t>Murphy's poster</t>
  </si>
  <si>
    <t>big-star tee</t>
  </si>
  <si>
    <t>My Melody poster</t>
  </si>
  <si>
    <t>Nan's poster</t>
  </si>
  <si>
    <t>biker jacket</t>
  </si>
  <si>
    <t>Nana's poster</t>
  </si>
  <si>
    <t>Naomi's poster</t>
  </si>
  <si>
    <t>blossom tee</t>
  </si>
  <si>
    <t>Nat's poster</t>
  </si>
  <si>
    <t>Nate's poster</t>
  </si>
  <si>
    <t>boa blouson</t>
  </si>
  <si>
    <t>Nibbles's poster</t>
  </si>
  <si>
    <t>Biskit's photo</t>
  </si>
  <si>
    <t>Norma's poster</t>
  </si>
  <si>
    <t>boa fleece</t>
  </si>
  <si>
    <t>O'Hare's poster</t>
  </si>
  <si>
    <t>Octavian's poster</t>
  </si>
  <si>
    <t>Olaf's poster</t>
  </si>
  <si>
    <t>bold aloha shirt</t>
  </si>
  <si>
    <t>Olive's poster</t>
  </si>
  <si>
    <t>Olivia's poster</t>
  </si>
  <si>
    <t>Opal's poster</t>
  </si>
  <si>
    <t>bomber-style jacket</t>
  </si>
  <si>
    <t>Ozzie's poster</t>
  </si>
  <si>
    <t>Pancetti's poster</t>
  </si>
  <si>
    <t>bone tee</t>
  </si>
  <si>
    <t>Pango's poster</t>
  </si>
  <si>
    <t>Bitty's photo</t>
  </si>
  <si>
    <t>Paolo's poster</t>
  </si>
  <si>
    <t>Papi's poster</t>
  </si>
  <si>
    <t>bonjour tee</t>
  </si>
  <si>
    <t>Pascal's poster</t>
  </si>
  <si>
    <t>botanical tee</t>
  </si>
  <si>
    <t>Pashmina's poster</t>
  </si>
  <si>
    <t>Pate's poster</t>
  </si>
  <si>
    <t>Patty's poster</t>
  </si>
  <si>
    <t>bowling shirt</t>
  </si>
  <si>
    <t>Paula's poster</t>
  </si>
  <si>
    <t>Pavé's poster</t>
  </si>
  <si>
    <t>bug aloha shirt</t>
  </si>
  <si>
    <t>Peaches's poster</t>
  </si>
  <si>
    <t>Peanut's poster</t>
  </si>
  <si>
    <t>bulldog jacket</t>
  </si>
  <si>
    <t>Pecan's poster</t>
  </si>
  <si>
    <t>Blaire's photo</t>
  </si>
  <si>
    <t>Peck's poster</t>
  </si>
  <si>
    <t>Peewee's poster</t>
  </si>
  <si>
    <t>business suitcoat</t>
  </si>
  <si>
    <t>Peggy's poster</t>
  </si>
  <si>
    <t>Pekoe's poster</t>
  </si>
  <si>
    <t>Pelly's poster</t>
  </si>
  <si>
    <t>café uniform</t>
  </si>
  <si>
    <t>Penelope's poster</t>
  </si>
  <si>
    <t>Pete's poster</t>
  </si>
  <si>
    <t>Phil's poster</t>
  </si>
  <si>
    <t>Elegant</t>
  </si>
  <si>
    <t>camo bomber-style jacket</t>
  </si>
  <si>
    <t>Phineas's poster</t>
  </si>
  <si>
    <t>Phoebe's poster</t>
  </si>
  <si>
    <t>Phyllis's poster</t>
  </si>
  <si>
    <t>camo tee</t>
  </si>
  <si>
    <t>Pierce's poster</t>
  </si>
  <si>
    <t>Pietro's poster</t>
  </si>
  <si>
    <t>Blanche's photo</t>
  </si>
  <si>
    <t>Pinky's poster</t>
  </si>
  <si>
    <t>Piper's poster</t>
  </si>
  <si>
    <t>camper tee</t>
  </si>
  <si>
    <t>Pippy's poster</t>
  </si>
  <si>
    <t>Plucky's poster</t>
  </si>
  <si>
    <t>cardigan-shirt combo</t>
  </si>
  <si>
    <t>Pompom's poster</t>
  </si>
  <si>
    <t>Pompompurin poster</t>
  </si>
  <si>
    <t>Poncho's poster</t>
  </si>
  <si>
    <t>Poppy's poster</t>
  </si>
  <si>
    <t>career jacket</t>
  </si>
  <si>
    <t>Porter's poster</t>
  </si>
  <si>
    <t>Bluebear's photo</t>
  </si>
  <si>
    <t>Portia's poster</t>
  </si>
  <si>
    <t>cavalier shirt</t>
  </si>
  <si>
    <t>Prince's poster</t>
  </si>
  <si>
    <t>Puck's poster</t>
  </si>
  <si>
    <t>Puddles's poster</t>
  </si>
  <si>
    <t>checkered chesterfield coat</t>
  </si>
  <si>
    <t>Pudge's poster</t>
  </si>
  <si>
    <t>Punchy's poster</t>
  </si>
  <si>
    <t>Bob's photo</t>
  </si>
  <si>
    <t>Purrl's poster</t>
  </si>
  <si>
    <t>Queenie's poster</t>
  </si>
  <si>
    <t>checkered muffler</t>
  </si>
  <si>
    <t>Quillson's poster</t>
  </si>
  <si>
    <t>Raddle's poster</t>
  </si>
  <si>
    <t>chef's outfit</t>
  </si>
  <si>
    <t>Rasher's poster</t>
  </si>
  <si>
    <t>Raymond's poster</t>
  </si>
  <si>
    <t>Redd's poster</t>
  </si>
  <si>
    <t>chesterfield coat</t>
  </si>
  <si>
    <t>Reese's poster</t>
  </si>
  <si>
    <t>Renée's poster</t>
  </si>
  <si>
    <t>chick tee</t>
  </si>
  <si>
    <t>Reneigh's poster</t>
  </si>
  <si>
    <t>Resetti's poster</t>
  </si>
  <si>
    <t>Chimayo vest</t>
  </si>
  <si>
    <t>Rex's poster</t>
  </si>
  <si>
    <t>Rhonda's poster</t>
  </si>
  <si>
    <t>Ribbot's poster</t>
  </si>
  <si>
    <t>ciao tee</t>
  </si>
  <si>
    <t>Ricky's poster</t>
  </si>
  <si>
    <t>coatigan</t>
  </si>
  <si>
    <t>Rizzo's poster</t>
  </si>
  <si>
    <t>Roald's poster</t>
  </si>
  <si>
    <t>Robin's poster</t>
  </si>
  <si>
    <t>collarless coat</t>
  </si>
  <si>
    <t>Rocco's poster</t>
  </si>
  <si>
    <t>Rocket's poster</t>
  </si>
  <si>
    <t>collarless shirt</t>
  </si>
  <si>
    <t>Bonbon's photo</t>
  </si>
  <si>
    <t>Rod's poster</t>
  </si>
  <si>
    <t>Rodeo's poster</t>
  </si>
  <si>
    <t>Rodney's poster</t>
  </si>
  <si>
    <t>college cardigan</t>
  </si>
  <si>
    <t>Rolf's poster</t>
  </si>
  <si>
    <t>Rooney's poster</t>
  </si>
  <si>
    <t>color-block dress shirt</t>
  </si>
  <si>
    <t>Rory's poster</t>
  </si>
  <si>
    <t>Roscoe's poster</t>
  </si>
  <si>
    <t>colorful striped sweater</t>
  </si>
  <si>
    <t>Rosie's poster</t>
  </si>
  <si>
    <t>Rover's poster</t>
  </si>
  <si>
    <t>comedian's outfit</t>
  </si>
  <si>
    <t>Rowan's poster</t>
  </si>
  <si>
    <t>Ruby's poster</t>
  </si>
  <si>
    <t>coverall coat</t>
  </si>
  <si>
    <t>Rudy's poster</t>
  </si>
  <si>
    <t>Bones's photo</t>
  </si>
  <si>
    <t>Sable's poster</t>
  </si>
  <si>
    <t>Saharah's poster</t>
  </si>
  <si>
    <t>cowboy shirt</t>
  </si>
  <si>
    <t>Sally's poster</t>
  </si>
  <si>
    <t>Samson's poster</t>
  </si>
  <si>
    <t>cycling shirt</t>
  </si>
  <si>
    <t>Sandy's poster</t>
  </si>
  <si>
    <t>DAL apron</t>
  </si>
  <si>
    <t>Savannah's poster</t>
  </si>
  <si>
    <t>Scoot's poster</t>
  </si>
  <si>
    <t>DAL pilot jacket</t>
  </si>
  <si>
    <t>Shari's poster</t>
  </si>
  <si>
    <t>Sheldon's poster</t>
  </si>
  <si>
    <t>Boomer's photo</t>
  </si>
  <si>
    <t>Shep's poster</t>
  </si>
  <si>
    <t>DAL tee</t>
  </si>
  <si>
    <t>Sherb's poster</t>
  </si>
  <si>
    <t>Shrunk's poster</t>
  </si>
  <si>
    <t>dance-team jacket</t>
  </si>
  <si>
    <t>Simon's poster</t>
  </si>
  <si>
    <t>danger tank</t>
  </si>
  <si>
    <t>Skye's poster</t>
  </si>
  <si>
    <t>Sly's poster</t>
  </si>
  <si>
    <t>denim jacket</t>
  </si>
  <si>
    <t>Snake's poster</t>
  </si>
  <si>
    <t>Snooty's poster</t>
  </si>
  <si>
    <t>denim vest</t>
  </si>
  <si>
    <t>Soleil's poster</t>
  </si>
  <si>
    <t>Sparro's poster</t>
  </si>
  <si>
    <t>Spike's poster</t>
  </si>
  <si>
    <t>Boone's photo</t>
  </si>
  <si>
    <t>Spork's poster</t>
  </si>
  <si>
    <t>detective's coat</t>
  </si>
  <si>
    <t>Sprinkle's poster</t>
  </si>
  <si>
    <t>Sprocket's poster</t>
  </si>
  <si>
    <t>Static's poster</t>
  </si>
  <si>
    <t>diner apron</t>
  </si>
  <si>
    <t>Stella's poster</t>
  </si>
  <si>
    <t>Sterling's poster</t>
  </si>
  <si>
    <t>Stinky's poster</t>
  </si>
  <si>
    <t>Stitches's poster</t>
  </si>
  <si>
    <t>doctor's coat</t>
  </si>
  <si>
    <t>Stu's poster</t>
  </si>
  <si>
    <t>Sydney's poster</t>
  </si>
  <si>
    <t>Sylvana's poster</t>
  </si>
  <si>
    <t>dolly shirt</t>
  </si>
  <si>
    <t>Sylvia's poster</t>
  </si>
  <si>
    <t>Boots's photo</t>
  </si>
  <si>
    <t>T-Bone's poster</t>
  </si>
  <si>
    <t>dotted raincoat</t>
  </si>
  <si>
    <t>Tabby's poster</t>
  </si>
  <si>
    <t>Tad's poster</t>
  </si>
  <si>
    <t>Tammi's poster</t>
  </si>
  <si>
    <t>doublet</t>
  </si>
  <si>
    <t>Tammy's poster</t>
  </si>
  <si>
    <t>Tangy's poster</t>
  </si>
  <si>
    <t>Tank's poster</t>
  </si>
  <si>
    <t>down jacket</t>
  </si>
  <si>
    <t>Tasha's poster</t>
  </si>
  <si>
    <t>Teddy's poster</t>
  </si>
  <si>
    <t>Tex's poster</t>
  </si>
  <si>
    <t>down ski jacket</t>
  </si>
  <si>
    <t>Tia's poster</t>
  </si>
  <si>
    <t>Tiffany's poster</t>
  </si>
  <si>
    <t>dragon jacket</t>
  </si>
  <si>
    <t>Timbra's poster</t>
  </si>
  <si>
    <t>Timmy's poster</t>
  </si>
  <si>
    <t>Boris's photo</t>
  </si>
  <si>
    <t>dreamy sweater</t>
  </si>
  <si>
    <t>Tipper's poster</t>
  </si>
  <si>
    <t>Tom Nook's poster</t>
  </si>
  <si>
    <t>Tom's poster</t>
  </si>
  <si>
    <t>dress shirt</t>
  </si>
  <si>
    <t>Tommy's poster</t>
  </si>
  <si>
    <t>Tortimer's poster</t>
  </si>
  <si>
    <t>Truffles's poster</t>
  </si>
  <si>
    <t>earbuds combo</t>
  </si>
  <si>
    <t>Tucker's poster</t>
  </si>
  <si>
    <t>Tutu's poster</t>
  </si>
  <si>
    <t>Twiggy's poster</t>
  </si>
  <si>
    <t>Tybalt's poster</t>
  </si>
  <si>
    <t>eight-ball tee</t>
  </si>
  <si>
    <t>Ursala's poster</t>
  </si>
  <si>
    <t>emblem blazer</t>
  </si>
  <si>
    <t>Boyd's photo</t>
  </si>
  <si>
    <t>Velma's poster</t>
  </si>
  <si>
    <t>Vesta's poster</t>
  </si>
  <si>
    <t>embroidered tank</t>
  </si>
  <si>
    <t>Vic's poster</t>
  </si>
  <si>
    <t>energetic sweater</t>
  </si>
  <si>
    <t>Victoria's poster</t>
  </si>
  <si>
    <t>explorer tee</t>
  </si>
  <si>
    <t>Villager's poster</t>
  </si>
  <si>
    <t>Violet's poster</t>
  </si>
  <si>
    <t>faux-hair sweater</t>
  </si>
  <si>
    <t>Vivian's poster</t>
  </si>
  <si>
    <t>faux-shearling coat</t>
  </si>
  <si>
    <t>Vladimir's poster</t>
  </si>
  <si>
    <t>Wade's poster</t>
  </si>
  <si>
    <t>Bree's photo</t>
  </si>
  <si>
    <t>fischerhemd</t>
  </si>
  <si>
    <t>Walker's poster</t>
  </si>
  <si>
    <t>fish-print tee</t>
  </si>
  <si>
    <t>Walt's poster</t>
  </si>
  <si>
    <t>Wart Jr.'s poster</t>
  </si>
  <si>
    <t>fishing vest</t>
  </si>
  <si>
    <t>Weber's poster</t>
  </si>
  <si>
    <t>Wendell's poster</t>
  </si>
  <si>
    <t>Wendy's poster</t>
  </si>
  <si>
    <t>fitness tank</t>
  </si>
  <si>
    <t>Whitney's poster</t>
  </si>
  <si>
    <t>Willow's poster</t>
  </si>
  <si>
    <t>five-ball tee</t>
  </si>
  <si>
    <t>Winnie's poster</t>
  </si>
  <si>
    <t>Wolfgang's poster</t>
  </si>
  <si>
    <t>flame tee</t>
  </si>
  <si>
    <t>Yuka's poster</t>
  </si>
  <si>
    <t>Broccolo's photo</t>
  </si>
  <si>
    <t>Zell's poster</t>
  </si>
  <si>
    <t>flannel shirt</t>
  </si>
  <si>
    <t>Zipper's poster</t>
  </si>
  <si>
    <t>Zucker's poster</t>
  </si>
  <si>
    <t>flashy cardigan</t>
  </si>
  <si>
    <t>flashy jacket</t>
  </si>
  <si>
    <t>flight jacket</t>
  </si>
  <si>
    <t>flower sweater</t>
  </si>
  <si>
    <t>Broffina's photo</t>
  </si>
  <si>
    <t>folk shirt</t>
  </si>
  <si>
    <t>acid-washed jeans</t>
  </si>
  <si>
    <t>football shirt</t>
  </si>
  <si>
    <t>animal-stripes skirt</t>
  </si>
  <si>
    <t>four-ball tee</t>
  </si>
  <si>
    <t>apron skirt</t>
  </si>
  <si>
    <t>frog tee</t>
  </si>
  <si>
    <t>Bruce's photo</t>
  </si>
  <si>
    <t>front-tie button-down shirt</t>
  </si>
  <si>
    <t>athletic pants</t>
  </si>
  <si>
    <t>front-tie tee</t>
  </si>
  <si>
    <t>fuzzy vest</t>
  </si>
  <si>
    <t>garden tank</t>
  </si>
  <si>
    <t>athletic shorts</t>
  </si>
  <si>
    <t>gilet and shirt</t>
  </si>
  <si>
    <t>Bubbles's photo</t>
  </si>
  <si>
    <t>gingham picnic shirt</t>
  </si>
  <si>
    <t>gold-print tee</t>
  </si>
  <si>
    <t>gown coat</t>
  </si>
  <si>
    <t>basketball shorts</t>
  </si>
  <si>
    <t>graduation gown</t>
  </si>
  <si>
    <t>Buck's photo</t>
  </si>
  <si>
    <t>groovy shirt</t>
  </si>
  <si>
    <t>groovy tunic</t>
  </si>
  <si>
    <t>guayabera shirt</t>
  </si>
  <si>
    <t>bell-bottoms</t>
  </si>
  <si>
    <t>guide shirt</t>
  </si>
  <si>
    <t>Bud's photo</t>
  </si>
  <si>
    <t>gym tee</t>
  </si>
  <si>
    <t>hallo tee</t>
  </si>
  <si>
    <t>belted wraparound skirt</t>
  </si>
  <si>
    <t>hand-knit tank</t>
  </si>
  <si>
    <t>hanten jacket</t>
  </si>
  <si>
    <t>boa shorts</t>
  </si>
  <si>
    <t>Bunnie's photo</t>
  </si>
  <si>
    <t>happi tee</t>
  </si>
  <si>
    <t>hawk jacket</t>
  </si>
  <si>
    <t>heart apron</t>
  </si>
  <si>
    <t>heart sweater</t>
  </si>
  <si>
    <t>boa skirt</t>
  </si>
  <si>
    <t>heavy-duty shirt</t>
  </si>
  <si>
    <t>Butch's photo</t>
  </si>
  <si>
    <t>hello tee</t>
  </si>
  <si>
    <t>henley shirt</t>
  </si>
  <si>
    <t>hi tee</t>
  </si>
  <si>
    <t>hip-wrap shirt</t>
  </si>
  <si>
    <t>bomber-style skirt</t>
  </si>
  <si>
    <t>hoi tee</t>
  </si>
  <si>
    <t>Buzz's photo</t>
  </si>
  <si>
    <t>hola tee</t>
  </si>
  <si>
    <t>holiday sweater</t>
  </si>
  <si>
    <t>botanical shorts</t>
  </si>
  <si>
    <t>hula top</t>
  </si>
  <si>
    <t>box-pleated skirt</t>
  </si>
  <si>
    <t>humble sweater</t>
  </si>
  <si>
    <t>kanji tee</t>
  </si>
  <si>
    <t>Cally's photo</t>
  </si>
  <si>
    <t>kids' smock</t>
  </si>
  <si>
    <t>buttoned lace skirt</t>
  </si>
  <si>
    <t>konnichiwa tee</t>
  </si>
  <si>
    <t>kung-fu tee</t>
  </si>
  <si>
    <t>kurta</t>
  </si>
  <si>
    <t>buttoned wraparound skirt</t>
  </si>
  <si>
    <t>Labelle coat</t>
  </si>
  <si>
    <t>Camofrog's photo</t>
  </si>
  <si>
    <t>Labelle</t>
  </si>
  <si>
    <t>Labelle knit shirt</t>
  </si>
  <si>
    <t>lacy shirt</t>
  </si>
  <si>
    <t>lacy tank</t>
  </si>
  <si>
    <t>camo pants</t>
  </si>
  <si>
    <t>layered shirt</t>
  </si>
  <si>
    <t>Canberra's photo</t>
  </si>
  <si>
    <t>layered tank</t>
  </si>
  <si>
    <t>leopard tee</t>
  </si>
  <si>
    <t>letter jacket</t>
  </si>
  <si>
    <t>camo skirt</t>
  </si>
  <si>
    <t>madras plaid shirt</t>
  </si>
  <si>
    <t>marble-dots tee</t>
  </si>
  <si>
    <t>Candi's photo</t>
  </si>
  <si>
    <t>meme shirt</t>
  </si>
  <si>
    <t>military uniform</t>
  </si>
  <si>
    <t>misty tee</t>
  </si>
  <si>
    <t>career skirt</t>
  </si>
  <si>
    <t>mod parka</t>
  </si>
  <si>
    <t>Carmen's photo</t>
  </si>
  <si>
    <t>Mom's hand-knit sweater</t>
  </si>
  <si>
    <t>Mom's handmade apron</t>
  </si>
  <si>
    <t>morning coat</t>
  </si>
  <si>
    <t>mountain parka</t>
  </si>
  <si>
    <t>cargo pants</t>
  </si>
  <si>
    <t>Caroline's photo</t>
  </si>
  <si>
    <t>multipurpose vest</t>
  </si>
  <si>
    <t>muscle tank</t>
  </si>
  <si>
    <t>cargo shorts</t>
  </si>
  <si>
    <t>music-fest shirt</t>
  </si>
  <si>
    <t>MVP tee</t>
  </si>
  <si>
    <t>ni hao tee</t>
  </si>
  <si>
    <t>casual pants</t>
  </si>
  <si>
    <t>Carrie's photo</t>
  </si>
  <si>
    <t>nine-ball tee</t>
  </si>
  <si>
    <t>No. 1 shirt</t>
  </si>
  <si>
    <t>No. 2 shirt</t>
  </si>
  <si>
    <t>chain pants</t>
  </si>
  <si>
    <t>No. 3 shirt</t>
  </si>
  <si>
    <t>No. 4 shirt</t>
  </si>
  <si>
    <t>noble coat</t>
  </si>
  <si>
    <t>Cashmere's photo</t>
  </si>
  <si>
    <t>chino pants</t>
  </si>
  <si>
    <t>Nook Inc. aloha shirt</t>
  </si>
  <si>
    <t>Nook Inc. blouson</t>
  </si>
  <si>
    <t>Nook Inc. tee</t>
  </si>
  <si>
    <t>nurse's jacket</t>
  </si>
  <si>
    <t>colorful skirt</t>
  </si>
  <si>
    <t>nylon jacket</t>
  </si>
  <si>
    <t>Celia's photo</t>
  </si>
  <si>
    <t>oilskin coat</t>
  </si>
  <si>
    <t>comedian's pants</t>
  </si>
  <si>
    <t>OK Motors jacket</t>
  </si>
  <si>
    <t>old-school jacket</t>
  </si>
  <si>
    <t>one-ball tee</t>
  </si>
  <si>
    <t>open-collar shirt</t>
  </si>
  <si>
    <t>Cesar's photo</t>
  </si>
  <si>
    <t>comic shorts</t>
  </si>
  <si>
    <t>oversized shawl overshirt</t>
  </si>
  <si>
    <t>corduroy pants</t>
  </si>
  <si>
    <t>parka undercoat</t>
  </si>
  <si>
    <t>patchwork coat</t>
  </si>
  <si>
    <t>corduroy skirt</t>
  </si>
  <si>
    <t>peacoat</t>
  </si>
  <si>
    <t>Chadder's photo</t>
  </si>
  <si>
    <t>peasant blouse</t>
  </si>
  <si>
    <t>pineapple aloha shirt</t>
  </si>
  <si>
    <t>corte skirt</t>
  </si>
  <si>
    <t>plaid puffed-sleeve shirt</t>
  </si>
  <si>
    <t>Charlise's photo</t>
  </si>
  <si>
    <t>cropped pants</t>
  </si>
  <si>
    <t>pleather trench coat</t>
  </si>
  <si>
    <t>plover cardigan</t>
  </si>
  <si>
    <t>plushie-muffler coat</t>
  </si>
  <si>
    <t>pocket tee</t>
  </si>
  <si>
    <t>Cheri's photo</t>
  </si>
  <si>
    <t>polo shirt</t>
  </si>
  <si>
    <t>cuffed pants</t>
  </si>
  <si>
    <t>pom-pom sweater</t>
  </si>
  <si>
    <t>poncho coat</t>
  </si>
  <si>
    <t>culottes</t>
  </si>
  <si>
    <t>poncho-style sweater</t>
  </si>
  <si>
    <t>prince's tunic</t>
  </si>
  <si>
    <t>Cherry's photo</t>
  </si>
  <si>
    <t>printed fleece sweater</t>
  </si>
  <si>
    <t>cut-pleather skirt</t>
  </si>
  <si>
    <t>printed layered shirt</t>
  </si>
  <si>
    <t>printed-sleeve sweater</t>
  </si>
  <si>
    <t>privét tee</t>
  </si>
  <si>
    <t>cycling shorts</t>
  </si>
  <si>
    <t>Chester's photo</t>
  </si>
  <si>
    <t>puffy vest</t>
  </si>
  <si>
    <t>puffy-sleeve blouse</t>
  </si>
  <si>
    <t>pullover jacket</t>
  </si>
  <si>
    <t>quilted down jacket</t>
  </si>
  <si>
    <t>quilted jacket</t>
  </si>
  <si>
    <t>Chevre's photo</t>
  </si>
  <si>
    <t>rabbit tee</t>
  </si>
  <si>
    <t>dance warm-up pants</t>
  </si>
  <si>
    <t>raglan tee</t>
  </si>
  <si>
    <t>rainbow sweater</t>
  </si>
  <si>
    <t>denim cutoffs</t>
  </si>
  <si>
    <t>raincoat</t>
  </si>
  <si>
    <t>Chief's photo</t>
  </si>
  <si>
    <t>reindeer sweater</t>
  </si>
  <si>
    <t>relay tank</t>
  </si>
  <si>
    <t>retro coat</t>
  </si>
  <si>
    <t>denim painter's pants</t>
  </si>
  <si>
    <t>retro sweater</t>
  </si>
  <si>
    <t>ribbon-straps tank</t>
  </si>
  <si>
    <t>royal shirt</t>
  </si>
  <si>
    <t>rubber apron</t>
  </si>
  <si>
    <t>Chops's photo</t>
  </si>
  <si>
    <t>safety vest</t>
  </si>
  <si>
    <t>denim pants</t>
  </si>
  <si>
    <t>sailor-style shirt</t>
  </si>
  <si>
    <t>sailor's tee</t>
  </si>
  <si>
    <t>samurai shirt</t>
  </si>
  <si>
    <t>school jacket</t>
  </si>
  <si>
    <t>sea hanten shirt</t>
  </si>
  <si>
    <t>denim skirt</t>
  </si>
  <si>
    <t>seven-ball tee</t>
  </si>
  <si>
    <t>shirt with camera</t>
  </si>
  <si>
    <t>Chow's photo</t>
  </si>
  <si>
    <t>short peacoat</t>
  </si>
  <si>
    <t>short-sleeve dress shirt</t>
  </si>
  <si>
    <t>dotted shorts</t>
  </si>
  <si>
    <t>silk floral-print shirt</t>
  </si>
  <si>
    <t>down pants</t>
  </si>
  <si>
    <t>silk shirt</t>
  </si>
  <si>
    <t>simple knit sweater</t>
  </si>
  <si>
    <t>Chrissy's photo</t>
  </si>
  <si>
    <t>simple parka</t>
  </si>
  <si>
    <t>simple-dots tee</t>
  </si>
  <si>
    <t>six-ball tee</t>
  </si>
  <si>
    <t>skiwear</t>
  </si>
  <si>
    <t>down skirt</t>
  </si>
  <si>
    <t>skull tee</t>
  </si>
  <si>
    <t>Claude's photo</t>
  </si>
  <si>
    <t>sleeved apron</t>
  </si>
  <si>
    <t>sleeveless dress shirt</t>
  </si>
  <si>
    <t>sleeveless parka</t>
  </si>
  <si>
    <t>sleeveless tunic</t>
  </si>
  <si>
    <t>draped skirt</t>
  </si>
  <si>
    <t>Claudia's photo</t>
  </si>
  <si>
    <t>snowflake sweater</t>
  </si>
  <si>
    <t>snowy sweater</t>
  </si>
  <si>
    <t>soccer-uniform top</t>
  </si>
  <si>
    <t>space parka</t>
  </si>
  <si>
    <t>sparkly embroidered tank</t>
  </si>
  <si>
    <t>dreamy pants</t>
  </si>
  <si>
    <t>Clay's photo</t>
  </si>
  <si>
    <t>spider-web tee</t>
  </si>
  <si>
    <t>sports tank</t>
  </si>
  <si>
    <t>dress pants</t>
  </si>
  <si>
    <t>staff uniform</t>
  </si>
  <si>
    <t>starry tank</t>
  </si>
  <si>
    <t>striped shirt</t>
  </si>
  <si>
    <t>Cleo's photo</t>
  </si>
  <si>
    <t>elephant-print pants</t>
  </si>
  <si>
    <t>striped tank</t>
  </si>
  <si>
    <t>striped tee</t>
  </si>
  <si>
    <t>sushi chef's outfit</t>
  </si>
  <si>
    <t>embellished denim pants</t>
  </si>
  <si>
    <t>sweater on shirt</t>
  </si>
  <si>
    <t>Clyde's photo</t>
  </si>
  <si>
    <t>embroidered floral skirt</t>
  </si>
  <si>
    <t>sweater-vest</t>
  </si>
  <si>
    <t>sweatshirt</t>
  </si>
  <si>
    <t>embroidered-pattern skirt</t>
  </si>
  <si>
    <t>sweetheart tank and shirt</t>
  </si>
  <si>
    <t>tailcoat</t>
  </si>
  <si>
    <t>explorer shorts</t>
  </si>
  <si>
    <t>Coach's photo</t>
  </si>
  <si>
    <t>tailored jacket</t>
  </si>
  <si>
    <t>tank</t>
  </si>
  <si>
    <t>faux-fur skirt</t>
  </si>
  <si>
    <t>tee-parka combo</t>
  </si>
  <si>
    <t>tennis sweater</t>
  </si>
  <si>
    <t>terry-cloth nightgown</t>
  </si>
  <si>
    <t>Cobb's photo</t>
  </si>
  <si>
    <t>faux-shearling skirt</t>
  </si>
  <si>
    <t>text shirt</t>
  </si>
  <si>
    <t>thick-stripes shirt</t>
  </si>
  <si>
    <t>flare skirt</t>
  </si>
  <si>
    <t>thief's costume</t>
  </si>
  <si>
    <t>thread-worn sweater</t>
  </si>
  <si>
    <t>Coco's photo</t>
  </si>
  <si>
    <t>three-ball tee</t>
  </si>
  <si>
    <t>flashy slacks</t>
  </si>
  <si>
    <t>tie-dye shirt</t>
  </si>
  <si>
    <t>tiger jacket</t>
  </si>
  <si>
    <t>tight-knit sweater</t>
  </si>
  <si>
    <t>top coat</t>
  </si>
  <si>
    <t>Cole's photo</t>
  </si>
  <si>
    <t>floral lace skirt</t>
  </si>
  <si>
    <t>track jacket</t>
  </si>
  <si>
    <t>traditional straw coat</t>
  </si>
  <si>
    <t>tree sweater</t>
  </si>
  <si>
    <t>trench coat</t>
  </si>
  <si>
    <t>tube top</t>
  </si>
  <si>
    <t>Colton's photo</t>
  </si>
  <si>
    <t>tunic tank</t>
  </si>
  <si>
    <t>floral skirt</t>
  </si>
  <si>
    <t>tuxedo jacket</t>
  </si>
  <si>
    <t>tweed jacket</t>
  </si>
  <si>
    <t>football pants</t>
  </si>
  <si>
    <t>tweed vest</t>
  </si>
  <si>
    <t>two-ball tee</t>
  </si>
  <si>
    <t>V-neck sweater</t>
  </si>
  <si>
    <t>Cookie's photo</t>
  </si>
  <si>
    <t>vampire costume</t>
  </si>
  <si>
    <t>vertical-stripes shirt</t>
  </si>
  <si>
    <t>vest with binoculars</t>
  </si>
  <si>
    <t>viking top</t>
  </si>
  <si>
    <t>waistcoat</t>
  </si>
  <si>
    <t>western shirt</t>
  </si>
  <si>
    <t>formal shorts</t>
  </si>
  <si>
    <t>work apron</t>
  </si>
  <si>
    <t>Cousteau's photo</t>
  </si>
  <si>
    <t>work shirt</t>
  </si>
  <si>
    <t>worker's jacket</t>
  </si>
  <si>
    <t>workout top</t>
  </si>
  <si>
    <t>yodel cardigan</t>
  </si>
  <si>
    <t>yodel sweater</t>
  </si>
  <si>
    <t>frilly pants</t>
  </si>
  <si>
    <t>young-royal shirt</t>
  </si>
  <si>
    <t>zigzag shirt</t>
  </si>
  <si>
    <t>Crackle's photo</t>
  </si>
  <si>
    <t>frilly skirt</t>
  </si>
  <si>
    <t>Cranston's photo</t>
  </si>
  <si>
    <t>academy uniform</t>
  </si>
  <si>
    <t>frilly sweatpants</t>
  </si>
  <si>
    <t>adventure dress</t>
  </si>
  <si>
    <t>alpinist dress</t>
  </si>
  <si>
    <t>alpinist overalls</t>
  </si>
  <si>
    <t>ancient belted robe</t>
  </si>
  <si>
    <t>Croque's photo</t>
  </si>
  <si>
    <t>ancient sashed robe</t>
  </si>
  <si>
    <t>áo dài</t>
  </si>
  <si>
    <t>fringe skirt</t>
  </si>
  <si>
    <t>apple dress</t>
  </si>
  <si>
    <t>astro dress</t>
  </si>
  <si>
    <t>attus robe</t>
  </si>
  <si>
    <t>Cube's photo</t>
  </si>
  <si>
    <t>baby romper</t>
  </si>
  <si>
    <t>baby-chick costume</t>
  </si>
  <si>
    <t>gaucho pants</t>
  </si>
  <si>
    <t>baji jeogori</t>
  </si>
  <si>
    <t>ballet outfit</t>
  </si>
  <si>
    <t>Curlos's photo</t>
  </si>
  <si>
    <t>geometric-print pants</t>
  </si>
  <si>
    <t>balmacaan coat</t>
  </si>
  <si>
    <t>baseball uniform</t>
  </si>
  <si>
    <t>bath-towel wrap</t>
  </si>
  <si>
    <t>Curly's photo</t>
  </si>
  <si>
    <t>bathrobe</t>
  </si>
  <si>
    <t>gingham picnic skirt</t>
  </si>
  <si>
    <t>bear costume</t>
  </si>
  <si>
    <t>bekasab robe</t>
  </si>
  <si>
    <t>Curt's photo</t>
  </si>
  <si>
    <t>belted dotted dress</t>
  </si>
  <si>
    <t>bingata dress</t>
  </si>
  <si>
    <t>gobelin shorts</t>
  </si>
  <si>
    <t>blossom dress</t>
  </si>
  <si>
    <t>grass skirt</t>
  </si>
  <si>
    <t>Cyd's photo</t>
  </si>
  <si>
    <t>blossoming kimono</t>
  </si>
  <si>
    <t>green grass skirt</t>
  </si>
  <si>
    <t>hickory-stripe pants</t>
  </si>
  <si>
    <t>boa parka</t>
  </si>
  <si>
    <t>jogging shorts</t>
  </si>
  <si>
    <t>Bohemian tunic dress</t>
  </si>
  <si>
    <t>bold muumuu</t>
  </si>
  <si>
    <t>Cyrano's photo</t>
  </si>
  <si>
    <t>bolero coat</t>
  </si>
  <si>
    <t>bone costume</t>
  </si>
  <si>
    <t>kilt</t>
  </si>
  <si>
    <t>box-skirt uniform</t>
  </si>
  <si>
    <t>bunny dress</t>
  </si>
  <si>
    <t>butterfly visiting kimono</t>
  </si>
  <si>
    <t>knit pants</t>
  </si>
  <si>
    <t>Daisy's photo</t>
  </si>
  <si>
    <t>casual chic dress</t>
  </si>
  <si>
    <t>knit skirt</t>
  </si>
  <si>
    <t>casual kimono</t>
  </si>
  <si>
    <t>cat dress</t>
  </si>
  <si>
    <t>kung-fu pants</t>
  </si>
  <si>
    <t>Deena's photo</t>
  </si>
  <si>
    <t>caterpillar costume</t>
  </si>
  <si>
    <t>caveman tank</t>
  </si>
  <si>
    <t>Labelle shorts</t>
  </si>
  <si>
    <t>checkered jumper dress</t>
  </si>
  <si>
    <t>cheerleading uniform</t>
  </si>
  <si>
    <t>Deirdre's photo</t>
  </si>
  <si>
    <t>cherry dress</t>
  </si>
  <si>
    <t>Labelle skirt</t>
  </si>
  <si>
    <t>chic tuxedo dress</t>
  </si>
  <si>
    <t>chima jeogori</t>
  </si>
  <si>
    <t>Del's photo</t>
  </si>
  <si>
    <t>china poblana</t>
  </si>
  <si>
    <t>chiton</t>
  </si>
  <si>
    <t>clover dress</t>
  </si>
  <si>
    <t>lace shorts</t>
  </si>
  <si>
    <t>cold-country bunad</t>
  </si>
  <si>
    <t>cold-country dress</t>
  </si>
  <si>
    <t>lace skirt</t>
  </si>
  <si>
    <t>concierge uniform</t>
  </si>
  <si>
    <t>Deli's photo</t>
  </si>
  <si>
    <t>coveralls with arm covers</t>
  </si>
  <si>
    <t>cyber suit</t>
  </si>
  <si>
    <t>lemon skirt</t>
  </si>
  <si>
    <t>dazed dress</t>
  </si>
  <si>
    <t>leopard miniskirt</t>
  </si>
  <si>
    <t>denim overalls</t>
  </si>
  <si>
    <t>desert outfit</t>
  </si>
  <si>
    <t>Derwin's photo</t>
  </si>
  <si>
    <t>desert-princess outfit</t>
  </si>
  <si>
    <t>diner uniform</t>
  </si>
  <si>
    <t>long chino skirt</t>
  </si>
  <si>
    <t>dollhouse dress</t>
  </si>
  <si>
    <t>dragon suit</t>
  </si>
  <si>
    <t>Diana's photo</t>
  </si>
  <si>
    <t>dreamy dress</t>
  </si>
  <si>
    <t>long denim skirt</t>
  </si>
  <si>
    <t>earth-egg outfit</t>
  </si>
  <si>
    <t>egg party dress</t>
  </si>
  <si>
    <t>egg-sushi costume</t>
  </si>
  <si>
    <t>elegant dress</t>
  </si>
  <si>
    <t>long plaid skirt</t>
  </si>
  <si>
    <t>fairy dress</t>
  </si>
  <si>
    <t>Diva's photo</t>
  </si>
  <si>
    <t>fairy-tale dress</t>
  </si>
  <si>
    <t>long pleated skirt</t>
  </si>
  <si>
    <t>fancy kimono</t>
  </si>
  <si>
    <t>fancy party dress</t>
  </si>
  <si>
    <t>farmer overalls</t>
  </si>
  <si>
    <t>long polka skirt</t>
  </si>
  <si>
    <t>Dizzy's photo</t>
  </si>
  <si>
    <t>fashionable royal dress</t>
  </si>
  <si>
    <t>festive dress</t>
  </si>
  <si>
    <t>festive-tree dress</t>
  </si>
  <si>
    <t>figure-skating costume</t>
  </si>
  <si>
    <t>figure-skating dress</t>
  </si>
  <si>
    <t>Dobie's photo</t>
  </si>
  <si>
    <t>long sailor skirt</t>
  </si>
  <si>
    <t>firefighter uniform</t>
  </si>
  <si>
    <t>fishing waders</t>
  </si>
  <si>
    <t>flapper dress</t>
  </si>
  <si>
    <t>flashy kimono</t>
  </si>
  <si>
    <t>Doc's photo</t>
  </si>
  <si>
    <t>fleece pj's</t>
  </si>
  <si>
    <t>flight-crew uniform</t>
  </si>
  <si>
    <t>long sweatskirt</t>
  </si>
  <si>
    <t>floral lace dress</t>
  </si>
  <si>
    <t>flower-print dress</t>
  </si>
  <si>
    <t>Dom's photo</t>
  </si>
  <si>
    <t>muay-thai shorts</t>
  </si>
  <si>
    <t>folk-dance outfit</t>
  </si>
  <si>
    <t>forest-print dress</t>
  </si>
  <si>
    <t>frilly dress</t>
  </si>
  <si>
    <t>multicolor shorts</t>
  </si>
  <si>
    <t>frog costume</t>
  </si>
  <si>
    <t>frugal dress</t>
  </si>
  <si>
    <t>Dora's photo</t>
  </si>
  <si>
    <t>noble pants</t>
  </si>
  <si>
    <t>frugal outfit</t>
  </si>
  <si>
    <t>full-body tights</t>
  </si>
  <si>
    <t>full-length dress with pearls</t>
  </si>
  <si>
    <t>gizzard-shad-sushi costume</t>
  </si>
  <si>
    <t>gold armor</t>
  </si>
  <si>
    <t>Dotty's photo</t>
  </si>
  <si>
    <t>grape dress</t>
  </si>
  <si>
    <t>gumdrop dress</t>
  </si>
  <si>
    <t>hakama</t>
  </si>
  <si>
    <t>outdoor shorts</t>
  </si>
  <si>
    <t>hakama with crest</t>
  </si>
  <si>
    <t>hibiscus muumuu</t>
  </si>
  <si>
    <t>Drago's photo</t>
  </si>
  <si>
    <t>hot-dog costume</t>
  </si>
  <si>
    <t>house-print dress</t>
  </si>
  <si>
    <t>ice-hockey uniform</t>
  </si>
  <si>
    <t>icy dress</t>
  </si>
  <si>
    <t>patched-knee pants</t>
  </si>
  <si>
    <t>Drake's photo</t>
  </si>
  <si>
    <t>impish costume</t>
  </si>
  <si>
    <t>instant-muscles suit</t>
  </si>
  <si>
    <t>iron armor</t>
  </si>
  <si>
    <t>patchwork skirt</t>
  </si>
  <si>
    <t>jester costume</t>
  </si>
  <si>
    <t>Drift's photo</t>
  </si>
  <si>
    <t>jinbei</t>
  </si>
  <si>
    <t>pearl skirt</t>
  </si>
  <si>
    <t>jockey uniform</t>
  </si>
  <si>
    <t>petal skirt</t>
  </si>
  <si>
    <t>judogi</t>
  </si>
  <si>
    <t>jumper work suit</t>
  </si>
  <si>
    <t>pineapple aloha shorts</t>
  </si>
  <si>
    <t>Ed's photo</t>
  </si>
  <si>
    <t>junihitoe kimono</t>
  </si>
  <si>
    <t>kabuki-actor yukata</t>
  </si>
  <si>
    <t>kandoora</t>
  </si>
  <si>
    <t>kappa costume</t>
  </si>
  <si>
    <t>kiwi dress</t>
  </si>
  <si>
    <t>Labelle dress</t>
  </si>
  <si>
    <t>lace-up dress</t>
  </si>
  <si>
    <t>plaid shorts</t>
  </si>
  <si>
    <t>lacy dress</t>
  </si>
  <si>
    <t>layered sleeveless dress</t>
  </si>
  <si>
    <t>Egbert's photo</t>
  </si>
  <si>
    <t>layered tank dress</t>
  </si>
  <si>
    <t>leaf-egg outfit</t>
  </si>
  <si>
    <t>pleather flare skirt</t>
  </si>
  <si>
    <t>linen dress</t>
  </si>
  <si>
    <t>lively plaid dress</t>
  </si>
  <si>
    <t>long chenille cardigan</t>
  </si>
  <si>
    <t>long denim cardigan</t>
  </si>
  <si>
    <t>long down coat</t>
  </si>
  <si>
    <t>long pleather coat</t>
  </si>
  <si>
    <t>loose fall dress</t>
  </si>
  <si>
    <t>Elise's photo</t>
  </si>
  <si>
    <t>mage's robe</t>
  </si>
  <si>
    <t>magical dress</t>
  </si>
  <si>
    <t>maid dress</t>
  </si>
  <si>
    <t>pleather pants</t>
  </si>
  <si>
    <t>marble-dots dress</t>
  </si>
  <si>
    <t>marble-print dress</t>
  </si>
  <si>
    <t>mariachi clothing</t>
  </si>
  <si>
    <t>Ellie's photo</t>
  </si>
  <si>
    <t>maxi shirtdress</t>
  </si>
  <si>
    <t>pleather patch skirt</t>
  </si>
  <si>
    <t>miko attire</t>
  </si>
  <si>
    <t>milkmaid dress</t>
  </si>
  <si>
    <t>pleather shorts</t>
  </si>
  <si>
    <t>moldy dress</t>
  </si>
  <si>
    <t>morning-glory yukata</t>
  </si>
  <si>
    <t>Elmer's photo</t>
  </si>
  <si>
    <t>mummy outfit</t>
  </si>
  <si>
    <t>pleather skirt</t>
  </si>
  <si>
    <t>mysterious dress</t>
  </si>
  <si>
    <t>nightgown</t>
  </si>
  <si>
    <t>ninja costume</t>
  </si>
  <si>
    <t>Eloise's photo</t>
  </si>
  <si>
    <t>noble dress</t>
  </si>
  <si>
    <t>plover skirt</t>
  </si>
  <si>
    <t>noble zap suit</t>
  </si>
  <si>
    <t>polka-dot mini skirt</t>
  </si>
  <si>
    <t>nurse's dress uniform</t>
  </si>
  <si>
    <t>office uniform</t>
  </si>
  <si>
    <t>old commoner's kimono</t>
  </si>
  <si>
    <t>Elvis's photo</t>
  </si>
  <si>
    <t>punk pants</t>
  </si>
  <si>
    <t>orange dress</t>
  </si>
  <si>
    <t>overall dress</t>
  </si>
  <si>
    <t>rain pants</t>
  </si>
  <si>
    <t>oversized print dress</t>
  </si>
  <si>
    <t>oversized-sweats dress</t>
  </si>
  <si>
    <t>Erik's photo</t>
  </si>
  <si>
    <t>painter's coverall</t>
  </si>
  <si>
    <t>pajama dress</t>
  </si>
  <si>
    <t>sailor skirt</t>
  </si>
  <si>
    <t>palatial tank dress</t>
  </si>
  <si>
    <t>parka and shirtdress</t>
  </si>
  <si>
    <t>Eugene's photo</t>
  </si>
  <si>
    <t>parka dress</t>
  </si>
  <si>
    <t>peach dress</t>
  </si>
  <si>
    <t>peacoat-and-skirt combo</t>
  </si>
  <si>
    <t>satin pants</t>
  </si>
  <si>
    <t>pear dress</t>
  </si>
  <si>
    <t>pharaoh's outfit</t>
  </si>
  <si>
    <t>Eunice's photo</t>
  </si>
  <si>
    <t>pilot's uniform</t>
  </si>
  <si>
    <t>pinafore</t>
  </si>
  <si>
    <t>school pants</t>
  </si>
  <si>
    <t>pineapple dress</t>
  </si>
  <si>
    <t>pintuck-pleated dress</t>
  </si>
  <si>
    <t>PJ outfit</t>
  </si>
  <si>
    <t>plaid-print dress</t>
  </si>
  <si>
    <t>Fang's photo</t>
  </si>
  <si>
    <t>silk floral-print pants</t>
  </si>
  <si>
    <t>plover dress</t>
  </si>
  <si>
    <t>power suit</t>
  </si>
  <si>
    <t>prim outfit</t>
  </si>
  <si>
    <t>princess dress</t>
  </si>
  <si>
    <t>racing outfit</t>
  </si>
  <si>
    <t>rad power skirt suit</t>
  </si>
  <si>
    <t>Renaissance dress</t>
  </si>
  <si>
    <t>Fauna's photo</t>
  </si>
  <si>
    <t>retro A-line dress</t>
  </si>
  <si>
    <t>silk pants</t>
  </si>
  <si>
    <t>retro dress</t>
  </si>
  <si>
    <t>retro sleeveless dress</t>
  </si>
  <si>
    <t>ruffled dress</t>
  </si>
  <si>
    <t>rugby uniform</t>
  </si>
  <si>
    <t>ski pants</t>
  </si>
  <si>
    <t>rumba costume</t>
  </si>
  <si>
    <t>rumba dress</t>
  </si>
  <si>
    <t>sailor-collar dress</t>
  </si>
  <si>
    <t>Felicity's photo</t>
  </si>
  <si>
    <t>sari</t>
  </si>
  <si>
    <t>satin dress</t>
  </si>
  <si>
    <t>slacks</t>
  </si>
  <si>
    <t>school smock</t>
  </si>
  <si>
    <t>security uniform</t>
  </si>
  <si>
    <t>shawl-and-dress combo</t>
  </si>
  <si>
    <t>sheep costume</t>
  </si>
  <si>
    <t>Filbert's photo</t>
  </si>
  <si>
    <t>shell dress</t>
  </si>
  <si>
    <t>soccer shorts</t>
  </si>
  <si>
    <t>shirtdress</t>
  </si>
  <si>
    <t>shorts outfit</t>
  </si>
  <si>
    <t>simple checkered dress</t>
  </si>
  <si>
    <t>simple visiting kimono</t>
  </si>
  <si>
    <t>Flip's photo</t>
  </si>
  <si>
    <t>simple-dots dress</t>
  </si>
  <si>
    <t>skirt with suspenders</t>
  </si>
  <si>
    <t>spangle shorts</t>
  </si>
  <si>
    <t>sky-egg outfit</t>
  </si>
  <si>
    <t>sleeveless shirtdress</t>
  </si>
  <si>
    <t>sleeveless sweater dress</t>
  </si>
  <si>
    <t>Flo's photo</t>
  </si>
  <si>
    <t>space suit</t>
  </si>
  <si>
    <t>sprite costume</t>
  </si>
  <si>
    <t>sporty skirt</t>
  </si>
  <si>
    <t>star costume</t>
  </si>
  <si>
    <t>steampunk costume</t>
  </si>
  <si>
    <t>striped bell-bottoms</t>
  </si>
  <si>
    <t>Flora's photo</t>
  </si>
  <si>
    <t>stellar jumpsuit</t>
  </si>
  <si>
    <t>stone-egg outfit</t>
  </si>
  <si>
    <t>striped pants</t>
  </si>
  <si>
    <t>strawberry dress</t>
  </si>
  <si>
    <t>striped dress</t>
  </si>
  <si>
    <t>striped halter dress</t>
  </si>
  <si>
    <t>Flurry's photo</t>
  </si>
  <si>
    <t>striped maxi dress</t>
  </si>
  <si>
    <t>striped shorts</t>
  </si>
  <si>
    <t>stylish jumpsuit</t>
  </si>
  <si>
    <t>suit of lights</t>
  </si>
  <si>
    <t>suit with stand-up collar</t>
  </si>
  <si>
    <t>sunflower dress</t>
  </si>
  <si>
    <t>surfing shorts</t>
  </si>
  <si>
    <t>superhero uniform</t>
  </si>
  <si>
    <t>suspender outfit</t>
  </si>
  <si>
    <t>Francine's photo</t>
  </si>
  <si>
    <t>sweater dress</t>
  </si>
  <si>
    <t>sweatpants</t>
  </si>
  <si>
    <t>sweet dress</t>
  </si>
  <si>
    <t>sweetheart dress</t>
  </si>
  <si>
    <t>Frank's photo</t>
  </si>
  <si>
    <t>tango dress</t>
  </si>
  <si>
    <t>tennis skirt</t>
  </si>
  <si>
    <t>tee dress</t>
  </si>
  <si>
    <t>tiger-face tee dress</t>
  </si>
  <si>
    <t>terry-cloth shorts</t>
  </si>
  <si>
    <t>tight punk outfit</t>
  </si>
  <si>
    <t>Freckles's photo</t>
  </si>
  <si>
    <t>toga</t>
  </si>
  <si>
    <t>tropical muumuu</t>
  </si>
  <si>
    <t>three-quarter sweatpants</t>
  </si>
  <si>
    <t>tuna-sushi costume</t>
  </si>
  <si>
    <t>Freya's photo</t>
  </si>
  <si>
    <t>tweed dress</t>
  </si>
  <si>
    <t>Victorian dress</t>
  </si>
  <si>
    <t>visual-punk dress</t>
  </si>
  <si>
    <t>tie-dye skirt</t>
  </si>
  <si>
    <t>visual-punk outfit</t>
  </si>
  <si>
    <t>water-egg outfit</t>
  </si>
  <si>
    <t>Friga's photo</t>
  </si>
  <si>
    <t>watermelon dress</t>
  </si>
  <si>
    <t>wizard's robe</t>
  </si>
  <si>
    <t>wood-egg outfit</t>
  </si>
  <si>
    <t>tiered skirt</t>
  </si>
  <si>
    <t>wrestler uniform</t>
  </si>
  <si>
    <t>wrestling singlet</t>
  </si>
  <si>
    <t>zap suit</t>
  </si>
  <si>
    <t>zigzag-print dress</t>
  </si>
  <si>
    <t>torn pants</t>
  </si>
  <si>
    <t>Frita's photo</t>
  </si>
  <si>
    <t>track pants</t>
  </si>
  <si>
    <t>Frobert's photo</t>
  </si>
  <si>
    <t>acorn knit cap</t>
  </si>
  <si>
    <t>traditional monpe pants</t>
  </si>
  <si>
    <t>alpinist hat</t>
  </si>
  <si>
    <t>ancient administrator hat</t>
  </si>
  <si>
    <t>traditional suteteko pants</t>
  </si>
  <si>
    <t>Fuchsia's photo</t>
  </si>
  <si>
    <t>apple hat</t>
  </si>
  <si>
    <t>Aran-knit cap</t>
  </si>
  <si>
    <t>baby's hat</t>
  </si>
  <si>
    <t>balloon hat</t>
  </si>
  <si>
    <t>tweed frilly skirt</t>
  </si>
  <si>
    <t>bamboo hat</t>
  </si>
  <si>
    <t>barrette</t>
  </si>
  <si>
    <t>Gabi's photo</t>
  </si>
  <si>
    <t>baseball cap</t>
  </si>
  <si>
    <t>tweed pants</t>
  </si>
  <si>
    <t>batter's helmet</t>
  </si>
  <si>
    <t>bear cap</t>
  </si>
  <si>
    <t>beret</t>
  </si>
  <si>
    <t>bicycle helmet</t>
  </si>
  <si>
    <t>birthday hat</t>
  </si>
  <si>
    <t>blue rose crown</t>
  </si>
  <si>
    <t>tweed skirt</t>
  </si>
  <si>
    <t>bowler hat with ribbon</t>
  </si>
  <si>
    <t>Gala's photo</t>
  </si>
  <si>
    <t>bun wig</t>
  </si>
  <si>
    <t>Bunny Day crown</t>
  </si>
  <si>
    <t>bunny ears</t>
  </si>
  <si>
    <t>bunny hood</t>
  </si>
  <si>
    <t>two-tone pants</t>
  </si>
  <si>
    <t>captain's hat</t>
  </si>
  <si>
    <t>cat cap</t>
  </si>
  <si>
    <t>Gaston's photo</t>
  </si>
  <si>
    <t>catcher's mask</t>
  </si>
  <si>
    <t>cavalier hat</t>
  </si>
  <si>
    <t>chef's hat</t>
  </si>
  <si>
    <t>upcycled skirt</t>
  </si>
  <si>
    <t>cherry hat</t>
  </si>
  <si>
    <t>Gayle's photo</t>
  </si>
  <si>
    <t>chic mum crown</t>
  </si>
  <si>
    <t>chic rose crown</t>
  </si>
  <si>
    <t>vibrant shorts</t>
  </si>
  <si>
    <t>chic tulip crown</t>
  </si>
  <si>
    <t>coin headpiece</t>
  </si>
  <si>
    <t>colorful striped knit cap</t>
  </si>
  <si>
    <t>Genji's photo</t>
  </si>
  <si>
    <t>combat helmet</t>
  </si>
  <si>
    <t>western pants</t>
  </si>
  <si>
    <t>composer's wig</t>
  </si>
  <si>
    <t>wide chino pants</t>
  </si>
  <si>
    <t>cool hyacinth crown</t>
  </si>
  <si>
    <t>cool pansy crown</t>
  </si>
  <si>
    <t>Gigi's photo</t>
  </si>
  <si>
    <t>cool windflower crown</t>
  </si>
  <si>
    <t>cosmos crown</t>
  </si>
  <si>
    <t>crown</t>
  </si>
  <si>
    <t>workout pants</t>
  </si>
  <si>
    <t>cute lily crown</t>
  </si>
  <si>
    <t>cute rose crown</t>
  </si>
  <si>
    <t>cycling cap</t>
  </si>
  <si>
    <t>worn-out cutoffs</t>
  </si>
  <si>
    <t>DAL cap</t>
  </si>
  <si>
    <t>Gladys's photo</t>
  </si>
  <si>
    <t>dandy hat</t>
  </si>
  <si>
    <t>dark cosmos crown</t>
  </si>
  <si>
    <t>dark lily crown</t>
  </si>
  <si>
    <t>worn-out jeans</t>
  </si>
  <si>
    <t>dark tulip crown</t>
  </si>
  <si>
    <t>denim cap</t>
  </si>
  <si>
    <t>Gloria's photo</t>
  </si>
  <si>
    <t>detective hat</t>
  </si>
  <si>
    <t>DJ cap</t>
  </si>
  <si>
    <t>yacht shorts</t>
  </si>
  <si>
    <t>do-rag</t>
  </si>
  <si>
    <t>dotted shower cap</t>
  </si>
  <si>
    <t>Goldie's photo</t>
  </si>
  <si>
    <t>earth-egg shell</t>
  </si>
  <si>
    <t>egg party hat</t>
  </si>
  <si>
    <t>eggshell</t>
  </si>
  <si>
    <t>elder mask</t>
  </si>
  <si>
    <t>elegant hat</t>
  </si>
  <si>
    <t>Gonzo's photo</t>
  </si>
  <si>
    <t>explorer's hat</t>
  </si>
  <si>
    <t>3D glasses</t>
  </si>
  <si>
    <t>fairy-tale hood</t>
  </si>
  <si>
    <t>faux-fur hat</t>
  </si>
  <si>
    <t>bandage</t>
  </si>
  <si>
    <t>Goose's photo</t>
  </si>
  <si>
    <t>fedora</t>
  </si>
  <si>
    <t>beak</t>
  </si>
  <si>
    <t>birthday shades</t>
  </si>
  <si>
    <t>firefighter's hat</t>
  </si>
  <si>
    <t>flashy hairpin</t>
  </si>
  <si>
    <t>floral hairpin</t>
  </si>
  <si>
    <t>bottom-rimmed glasses</t>
  </si>
  <si>
    <t>football helmet</t>
  </si>
  <si>
    <t>Graham's photo</t>
  </si>
  <si>
    <t>fox mask</t>
  </si>
  <si>
    <t>frog cap</t>
  </si>
  <si>
    <t>frugal hat</t>
  </si>
  <si>
    <t>geisha wig</t>
  </si>
  <si>
    <t>giant ribbon</t>
  </si>
  <si>
    <t>glengarry</t>
  </si>
  <si>
    <t>gold helmet</t>
  </si>
  <si>
    <t>browline glasses</t>
  </si>
  <si>
    <t>gold rose crown</t>
  </si>
  <si>
    <t>Greta's photo</t>
  </si>
  <si>
    <t>gothic headdress</t>
  </si>
  <si>
    <t>grape hat</t>
  </si>
  <si>
    <t>halo</t>
  </si>
  <si>
    <t>headband</t>
  </si>
  <si>
    <t>headgear</t>
  </si>
  <si>
    <t>bubblegum</t>
  </si>
  <si>
    <t>headkerchief</t>
  </si>
  <si>
    <t>heart hairpin</t>
  </si>
  <si>
    <t>Grizzly's photo</t>
  </si>
  <si>
    <t>helmet with goggles</t>
  </si>
  <si>
    <t>hibiscus hairpin</t>
  </si>
  <si>
    <t>hockey mask</t>
  </si>
  <si>
    <t>hot-dog hood</t>
  </si>
  <si>
    <t>hyacinth crown</t>
  </si>
  <si>
    <t>bunny nose</t>
  </si>
  <si>
    <t>imitation cow skull</t>
  </si>
  <si>
    <t>imp hood</t>
  </si>
  <si>
    <t>Groucho's photo</t>
  </si>
  <si>
    <t>jester's cap</t>
  </si>
  <si>
    <t>jockey's helmet</t>
  </si>
  <si>
    <t>kaffiyeh</t>
  </si>
  <si>
    <t>butterfly shades</t>
  </si>
  <si>
    <t>kappa cap</t>
  </si>
  <si>
    <t>kiwi hat</t>
  </si>
  <si>
    <t>knight's helmet</t>
  </si>
  <si>
    <t>Gruff's photo</t>
  </si>
  <si>
    <t>knit cap with earflaps</t>
  </si>
  <si>
    <t>candy-skull mask</t>
  </si>
  <si>
    <t>knit hat</t>
  </si>
  <si>
    <t>Labelle cap</t>
  </si>
  <si>
    <t>Labelle hat</t>
  </si>
  <si>
    <t>leaf mask</t>
  </si>
  <si>
    <t>leaf-egg shell</t>
  </si>
  <si>
    <t>lettered cap</t>
  </si>
  <si>
    <t>Gwen's photo</t>
  </si>
  <si>
    <t>cat nose</t>
  </si>
  <si>
    <t>lily crown</t>
  </si>
  <si>
    <t>lovely cosmos crown</t>
  </si>
  <si>
    <t>mage's hat</t>
  </si>
  <si>
    <t>matanpushi</t>
  </si>
  <si>
    <t>cucumber pack</t>
  </si>
  <si>
    <t>matronly bun</t>
  </si>
  <si>
    <t>mesh cap</t>
  </si>
  <si>
    <t>curly mustache</t>
  </si>
  <si>
    <t>milkmaid hat</t>
  </si>
  <si>
    <t>cyber shades</t>
  </si>
  <si>
    <t>Hamlet's photo</t>
  </si>
  <si>
    <t>mohawk wig</t>
  </si>
  <si>
    <t>mum crown</t>
  </si>
  <si>
    <t>mummy mask</t>
  </si>
  <si>
    <t>New Year's hat</t>
  </si>
  <si>
    <t>Countdown event</t>
  </si>
  <si>
    <t>New Year's silk hat</t>
  </si>
  <si>
    <t>Hamphrey's photo</t>
  </si>
  <si>
    <t>ninja hood</t>
  </si>
  <si>
    <t>Noh mask</t>
  </si>
  <si>
    <t>DAL eye mask</t>
  </si>
  <si>
    <t>Nook Inc. bandanna</t>
  </si>
  <si>
    <t>DAL sunglasses</t>
  </si>
  <si>
    <t>Nook Inc. cap</t>
  </si>
  <si>
    <t>doctor's mask</t>
  </si>
  <si>
    <t>nurse's cap</t>
  </si>
  <si>
    <t>dog nose</t>
  </si>
  <si>
    <t>Hans's photo</t>
  </si>
  <si>
    <t>OK Motors cap</t>
  </si>
  <si>
    <t>orange hat</t>
  </si>
  <si>
    <t>outback hat</t>
  </si>
  <si>
    <t>double-bridge glasses</t>
  </si>
  <si>
    <t>outdoor hat</t>
  </si>
  <si>
    <t>paintball mask</t>
  </si>
  <si>
    <t>paisley bandanna</t>
  </si>
  <si>
    <t>pansy crown</t>
  </si>
  <si>
    <t>drinking-straw glasses</t>
  </si>
  <si>
    <t>Harry's photo</t>
  </si>
  <si>
    <t>paper bag</t>
  </si>
  <si>
    <t>paperboy cap</t>
  </si>
  <si>
    <t>patchwork tulip hat</t>
  </si>
  <si>
    <t>peach hat</t>
  </si>
  <si>
    <t>pear hat</t>
  </si>
  <si>
    <t>eye mask</t>
  </si>
  <si>
    <t>pigtail</t>
  </si>
  <si>
    <t>pilot's cap</t>
  </si>
  <si>
    <t>pilot's hat</t>
  </si>
  <si>
    <t>pineapple cap</t>
  </si>
  <si>
    <t>Hazel's photo</t>
  </si>
  <si>
    <t>plain cap</t>
  </si>
  <si>
    <t>police cap</t>
  </si>
  <si>
    <t>pom casquette</t>
  </si>
  <si>
    <t>eye patch</t>
  </si>
  <si>
    <t>pompadour wig</t>
  </si>
  <si>
    <t>power helmet</t>
  </si>
  <si>
    <t>facial mask</t>
  </si>
  <si>
    <t>purple hyacinth crown</t>
  </si>
  <si>
    <t>fake nose</t>
  </si>
  <si>
    <t>purple pansy crown</t>
  </si>
  <si>
    <t>Henry's photo</t>
  </si>
  <si>
    <t>purple windflower crown</t>
  </si>
  <si>
    <t>flower sunglasses</t>
  </si>
  <si>
    <t>racing helmet</t>
  </si>
  <si>
    <t>rain hat</t>
  </si>
  <si>
    <t>ribbon</t>
  </si>
  <si>
    <t>ribboned garden hat</t>
  </si>
  <si>
    <t>ribboned straw hat</t>
  </si>
  <si>
    <t>food mess</t>
  </si>
  <si>
    <t>Hippeux's photo</t>
  </si>
  <si>
    <t>rose crown</t>
  </si>
  <si>
    <t>funny glasses</t>
  </si>
  <si>
    <t>royal crown</t>
  </si>
  <si>
    <t>safety helmet</t>
  </si>
  <si>
    <t>sailor's hat</t>
  </si>
  <si>
    <t>gas mask</t>
  </si>
  <si>
    <t>samurai helmet</t>
  </si>
  <si>
    <t>samurai wig</t>
  </si>
  <si>
    <t>glass-bottle glasses</t>
  </si>
  <si>
    <t>scholar's hat</t>
  </si>
  <si>
    <t>Hopkins's photo</t>
  </si>
  <si>
    <t>school hat</t>
  </si>
  <si>
    <t>goatee</t>
  </si>
  <si>
    <t>shallow knit cap</t>
  </si>
  <si>
    <t>goggles</t>
  </si>
  <si>
    <t>sheep hood</t>
  </si>
  <si>
    <t>Hopper's photo</t>
  </si>
  <si>
    <t>silk hat</t>
  </si>
  <si>
    <t>simple mum crown</t>
  </si>
  <si>
    <t>skateboarding helmet</t>
  </si>
  <si>
    <t>skeleton hood</t>
  </si>
  <si>
    <t>ski mask</t>
  </si>
  <si>
    <t>handlebar mustache</t>
  </si>
  <si>
    <t>sky-egg shell</t>
  </si>
  <si>
    <t>heart shades</t>
  </si>
  <si>
    <t>small silk hat</t>
  </si>
  <si>
    <t>Hornsby's photo</t>
  </si>
  <si>
    <t>snowperson head</t>
  </si>
  <si>
    <t>snowy knit cap</t>
  </si>
  <si>
    <t>soft-serve hat</t>
  </si>
  <si>
    <t>sombrero</t>
  </si>
  <si>
    <t>space helmet</t>
  </si>
  <si>
    <t>sports cap</t>
  </si>
  <si>
    <t>HMD</t>
  </si>
  <si>
    <t>Huck's photo</t>
  </si>
  <si>
    <t>stagehand hat</t>
  </si>
  <si>
    <t>star hairpin</t>
  </si>
  <si>
    <t>star head</t>
  </si>
  <si>
    <t>jester's mask</t>
  </si>
  <si>
    <t>stone-egg shell</t>
  </si>
  <si>
    <t>straw boater</t>
  </si>
  <si>
    <t>straw hat</t>
  </si>
  <si>
    <t>straw umbrella hat</t>
  </si>
  <si>
    <t>strawberry hat</t>
  </si>
  <si>
    <t>Hugh's photo</t>
  </si>
  <si>
    <t>student cap</t>
  </si>
  <si>
    <t>sushi chef hat</t>
  </si>
  <si>
    <t>Labelle sunglasses</t>
  </si>
  <si>
    <t>swimming cap</t>
  </si>
  <si>
    <t>tam-o'-shanter</t>
  </si>
  <si>
    <t>terry-cloth do-rag</t>
  </si>
  <si>
    <t>terry-cloth nightcap</t>
  </si>
  <si>
    <t>tiara</t>
  </si>
  <si>
    <t>Iggly's photo</t>
  </si>
  <si>
    <t>tiara hair</t>
  </si>
  <si>
    <t>ladder shades</t>
  </si>
  <si>
    <t>top hat</t>
  </si>
  <si>
    <t>tropical hat</t>
  </si>
  <si>
    <t>tubeteika</t>
  </si>
  <si>
    <t>tulip crown</t>
  </si>
  <si>
    <t>tulip hat</t>
  </si>
  <si>
    <t>turban</t>
  </si>
  <si>
    <t>Ike's photo</t>
  </si>
  <si>
    <t>tweed cap</t>
  </si>
  <si>
    <t>veil</t>
  </si>
  <si>
    <t>leaf</t>
  </si>
  <si>
    <t>veiled gardening hat</t>
  </si>
  <si>
    <t>masquerade mask</t>
  </si>
  <si>
    <t>viking helmet</t>
  </si>
  <si>
    <t>visual-punk wig</t>
  </si>
  <si>
    <t>water-egg shell</t>
  </si>
  <si>
    <t>watermelon hat</t>
  </si>
  <si>
    <t>welding mask</t>
  </si>
  <si>
    <t>Jacques's photo</t>
  </si>
  <si>
    <t>wide-brim straw hat</t>
  </si>
  <si>
    <t>windflower crown</t>
  </si>
  <si>
    <t>wizard's cap</t>
  </si>
  <si>
    <t>monocle</t>
  </si>
  <si>
    <t>wood-egg shell</t>
  </si>
  <si>
    <t>wrestling mask</t>
  </si>
  <si>
    <t>zap helmet</t>
  </si>
  <si>
    <t>Jakey's photo</t>
  </si>
  <si>
    <t>night-vision goggles</t>
  </si>
  <si>
    <t>zen hair clip</t>
  </si>
  <si>
    <t>Nook Inc. eye mask</t>
  </si>
  <si>
    <t>nose drip</t>
  </si>
  <si>
    <t>octagonal glasses</t>
  </si>
  <si>
    <t>Jambette's photo</t>
  </si>
  <si>
    <t>oval glasses</t>
  </si>
  <si>
    <t>Jay's photo</t>
  </si>
  <si>
    <t>aerobics leggings</t>
  </si>
  <si>
    <t>Kicks</t>
  </si>
  <si>
    <t>Aran-knit socks</t>
  </si>
  <si>
    <t>argyle crew socks</t>
  </si>
  <si>
    <t>back-bow socks</t>
  </si>
  <si>
    <t>Jeremiah's photo</t>
  </si>
  <si>
    <t>pacifier</t>
  </si>
  <si>
    <t>bobby socks</t>
  </si>
  <si>
    <t>color-blocked socks</t>
  </si>
  <si>
    <t>compression tights</t>
  </si>
  <si>
    <t>country socks</t>
  </si>
  <si>
    <t>crocheted socks</t>
  </si>
  <si>
    <t>Jitters's photo</t>
  </si>
  <si>
    <t>denim leggings</t>
  </si>
  <si>
    <t>dotted knee-high socks</t>
  </si>
  <si>
    <t>pig nose</t>
  </si>
  <si>
    <t>embroidered-flower tights</t>
  </si>
  <si>
    <t>pilot shades</t>
  </si>
  <si>
    <t>everyday socks</t>
  </si>
  <si>
    <t>pixel shades</t>
  </si>
  <si>
    <t>Joey's photo</t>
  </si>
  <si>
    <t>everyday tights</t>
  </si>
  <si>
    <t>fishnet tights</t>
  </si>
  <si>
    <t>flowery-dot tights</t>
  </si>
  <si>
    <t>pleather mask</t>
  </si>
  <si>
    <t>post-op patch</t>
  </si>
  <si>
    <t>frilly knee-high socks</t>
  </si>
  <si>
    <t>privacy mask</t>
  </si>
  <si>
    <t>Judy's photo</t>
  </si>
  <si>
    <t>frilly socks</t>
  </si>
  <si>
    <t>reflector</t>
  </si>
  <si>
    <t>retro shades</t>
  </si>
  <si>
    <t>funny-face socks</t>
  </si>
  <si>
    <t>garter socks</t>
  </si>
  <si>
    <t>geometric-print socks</t>
  </si>
  <si>
    <t>hand-knit socks</t>
  </si>
  <si>
    <t>Julia's photo</t>
  </si>
  <si>
    <t>holey socks</t>
  </si>
  <si>
    <t>rhinestone shades</t>
  </si>
  <si>
    <t>holey tights</t>
  </si>
  <si>
    <t>kiddie socks</t>
  </si>
  <si>
    <t>Labelle socks</t>
  </si>
  <si>
    <t>rimmed glasses</t>
  </si>
  <si>
    <t>Labelle tights</t>
  </si>
  <si>
    <t>lace socks</t>
  </si>
  <si>
    <t>Julian's photo</t>
  </si>
  <si>
    <t>layered socks</t>
  </si>
  <si>
    <t>leg warmers</t>
  </si>
  <si>
    <t>mixed-tweed socks</t>
  </si>
  <si>
    <t>round shades</t>
  </si>
  <si>
    <t>neon leggings</t>
  </si>
  <si>
    <t>neon tights</t>
  </si>
  <si>
    <t>no-show socks</t>
  </si>
  <si>
    <t>June's photo</t>
  </si>
  <si>
    <t>Nook Inc. socks</t>
  </si>
  <si>
    <t>nordic socks</t>
  </si>
  <si>
    <t>patterned stockings</t>
  </si>
  <si>
    <t>round tinted shades</t>
  </si>
  <si>
    <t>pom-pom socks</t>
  </si>
  <si>
    <t>Kabuki's photo</t>
  </si>
  <si>
    <t>puckered socks</t>
  </si>
  <si>
    <t>running tights</t>
  </si>
  <si>
    <t>rounded beard</t>
  </si>
  <si>
    <t>shattered glasses</t>
  </si>
  <si>
    <t>semi-opaque socks</t>
  </si>
  <si>
    <t>ski goggles</t>
  </si>
  <si>
    <t>semi-opaque tights</t>
  </si>
  <si>
    <t>sequin leggings</t>
  </si>
  <si>
    <t>Katt's photo</t>
  </si>
  <si>
    <t>sheer socks</t>
  </si>
  <si>
    <t>simple knee-high socks</t>
  </si>
  <si>
    <t>sporty shades</t>
  </si>
  <si>
    <t>simple-accent socks</t>
  </si>
  <si>
    <t>soccer socks</t>
  </si>
  <si>
    <t>spider-web tights</t>
  </si>
  <si>
    <t>stockings</t>
  </si>
  <si>
    <t>square glasses</t>
  </si>
  <si>
    <t>Keaton's photo</t>
  </si>
  <si>
    <t>stretch leggings</t>
  </si>
  <si>
    <t>striped socks</t>
  </si>
  <si>
    <t>striped tights</t>
  </si>
  <si>
    <t>stache &amp; glasses</t>
  </si>
  <si>
    <t>Ken's photo</t>
  </si>
  <si>
    <t>tabi</t>
  </si>
  <si>
    <t>terry-cloth socks</t>
  </si>
  <si>
    <t>star shades</t>
  </si>
  <si>
    <t>tube socks</t>
  </si>
  <si>
    <t>ultra no-show socks</t>
  </si>
  <si>
    <t>Ketchup's photo</t>
  </si>
  <si>
    <t>vivid leggings</t>
  </si>
  <si>
    <t>steampunk glasses</t>
  </si>
  <si>
    <t>vivid socks</t>
  </si>
  <si>
    <t>sticky rice</t>
  </si>
  <si>
    <t>vivid tights</t>
  </si>
  <si>
    <t>superhero mask</t>
  </si>
  <si>
    <t>wave-print socks</t>
  </si>
  <si>
    <t>tiny shades</t>
  </si>
  <si>
    <t>Kevin's photo</t>
  </si>
  <si>
    <t>tortoise specs</t>
  </si>
  <si>
    <t>Kid Cat's photo</t>
  </si>
  <si>
    <t>triangle shades</t>
  </si>
  <si>
    <t>antique boots</t>
  </si>
  <si>
    <t>Kidd's photo</t>
  </si>
  <si>
    <t>wooden-frame glasses</t>
  </si>
  <si>
    <t>Greige</t>
  </si>
  <si>
    <t>armor shoes</t>
  </si>
  <si>
    <t>babouches</t>
  </si>
  <si>
    <t>Kiki's photo</t>
  </si>
  <si>
    <t>acorn pochette</t>
  </si>
  <si>
    <t>basket pack</t>
  </si>
  <si>
    <t>bug cage</t>
  </si>
  <si>
    <t>Mint</t>
  </si>
  <si>
    <t>Bunny Day bag</t>
  </si>
  <si>
    <t>Kitt's photo</t>
  </si>
  <si>
    <t>ballet slippers</t>
  </si>
  <si>
    <t>butterfly backpack</t>
  </si>
  <si>
    <t>canvas backpack</t>
  </si>
  <si>
    <t>cherry-blossom pochette</t>
  </si>
  <si>
    <t>cloth shoulder bag</t>
  </si>
  <si>
    <t>crossbody bag</t>
  </si>
  <si>
    <t>Kitty's photo</t>
  </si>
  <si>
    <t>basketball shoes</t>
  </si>
  <si>
    <t>crossbody boston bag</t>
  </si>
  <si>
    <t>DAL backpack</t>
  </si>
  <si>
    <t>dry bag</t>
  </si>
  <si>
    <t>Klaus's photo</t>
  </si>
  <si>
    <t>evening bag</t>
  </si>
  <si>
    <t>beaded sandals</t>
  </si>
  <si>
    <t>extra-large backpack</t>
  </si>
  <si>
    <t>Knox's photo</t>
  </si>
  <si>
    <t>faux-fur bag</t>
  </si>
  <si>
    <t>boots</t>
  </si>
  <si>
    <t>fish pochette</t>
  </si>
  <si>
    <t>Kody's photo</t>
  </si>
  <si>
    <t>foldover-top backpack</t>
  </si>
  <si>
    <t>Olive</t>
  </si>
  <si>
    <t>business shoes</t>
  </si>
  <si>
    <t>gumdrop shoulder bag</t>
  </si>
  <si>
    <t>cleats</t>
  </si>
  <si>
    <t>Kyle's photo</t>
  </si>
  <si>
    <t>hand-knit pouch</t>
  </si>
  <si>
    <t>hard-shell backpack</t>
  </si>
  <si>
    <t>Leonardo's photo</t>
  </si>
  <si>
    <t>knapsack</t>
  </si>
  <si>
    <t>comfy sandals</t>
  </si>
  <si>
    <t>knitted-grass backpack</t>
  </si>
  <si>
    <t>log pack</t>
  </si>
  <si>
    <t>maple-leaf pochette</t>
  </si>
  <si>
    <t>messenger bag</t>
  </si>
  <si>
    <t>Leopold's photo</t>
  </si>
  <si>
    <t>mini pleather bag</t>
  </si>
  <si>
    <t>cowboy boots</t>
  </si>
  <si>
    <t>Mom's knapsack</t>
  </si>
  <si>
    <t>Lily's photo</t>
  </si>
  <si>
    <t>cross-belt sandals</t>
  </si>
  <si>
    <t>Nook Inc. knapsack</t>
  </si>
  <si>
    <t>Limberg's photo</t>
  </si>
  <si>
    <t>outdoor backpack</t>
  </si>
  <si>
    <t>pleather crossbody bag</t>
  </si>
  <si>
    <t>cute sneakers</t>
  </si>
  <si>
    <t>pleather fringe bag</t>
  </si>
  <si>
    <t>Lionel's photo</t>
  </si>
  <si>
    <t>pleather shoulder bag</t>
  </si>
  <si>
    <t>retro sports bag</t>
  </si>
  <si>
    <t>DAL slippers</t>
  </si>
  <si>
    <t>earth-egg shoes</t>
  </si>
  <si>
    <t>embroidered shoes</t>
  </si>
  <si>
    <t>Lobo's photo</t>
  </si>
  <si>
    <t>sacoche bag</t>
  </si>
  <si>
    <t>shellfish pochette</t>
  </si>
  <si>
    <t>faux-fur ankle booties</t>
  </si>
  <si>
    <t>snowflake pochette</t>
  </si>
  <si>
    <t>square backpack</t>
  </si>
  <si>
    <t>Ruby red</t>
  </si>
  <si>
    <t>Lolly's photo</t>
  </si>
  <si>
    <t>Navy blue</t>
  </si>
  <si>
    <t>star pochette</t>
  </si>
  <si>
    <t>faux-shearling boots</t>
  </si>
  <si>
    <t>straw pochette</t>
  </si>
  <si>
    <t>studded backpack</t>
  </si>
  <si>
    <t>tackle bag</t>
  </si>
  <si>
    <t>tool bag</t>
  </si>
  <si>
    <t>town backpack</t>
  </si>
  <si>
    <t>Lopez's photo</t>
  </si>
  <si>
    <t>faux-suede sneakers</t>
  </si>
  <si>
    <t>travel pouch</t>
  </si>
  <si>
    <t>Louie's photo</t>
  </si>
  <si>
    <t>traveler's backpack</t>
  </si>
  <si>
    <t>Berry red</t>
  </si>
  <si>
    <t>flip-flops</t>
  </si>
  <si>
    <t>Lucha's photo</t>
  </si>
  <si>
    <t>flower sandals</t>
  </si>
  <si>
    <t>Lucky's photo</t>
  </si>
  <si>
    <t>ghillie brogues</t>
  </si>
  <si>
    <t>apple umbrella</t>
  </si>
  <si>
    <t>gladiator sandals</t>
  </si>
  <si>
    <t>bat umbrella</t>
  </si>
  <si>
    <t>beach umbrella</t>
  </si>
  <si>
    <t>gold-armor shoes</t>
  </si>
  <si>
    <t>bear umbrella</t>
  </si>
  <si>
    <t>hi-tech sneakers</t>
  </si>
  <si>
    <t>Lucy's photo</t>
  </si>
  <si>
    <t>black chic umbrella</t>
  </si>
  <si>
    <t>black lace umbrella</t>
  </si>
  <si>
    <t>high-tops</t>
  </si>
  <si>
    <t>blue dot parasol</t>
  </si>
  <si>
    <t>blue shiny-bows parasol</t>
  </si>
  <si>
    <t>house slippers</t>
  </si>
  <si>
    <t>blue umbrella</t>
  </si>
  <si>
    <t>Lyman's photo</t>
  </si>
  <si>
    <t>jester's shoes</t>
  </si>
  <si>
    <t>busted umbrella</t>
  </si>
  <si>
    <t>kiddie sneakers</t>
  </si>
  <si>
    <t>camo umbrella</t>
  </si>
  <si>
    <t>candy umbrella</t>
  </si>
  <si>
    <t>kimono sandals</t>
  </si>
  <si>
    <t>cherry umbrella</t>
  </si>
  <si>
    <t>cherry-blossom umbrella</t>
  </si>
  <si>
    <t>Mac's photo</t>
  </si>
  <si>
    <t>DAL umbrella</t>
  </si>
  <si>
    <t>eggy parasol</t>
  </si>
  <si>
    <t>Dark blue</t>
  </si>
  <si>
    <t>exquisite parasol</t>
  </si>
  <si>
    <t>fairy-tale umbrella</t>
  </si>
  <si>
    <t>fish umbrella</t>
  </si>
  <si>
    <t>Maddie's photo</t>
  </si>
  <si>
    <t>frog umbrella</t>
  </si>
  <si>
    <t>kung-fu shoes</t>
  </si>
  <si>
    <t>gelato umbrella</t>
  </si>
  <si>
    <t>Labelle pumps</t>
  </si>
  <si>
    <t>Twilight</t>
  </si>
  <si>
    <t>ghost umbrella</t>
  </si>
  <si>
    <t>Midnight</t>
  </si>
  <si>
    <t>grape umbrella</t>
  </si>
  <si>
    <t>green chic umbrella</t>
  </si>
  <si>
    <t>Passion</t>
  </si>
  <si>
    <t>Maelle's photo</t>
  </si>
  <si>
    <t>green umbrella</t>
  </si>
  <si>
    <t>Ocean</t>
  </si>
  <si>
    <t>hydrangea umbrella</t>
  </si>
  <si>
    <t>Sunset</t>
  </si>
  <si>
    <t>kabuki umbrella</t>
  </si>
  <si>
    <t>Love</t>
  </si>
  <si>
    <t>Labelle sneakers</t>
  </si>
  <si>
    <t>kiwi umbrella</t>
  </si>
  <si>
    <t>Maggie's photo</t>
  </si>
  <si>
    <t>lacy parasol</t>
  </si>
  <si>
    <t>labelle sneakers</t>
  </si>
  <si>
    <t>ladybug umbrella</t>
  </si>
  <si>
    <t>leaf umbrella</t>
  </si>
  <si>
    <t>lemon umbrella</t>
  </si>
  <si>
    <t>logo umbrella</t>
  </si>
  <si>
    <t>Mallary's photo</t>
  </si>
  <si>
    <t>maple-leaf umbrella</t>
  </si>
  <si>
    <t>melon umbrella</t>
  </si>
  <si>
    <t>lace-up boots</t>
  </si>
  <si>
    <t>mini-flower-print umbrella</t>
  </si>
  <si>
    <t>mint umbrella</t>
  </si>
  <si>
    <t>leaf-egg shoes</t>
  </si>
  <si>
    <t>mush umbrella</t>
  </si>
  <si>
    <t>leopard pumps</t>
  </si>
  <si>
    <t>Nook Inc. umbrella</t>
  </si>
  <si>
    <t>orange umbrella</t>
  </si>
  <si>
    <t>loafers</t>
  </si>
  <si>
    <t>panda umbrella</t>
  </si>
  <si>
    <t>Maple's photo</t>
  </si>
  <si>
    <t>mage's booties</t>
  </si>
  <si>
    <t>paper parasol</t>
  </si>
  <si>
    <t>mary janes</t>
  </si>
  <si>
    <t>patterned vinyl umbrella</t>
  </si>
  <si>
    <t>moccasin boots</t>
  </si>
  <si>
    <t>peach umbrella</t>
  </si>
  <si>
    <t>pear umbrella</t>
  </si>
  <si>
    <t>moccasins</t>
  </si>
  <si>
    <t>petal parasol</t>
  </si>
  <si>
    <t>picnic umbrella</t>
  </si>
  <si>
    <t>Nook Inc. slippers</t>
  </si>
  <si>
    <t>pineapple umbrella</t>
  </si>
  <si>
    <t>Marcel's photo</t>
  </si>
  <si>
    <t>outdoor sandals</t>
  </si>
  <si>
    <t>pink shiny-bows parasol</t>
  </si>
  <si>
    <t>pink umbrella</t>
  </si>
  <si>
    <t>paw slippers</t>
  </si>
  <si>
    <t>purple chic umbrella</t>
  </si>
  <si>
    <t>pleather ankle booties</t>
  </si>
  <si>
    <t>purple shiny-bows parasol</t>
  </si>
  <si>
    <t>rainbow umbrella</t>
  </si>
  <si>
    <t>pleather sneakers</t>
  </si>
  <si>
    <t>raindrop umbrella</t>
  </si>
  <si>
    <t>Marcie's photo</t>
  </si>
  <si>
    <t>red chic umbrella</t>
  </si>
  <si>
    <t>pom-pom boots</t>
  </si>
  <si>
    <t>red umbrella</t>
  </si>
  <si>
    <t>power boots</t>
  </si>
  <si>
    <t>snowflake umbrella</t>
  </si>
  <si>
    <t>rain boots</t>
  </si>
  <si>
    <t>spider umbrella</t>
  </si>
  <si>
    <t>strawberry umbrella</t>
  </si>
  <si>
    <t>recycled boots</t>
  </si>
  <si>
    <t>Margie's photo</t>
  </si>
  <si>
    <t>striped umbrella</t>
  </si>
  <si>
    <t>restroom slippers</t>
  </si>
  <si>
    <t>sunny parasol</t>
  </si>
  <si>
    <t>tartan-check umbrella</t>
  </si>
  <si>
    <t>ribbon sandals</t>
  </si>
  <si>
    <t>Toad parasol</t>
  </si>
  <si>
    <t>two-tone umbrella</t>
  </si>
  <si>
    <t>rubber-toe high tops</t>
  </si>
  <si>
    <t>vinyl umbrella</t>
  </si>
  <si>
    <t>Marina's photo</t>
  </si>
  <si>
    <t>rubber-toe sneakers</t>
  </si>
  <si>
    <t>watermelon umbrella</t>
  </si>
  <si>
    <t>white shiny-bows parasol</t>
  </si>
  <si>
    <t>samurai greaves</t>
  </si>
  <si>
    <t>shiny bow platform shoes</t>
  </si>
  <si>
    <t>Marshal's photo</t>
  </si>
  <si>
    <t>shower sandals</t>
  </si>
  <si>
    <t>ski boots</t>
  </si>
  <si>
    <t>sky-egg shoes</t>
  </si>
  <si>
    <t>slip-on loafers</t>
  </si>
  <si>
    <t>Agent K.K.</t>
  </si>
  <si>
    <t>Mathilda's photo</t>
  </si>
  <si>
    <t>K.K. concert, Nook Shopping Catalog</t>
  </si>
  <si>
    <t>slip-on sandals</t>
  </si>
  <si>
    <t>Possible song KK will play when choosing "It's hard to say." as your mood</t>
  </si>
  <si>
    <t>Aloha K.K.</t>
  </si>
  <si>
    <t>Possible song KK will play when choosing "Laid-back." as your mood</t>
  </si>
  <si>
    <t>Animal City</t>
  </si>
  <si>
    <t>slip-on school shoes</t>
  </si>
  <si>
    <t>K.K. concert</t>
  </si>
  <si>
    <t>Hidden song - only by request</t>
  </si>
  <si>
    <t>Bubblegum K.K.</t>
  </si>
  <si>
    <t>Possible song KK will play when choosing "I feel good!" as your mood</t>
  </si>
  <si>
    <t>slippers</t>
  </si>
  <si>
    <t>Café K.K.</t>
  </si>
  <si>
    <t>Comrade K.K.</t>
  </si>
  <si>
    <t>Possible song KK will play when choosing "A little blue..." as your mood</t>
  </si>
  <si>
    <t>DJ K.K.</t>
  </si>
  <si>
    <t>space boots</t>
  </si>
  <si>
    <t>Possible song KK will play when choosing "A little grumpy..." as your mood</t>
  </si>
  <si>
    <t>Drivin'</t>
  </si>
  <si>
    <t>sporty sandals</t>
  </si>
  <si>
    <t>Farewell</t>
  </si>
  <si>
    <t>Forest Life</t>
  </si>
  <si>
    <t>Megan's photo</t>
  </si>
  <si>
    <t>steel-toed boots</t>
  </si>
  <si>
    <t>Go K.K. Rider</t>
  </si>
  <si>
    <t>stone-egg shoes</t>
  </si>
  <si>
    <t>Hypno K.K.</t>
  </si>
  <si>
    <t>strappy heels</t>
  </si>
  <si>
    <t>I Love You</t>
  </si>
  <si>
    <t>Imperial K.K.</t>
  </si>
  <si>
    <t>traditional flower shoes</t>
  </si>
  <si>
    <t>K.K. Adventure</t>
  </si>
  <si>
    <t>K.K. Aria</t>
  </si>
  <si>
    <t>K.K. Ballad</t>
  </si>
  <si>
    <t>K.K. Bazaar</t>
  </si>
  <si>
    <t>trekking shoes</t>
  </si>
  <si>
    <t>Melba's photo</t>
  </si>
  <si>
    <t>K.K. Birthday</t>
  </si>
  <si>
    <t>K.K. Blues</t>
  </si>
  <si>
    <t>velour boots</t>
  </si>
  <si>
    <t>K.K. Bossa</t>
  </si>
  <si>
    <t>K.K. Calypso</t>
  </si>
  <si>
    <t>K.K. Casbah</t>
  </si>
  <si>
    <t>vinyl round-toed pumps</t>
  </si>
  <si>
    <t>K.K. Chorale</t>
  </si>
  <si>
    <t>K.K. Condor</t>
  </si>
  <si>
    <t>visual-punk boots</t>
  </si>
  <si>
    <t>K.K. Country</t>
  </si>
  <si>
    <t>walking shoes</t>
  </si>
  <si>
    <t>K.K. Cruisin'</t>
  </si>
  <si>
    <t>K.K. D&amp;B</t>
  </si>
  <si>
    <t>water sandals</t>
  </si>
  <si>
    <t>Merengue's photo</t>
  </si>
  <si>
    <t>K.K. Dirge</t>
  </si>
  <si>
    <t>water shoes</t>
  </si>
  <si>
    <t>K.K. Disco</t>
  </si>
  <si>
    <t>K.K. Dixie</t>
  </si>
  <si>
    <t>water-egg shoes</t>
  </si>
  <si>
    <t>K.K. Étude</t>
  </si>
  <si>
    <t>wingtip shoes</t>
  </si>
  <si>
    <t>K.K. Faire</t>
  </si>
  <si>
    <t>winklepickers</t>
  </si>
  <si>
    <t>K.K. Flamenco</t>
  </si>
  <si>
    <t>K.K. Folk</t>
  </si>
  <si>
    <t>Merry's photo</t>
  </si>
  <si>
    <t>wood-egg shoes</t>
  </si>
  <si>
    <t>K.K. Fusion</t>
  </si>
  <si>
    <t>wooden clogs</t>
  </si>
  <si>
    <t>K.K. Groove</t>
  </si>
  <si>
    <t>K.K. Gumbo</t>
  </si>
  <si>
    <t>K.K. House</t>
  </si>
  <si>
    <t>work boots</t>
  </si>
  <si>
    <t>K.K. Island</t>
  </si>
  <si>
    <t>K.K. Jazz</t>
  </si>
  <si>
    <t>wrestling shoes</t>
  </si>
  <si>
    <t>K.K. Jongara</t>
  </si>
  <si>
    <t>K.K. Lament</t>
  </si>
  <si>
    <t>zap boots</t>
  </si>
  <si>
    <t>K.K. Love Song</t>
  </si>
  <si>
    <t>Midge's photo</t>
  </si>
  <si>
    <t>K.K. Lullaby</t>
  </si>
  <si>
    <t>zori</t>
  </si>
  <si>
    <t>K.K. Mambo</t>
  </si>
  <si>
    <t>K.K. Marathon</t>
  </si>
  <si>
    <t>K.K. March</t>
  </si>
  <si>
    <t>K.K. Mariachi</t>
  </si>
  <si>
    <t>K.K. Metal</t>
  </si>
  <si>
    <t>Light pink</t>
  </si>
  <si>
    <t>K.K. Milonga</t>
  </si>
  <si>
    <t>K.K. Moody</t>
  </si>
  <si>
    <t>K.K. Oasis</t>
  </si>
  <si>
    <t>K.K. Parade</t>
  </si>
  <si>
    <t>K.K. Ragtime</t>
  </si>
  <si>
    <t>Mint's photo</t>
  </si>
  <si>
    <t>Aqua</t>
  </si>
  <si>
    <t>K.K. Rally</t>
  </si>
  <si>
    <t>K.K. Reggae</t>
  </si>
  <si>
    <t>K.K. Rock</t>
  </si>
  <si>
    <t>K.K. Rockabilly</t>
  </si>
  <si>
    <t>K.K. Safari</t>
  </si>
  <si>
    <t>K.K. Salsa</t>
  </si>
  <si>
    <t>K.K. Samba</t>
  </si>
  <si>
    <t>K.K. Ska</t>
  </si>
  <si>
    <t>K.K. Sonata</t>
  </si>
  <si>
    <t>K.K. Song</t>
  </si>
  <si>
    <t>K.K. Soul</t>
  </si>
  <si>
    <t>K.K. Steppe</t>
  </si>
  <si>
    <t>Mira's photo</t>
  </si>
  <si>
    <t>K.K. Stroll</t>
  </si>
  <si>
    <t>Material 1</t>
  </si>
  <si>
    <t>Material 2</t>
  </si>
  <si>
    <t>K.K. Swing</t>
  </si>
  <si>
    <t>Material 3</t>
  </si>
  <si>
    <t>Material 4</t>
  </si>
  <si>
    <t>Material 5</t>
  </si>
  <si>
    <t>Material 6</t>
  </si>
  <si>
    <t>Category</t>
  </si>
  <si>
    <t>K.K. Synth</t>
  </si>
  <si>
    <t>6 acorn</t>
  </si>
  <si>
    <t>K.K. Tango</t>
  </si>
  <si>
    <t>Balloon/Bottle/Villager (Fall)</t>
  </si>
  <si>
    <t>Bags</t>
  </si>
  <si>
    <t>K.K. Technopop</t>
  </si>
  <si>
    <t>8 softwood</t>
  </si>
  <si>
    <t>3 iron nugget</t>
  </si>
  <si>
    <t>Balloon/Bottle/Villager</t>
  </si>
  <si>
    <t>Housewares</t>
  </si>
  <si>
    <t>2 hardwood</t>
  </si>
  <si>
    <t>3 softwood</t>
  </si>
  <si>
    <t>K.K. Waltz</t>
  </si>
  <si>
    <t>10 apple</t>
  </si>
  <si>
    <t>4 wood</t>
  </si>
  <si>
    <t>K.K. Western</t>
  </si>
  <si>
    <t>8 apple</t>
  </si>
  <si>
    <t>Dresses</t>
  </si>
  <si>
    <t>King K.K.</t>
  </si>
  <si>
    <t>5 apple</t>
  </si>
  <si>
    <t>Lucky K.K.</t>
  </si>
  <si>
    <t>Headwear</t>
  </si>
  <si>
    <t>6 apple</t>
  </si>
  <si>
    <t>Rugs</t>
  </si>
  <si>
    <t>7 apple</t>
  </si>
  <si>
    <t>Marine Song 2001</t>
  </si>
  <si>
    <t>Umbrellas</t>
  </si>
  <si>
    <t>Miranda's photo</t>
  </si>
  <si>
    <t>20 apple</t>
  </si>
  <si>
    <t>Wallpaper</t>
  </si>
  <si>
    <t>Mountain Song</t>
  </si>
  <si>
    <t>3 star fragment</t>
  </si>
  <si>
    <t>2 Aquarius fragment</t>
  </si>
  <si>
    <t>2 gold nugget</t>
  </si>
  <si>
    <t>5 stone</t>
  </si>
  <si>
    <t>Celeste</t>
  </si>
  <si>
    <t>2 Aries fragment</t>
  </si>
  <si>
    <t>Mr. K.K.</t>
  </si>
  <si>
    <t>1 gold nugget</t>
  </si>
  <si>
    <t>4 iron nugget</t>
  </si>
  <si>
    <t>My Place</t>
  </si>
  <si>
    <t>Shoes</t>
  </si>
  <si>
    <t>3 clay</t>
  </si>
  <si>
    <t>Neapolitan</t>
  </si>
  <si>
    <t>Miscellaneous</t>
  </si>
  <si>
    <t>5 star fragment</t>
  </si>
  <si>
    <t>Only Me</t>
  </si>
  <si>
    <t>10 stone</t>
  </si>
  <si>
    <t>Pondering</t>
  </si>
  <si>
    <t>5 iron nugget</t>
  </si>
  <si>
    <t>10 maple leaf</t>
  </si>
  <si>
    <t>5 wood</t>
  </si>
  <si>
    <t>5 clump of weed</t>
  </si>
  <si>
    <t>Rockin' K.K.</t>
  </si>
  <si>
    <t>1 flimsy axe</t>
  </si>
  <si>
    <t>3 wood</t>
  </si>
  <si>
    <t>1 iron nugget</t>
  </si>
  <si>
    <t>Tom Nook</t>
  </si>
  <si>
    <t>Tools</t>
  </si>
  <si>
    <t>30 clump of weed</t>
  </si>
  <si>
    <t>Floors</t>
  </si>
  <si>
    <t>Soulful K.K.</t>
  </si>
  <si>
    <t>7 bamboo piece</t>
  </si>
  <si>
    <t>8 bamboo piece</t>
  </si>
  <si>
    <t>Space K.K.</t>
  </si>
  <si>
    <t>3 bamboo piece</t>
  </si>
  <si>
    <t>Mitzi's photo</t>
  </si>
  <si>
    <t>2 clay</t>
  </si>
  <si>
    <t>6 young spring bamboo</t>
  </si>
  <si>
    <t>Balloon/Bottle/Villager (Spring)</t>
  </si>
  <si>
    <t>Spring Blossoms</t>
  </si>
  <si>
    <t>2 softwood</t>
  </si>
  <si>
    <t>Stale Cupcakes</t>
  </si>
  <si>
    <t>15 bamboo piece</t>
  </si>
  <si>
    <t>Steep Hill</t>
  </si>
  <si>
    <t>10 clump of weed</t>
  </si>
  <si>
    <t>6 bamboo piece</t>
  </si>
  <si>
    <t>Nook Miles Exchange</t>
  </si>
  <si>
    <t>Fencing</t>
  </si>
  <si>
    <t>Surfin' K.K.</t>
  </si>
  <si>
    <t>4 bamboo piece</t>
  </si>
  <si>
    <t>7 young spring bamboo</t>
  </si>
  <si>
    <t>6 stone</t>
  </si>
  <si>
    <t>The K. Funk</t>
  </si>
  <si>
    <t>To the Edge</t>
  </si>
  <si>
    <t>Two Days Ago</t>
  </si>
  <si>
    <t>Wandering</t>
  </si>
  <si>
    <t>Moe's photo</t>
  </si>
  <si>
    <t>5 bamboo piece</t>
  </si>
  <si>
    <t>Welcome Horizons</t>
  </si>
  <si>
    <t>Received on your first time seeing KK perform</t>
  </si>
  <si>
    <t>はずれ01</t>
  </si>
  <si>
    <t>1 bamboo piece</t>
  </si>
  <si>
    <t>Wall-Mounted</t>
  </si>
  <si>
    <t>Played by K.K. if you request something he doesn't have (does not give take-home track)</t>
  </si>
  <si>
    <t>はずれ02</t>
  </si>
  <si>
    <t>3 bamboo shoot</t>
  </si>
  <si>
    <t>はずれ03</t>
  </si>
  <si>
    <t>4 young spring bamboo</t>
  </si>
  <si>
    <t>5 bamboo shoot</t>
  </si>
  <si>
    <t>1x2</t>
  </si>
  <si>
    <t>4 clay</t>
  </si>
  <si>
    <t>3 hardwood</t>
  </si>
  <si>
    <t>2 iron nugget</t>
  </si>
  <si>
    <t>10 iron nugget</t>
  </si>
  <si>
    <t>3 wasp nest</t>
  </si>
  <si>
    <t>Molly's photo</t>
  </si>
  <si>
    <t>6 red ornament</t>
  </si>
  <si>
    <t>6 blue ornament</t>
  </si>
  <si>
    <t>4 gold ornament</t>
  </si>
  <si>
    <t>5 clay</t>
  </si>
  <si>
    <t>Balloon/Bottle/Villager (Festive Season)</t>
  </si>
  <si>
    <t>8 wood</t>
  </si>
  <si>
    <t>2 wood</t>
  </si>
  <si>
    <t>5 softwood</t>
  </si>
  <si>
    <t>6 cherry-blossom petal</t>
  </si>
  <si>
    <t>Balloon/Bottle/Villager (Cherry-Blossom Season)</t>
  </si>
  <si>
    <t>6 blue roses</t>
  </si>
  <si>
    <t>10 blue roses</t>
  </si>
  <si>
    <t>House</t>
  </si>
  <si>
    <t>Number</t>
  </si>
  <si>
    <t>Where/How</t>
  </si>
  <si>
    <t>Weather</t>
  </si>
  <si>
    <t>1 campfire</t>
  </si>
  <si>
    <t>10 wood</t>
  </si>
  <si>
    <t>Rarity</t>
  </si>
  <si>
    <t>Start Time</t>
  </si>
  <si>
    <t>End Time</t>
  </si>
  <si>
    <t>Jan</t>
  </si>
  <si>
    <t>Feb</t>
  </si>
  <si>
    <t>1 cherry-blossom bonsai</t>
  </si>
  <si>
    <t>Mar</t>
  </si>
  <si>
    <t>1 pine bonsai tree</t>
  </si>
  <si>
    <t>Apr</t>
  </si>
  <si>
    <t>May</t>
  </si>
  <si>
    <t>Jun</t>
  </si>
  <si>
    <t>Jul</t>
  </si>
  <si>
    <t>Aug</t>
  </si>
  <si>
    <t>Sep</t>
  </si>
  <si>
    <t>Oct</t>
  </si>
  <si>
    <t>Nov</t>
  </si>
  <si>
    <t>Dec</t>
  </si>
  <si>
    <t>agrias butterfly</t>
  </si>
  <si>
    <t>6 clay</t>
  </si>
  <si>
    <t>8 clay</t>
  </si>
  <si>
    <t>6 wood</t>
  </si>
  <si>
    <t>Flying near flowers</t>
  </si>
  <si>
    <t>1 flimsy shovel</t>
  </si>
  <si>
    <t>bridge construction kit</t>
  </si>
  <si>
    <t>Any except rain</t>
  </si>
  <si>
    <t>Monique's photo</t>
  </si>
  <si>
    <t>4 log stakes</t>
  </si>
  <si>
    <t>4 stone</t>
  </si>
  <si>
    <t>Tom Nook (Story)</t>
  </si>
  <si>
    <t>Uncommon</t>
  </si>
  <si>
    <t>Other</t>
  </si>
  <si>
    <t>15 softwood</t>
  </si>
  <si>
    <t>2 earth egg</t>
  </si>
  <si>
    <t>2 stone egg</t>
  </si>
  <si>
    <t>2 leaf egg</t>
  </si>
  <si>
    <t>2 wood egg</t>
  </si>
  <si>
    <t>2 sky egg</t>
  </si>
  <si>
    <t>2 water egg</t>
  </si>
  <si>
    <t>Zipper for collecting all 6 egg types (Bunny Day)</t>
  </si>
  <si>
    <t>1 earth egg</t>
  </si>
  <si>
    <t>1 stone egg</t>
  </si>
  <si>
    <t>1 leaf egg</t>
  </si>
  <si>
    <t>1 wood egg</t>
  </si>
  <si>
    <t>1 sky egg</t>
  </si>
  <si>
    <t>1 water egg</t>
  </si>
  <si>
    <t>Villager (Bunny Day)</t>
  </si>
  <si>
    <t>ant</t>
  </si>
  <si>
    <t>Egg message bottle</t>
  </si>
  <si>
    <t>On rotten turnips</t>
  </si>
  <si>
    <t>Any weather</t>
  </si>
  <si>
    <t>Common</t>
  </si>
  <si>
    <t>All day</t>
  </si>
  <si>
    <t>Atlas moth</t>
  </si>
  <si>
    <t>Monty's photo</t>
  </si>
  <si>
    <t>On trees (any kind)</t>
  </si>
  <si>
    <t>4 wood egg</t>
  </si>
  <si>
    <t>bagworm</t>
  </si>
  <si>
    <t>Shaking trees (hardwood or cedar only)</t>
  </si>
  <si>
    <t>banded dragonfly</t>
  </si>
  <si>
    <t>3 water egg</t>
  </si>
  <si>
    <t>4 earth egg</t>
  </si>
  <si>
    <t>Flying</t>
  </si>
  <si>
    <t>Rare</t>
  </si>
  <si>
    <t>4 leaf egg</t>
  </si>
  <si>
    <t>bell cricket</t>
  </si>
  <si>
    <t>3 sky egg</t>
  </si>
  <si>
    <t>Moose's photo</t>
  </si>
  <si>
    <t>1 wobbling Zipper toy</t>
  </si>
  <si>
    <t>On the ground</t>
  </si>
  <si>
    <t>Zipper after crafting toy (Bunny Day)</t>
  </si>
  <si>
    <t>4 stone egg</t>
  </si>
  <si>
    <t>blue weevil beetle</t>
  </si>
  <si>
    <t>On palm trees</t>
  </si>
  <si>
    <t>15 hardwood</t>
  </si>
  <si>
    <t>camp construction kit</t>
  </si>
  <si>
    <t>3 tree branch</t>
  </si>
  <si>
    <t>brown cicada</t>
  </si>
  <si>
    <t>On hardwood/cedar trees</t>
  </si>
  <si>
    <t>campsite construction kit</t>
  </si>
  <si>
    <t>15 wood</t>
  </si>
  <si>
    <t>15 iron nugget</t>
  </si>
  <si>
    <t>centipede</t>
  </si>
  <si>
    <t>2 Cancer fragment</t>
  </si>
  <si>
    <t>2 gold  nugget</t>
  </si>
  <si>
    <t>3 stone</t>
  </si>
  <si>
    <t>Mott's photo</t>
  </si>
  <si>
    <t>2 Capricorn fragment</t>
  </si>
  <si>
    <t>12 stone</t>
  </si>
  <si>
    <t>From hitting rocks</t>
  </si>
  <si>
    <t>4 cardboard box</t>
  </si>
  <si>
    <t>1 cardboard box</t>
  </si>
  <si>
    <t>cicada shell</t>
  </si>
  <si>
    <t>2 cardboard box</t>
  </si>
  <si>
    <t>8 cherry</t>
  </si>
  <si>
    <t>5 cherry</t>
  </si>
  <si>
    <t>10 cherry</t>
  </si>
  <si>
    <t>citrus long-horned beetle</t>
  </si>
  <si>
    <t>6 cherry</t>
  </si>
  <si>
    <t>On tree stumps</t>
  </si>
  <si>
    <t>7 cherry</t>
  </si>
  <si>
    <t>common bluebottle</t>
  </si>
  <si>
    <t>20 cherry</t>
  </si>
  <si>
    <t>Muffy's photo</t>
  </si>
  <si>
    <t>3 clump of weeds</t>
  </si>
  <si>
    <t>8 cherry-blossom petal</t>
  </si>
  <si>
    <t>4 tree branch</t>
  </si>
  <si>
    <t>common butterfly</t>
  </si>
  <si>
    <t>5 cherry-blossom petal</t>
  </si>
  <si>
    <t>10 cherry-blossom petal</t>
  </si>
  <si>
    <t>20 clump of weeds</t>
  </si>
  <si>
    <t>cricket</t>
  </si>
  <si>
    <t>3 cherry-blossom petal</t>
  </si>
  <si>
    <t>7 cherry-blossom petal</t>
  </si>
  <si>
    <t>Murphy's photo</t>
  </si>
  <si>
    <t>cyclommatus stag</t>
  </si>
  <si>
    <t>5 hardwood</t>
  </si>
  <si>
    <t>Ultra-rare</t>
  </si>
  <si>
    <t>10 black cosmos</t>
  </si>
  <si>
    <t>damselfly</t>
  </si>
  <si>
    <t>3 purple mums</t>
  </si>
  <si>
    <t>3 pink mums</t>
  </si>
  <si>
    <t>3 purple roses</t>
  </si>
  <si>
    <t>3 black roses</t>
  </si>
  <si>
    <t>2 purple tulips</t>
  </si>
  <si>
    <t>2 pink tulips</t>
  </si>
  <si>
    <t>darner dragonfly</t>
  </si>
  <si>
    <t>1 orange tulips</t>
  </si>
  <si>
    <t>10 purple windflowers</t>
  </si>
  <si>
    <t>diving beetle</t>
  </si>
  <si>
    <t>6 softwood</t>
  </si>
  <si>
    <t>On rivers/ponds</t>
  </si>
  <si>
    <t>Nan's photo</t>
  </si>
  <si>
    <t>drone beetle</t>
  </si>
  <si>
    <t>10 book</t>
  </si>
  <si>
    <t>10 tree branch</t>
  </si>
  <si>
    <t>1 coconut</t>
  </si>
  <si>
    <t>5 clump of weeds</t>
  </si>
  <si>
    <t>dung beetle</t>
  </si>
  <si>
    <t>15 clump of weeds</t>
  </si>
  <si>
    <t>4 blue hyacinths</t>
  </si>
  <si>
    <t>2 pink hyacinths</t>
  </si>
  <si>
    <t>2 orange hyacinths</t>
  </si>
  <si>
    <t>Pushing snowballs</t>
  </si>
  <si>
    <t>3 orange hyacinths</t>
  </si>
  <si>
    <t>3 blue hyacinths</t>
  </si>
  <si>
    <t>3 pink hyacinths</t>
  </si>
  <si>
    <t>3 orange pansies</t>
  </si>
  <si>
    <t>3 blue pansies</t>
  </si>
  <si>
    <t>earth-boring dung beetle</t>
  </si>
  <si>
    <t>10 purple pansies</t>
  </si>
  <si>
    <t>3 blue windflowers</t>
  </si>
  <si>
    <t>3 pink windflowers</t>
  </si>
  <si>
    <t>Nana's photo</t>
  </si>
  <si>
    <t>3 white windflowers</t>
  </si>
  <si>
    <t>emperor butterfly</t>
  </si>
  <si>
    <t>2 red cosmos</t>
  </si>
  <si>
    <t>2 yellow cosmos</t>
  </si>
  <si>
    <t>3 white cosmos</t>
  </si>
  <si>
    <t>5 pink cosmos</t>
  </si>
  <si>
    <t>1 white cosmos</t>
  </si>
  <si>
    <t>3 star fragments</t>
  </si>
  <si>
    <t>3 yellow cosmos</t>
  </si>
  <si>
    <t>3 red cosmos</t>
  </si>
  <si>
    <t>evening cicada</t>
  </si>
  <si>
    <t>6 hardwood</t>
  </si>
  <si>
    <t>4:00 AM 
4:00 PM</t>
  </si>
  <si>
    <t>8:00 AM
7:00 PM</t>
  </si>
  <si>
    <t>7 star fragments</t>
  </si>
  <si>
    <t>1 large star fragment</t>
  </si>
  <si>
    <t>firefly</t>
  </si>
  <si>
    <t>10 star fragments</t>
  </si>
  <si>
    <t>20 iron nugget</t>
  </si>
  <si>
    <t>2 pink lillies</t>
  </si>
  <si>
    <t>2 orange lillies</t>
  </si>
  <si>
    <t>2 white lillies</t>
  </si>
  <si>
    <t>3 pink roses</t>
  </si>
  <si>
    <t>3 orange roses</t>
  </si>
  <si>
    <t>flea</t>
  </si>
  <si>
    <t>Naomi's photo</t>
  </si>
  <si>
    <t>On villagers</t>
  </si>
  <si>
    <t>6 bamboo pieces</t>
  </si>
  <si>
    <t>fly</t>
  </si>
  <si>
    <t>7 black cosmos</t>
  </si>
  <si>
    <t>Flying near trash (boots, tires, cans)</t>
  </si>
  <si>
    <t>6 black lilies</t>
  </si>
  <si>
    <t>10 black lilies</t>
  </si>
  <si>
    <t>giant cicada</t>
  </si>
  <si>
    <t>6 purple roses</t>
  </si>
  <si>
    <t>5 black tulips</t>
  </si>
  <si>
    <t>10 black tulips</t>
  </si>
  <si>
    <t>giant stag</t>
  </si>
  <si>
    <t>4 softwood</t>
  </si>
  <si>
    <t>8 stone</t>
  </si>
  <si>
    <t>4 hardwood</t>
  </si>
  <si>
    <t>giant water bug</t>
  </si>
  <si>
    <t>1 mini DIY workbench</t>
  </si>
  <si>
    <t>1 scattered papers</t>
  </si>
  <si>
    <t>Nate's photo</t>
  </si>
  <si>
    <t>giraffe stag</t>
  </si>
  <si>
    <t>7 hardwood</t>
  </si>
  <si>
    <t>3 earth egg</t>
  </si>
  <si>
    <t>golden stag</t>
  </si>
  <si>
    <t>Collecting 11 earth eggs (Bunny Day)</t>
  </si>
  <si>
    <t>goliath beetle</t>
  </si>
  <si>
    <t>3 stone egg</t>
  </si>
  <si>
    <t>3 leaf egg</t>
  </si>
  <si>
    <t>3 wood egg</t>
  </si>
  <si>
    <t>Learning all egg outfit DIYs (Bunny Day)</t>
  </si>
  <si>
    <t>3 orange lilies</t>
  </si>
  <si>
    <t>3 pink lilies</t>
  </si>
  <si>
    <t>grasshopper</t>
  </si>
  <si>
    <t>3 yellow lilies</t>
  </si>
  <si>
    <t>3 red mums</t>
  </si>
  <si>
    <t>3 yellow roses</t>
  </si>
  <si>
    <t>great purple emperor</t>
  </si>
  <si>
    <t>2 gold ornament</t>
  </si>
  <si>
    <t>1 hardwood</t>
  </si>
  <si>
    <t>Nibbles's photo</t>
  </si>
  <si>
    <t>3 red ornament</t>
  </si>
  <si>
    <t>3 blue ornament</t>
  </si>
  <si>
    <t>3 gold ornament</t>
  </si>
  <si>
    <t>hermit crab</t>
  </si>
  <si>
    <t>fish bait</t>
  </si>
  <si>
    <t>1 manilla clam</t>
  </si>
  <si>
    <t>Clam dig spot</t>
  </si>
  <si>
    <t>Disguised on shoreline</t>
  </si>
  <si>
    <t>1 flimsy fishing rod</t>
  </si>
  <si>
    <t>20 stone</t>
  </si>
  <si>
    <t>honeybee</t>
  </si>
  <si>
    <t>5 tree branch</t>
  </si>
  <si>
    <t>1 stone</t>
  </si>
  <si>
    <t>horned atlas</t>
  </si>
  <si>
    <t>Blathers</t>
  </si>
  <si>
    <t>10 clump of weeds</t>
  </si>
  <si>
    <t>horned dynastid</t>
  </si>
  <si>
    <t>1 red roses</t>
  </si>
  <si>
    <t>2 pink roses</t>
  </si>
  <si>
    <t>2 orange roses</t>
  </si>
  <si>
    <t>2 white liles</t>
  </si>
  <si>
    <t>2 yellow lilies</t>
  </si>
  <si>
    <t>5 purple windflowers</t>
  </si>
  <si>
    <t>Norma's photo</t>
  </si>
  <si>
    <t>15 star fragment</t>
  </si>
  <si>
    <t>1 rare mushroom</t>
  </si>
  <si>
    <t>2 round mushroom</t>
  </si>
  <si>
    <t>2 skinny mushroom</t>
  </si>
  <si>
    <t>2 flat mushroom</t>
  </si>
  <si>
    <t>Balloon/Bottle/Villager (Mushroom Season)</t>
  </si>
  <si>
    <t>horned elephant</t>
  </si>
  <si>
    <t>2 elegant mushroom</t>
  </si>
  <si>
    <t>1 fossil</t>
  </si>
  <si>
    <t>2 stone</t>
  </si>
  <si>
    <t>1 drinking fountain</t>
  </si>
  <si>
    <t>8 iron nugget</t>
  </si>
  <si>
    <t>1 large snowflake</t>
  </si>
  <si>
    <t>10 snowflake</t>
  </si>
  <si>
    <t>Making a perfect Snowboy</t>
  </si>
  <si>
    <t>horned hercules</t>
  </si>
  <si>
    <t>3 snowflake</t>
  </si>
  <si>
    <t>5 snowflake</t>
  </si>
  <si>
    <t>6 snowflake</t>
  </si>
  <si>
    <t>jewel beetle</t>
  </si>
  <si>
    <t>4 snowflake</t>
  </si>
  <si>
    <t>O'Hare's photo</t>
  </si>
  <si>
    <t>8 snowflake</t>
  </si>
  <si>
    <t>ladybug</t>
  </si>
  <si>
    <t>1 snowflake</t>
  </si>
  <si>
    <t>On flowers</t>
  </si>
  <si>
    <t>1 apple</t>
  </si>
  <si>
    <t>1 pear</t>
  </si>
  <si>
    <t>1 cherry</t>
  </si>
  <si>
    <t>1 orange</t>
  </si>
  <si>
    <t>1 peach</t>
  </si>
  <si>
    <t>long locust</t>
  </si>
  <si>
    <t>2 apple</t>
  </si>
  <si>
    <t>3 cherry</t>
  </si>
  <si>
    <t>3 orange</t>
  </si>
  <si>
    <t>Madagascan sunset moth</t>
  </si>
  <si>
    <t>Octavian's photo</t>
  </si>
  <si>
    <t>2 empty can</t>
  </si>
  <si>
    <t>2 boot</t>
  </si>
  <si>
    <t>2 old tire</t>
  </si>
  <si>
    <t>man-faced stink bug</t>
  </si>
  <si>
    <t>12 wood</t>
  </si>
  <si>
    <t>15 stone</t>
  </si>
  <si>
    <t>3 white hyacinths</t>
  </si>
  <si>
    <t>mantis</t>
  </si>
  <si>
    <t>2 Gemini fragment</t>
  </si>
  <si>
    <t>1 Papa bear</t>
  </si>
  <si>
    <t>1 Mama bear</t>
  </si>
  <si>
    <t>1 Baby bear</t>
  </si>
  <si>
    <t>8 gold nugget</t>
  </si>
  <si>
    <t>migratory locust</t>
  </si>
  <si>
    <t>3 gold nugget</t>
  </si>
  <si>
    <t>5 gold nugget</t>
  </si>
  <si>
    <t>6 gold roses</t>
  </si>
  <si>
    <t>miyama stag</t>
  </si>
  <si>
    <t>10 gold roses</t>
  </si>
  <si>
    <t>Olaf's photo</t>
  </si>
  <si>
    <t>4 gold nugget</t>
  </si>
  <si>
    <t>1 screen wall</t>
  </si>
  <si>
    <t>mole cricket</t>
  </si>
  <si>
    <t>1 axe</t>
  </si>
  <si>
    <t>Break 100 axes</t>
  </si>
  <si>
    <t>Underground (dig where noise is loudest)</t>
  </si>
  <si>
    <t>monarch butterfly</t>
  </si>
  <si>
    <t>mosquito</t>
  </si>
  <si>
    <t>1 net</t>
  </si>
  <si>
    <t>Olive's photo</t>
  </si>
  <si>
    <t>Completing bug Critterpedia</t>
  </si>
  <si>
    <t>1 rod</t>
  </si>
  <si>
    <t>moth</t>
  </si>
  <si>
    <t>Completing fish Critterpedia</t>
  </si>
  <si>
    <t>1 shovel</t>
  </si>
  <si>
    <t>Flying near light sources</t>
  </si>
  <si>
    <t>Helping Gulliver 30 times.</t>
  </si>
  <si>
    <t>1 slingshot</t>
  </si>
  <si>
    <t>Shoot 300 balloons</t>
  </si>
  <si>
    <t>orchid mantis</t>
  </si>
  <si>
    <t>6 gold nugget</t>
  </si>
  <si>
    <t>On white flowers</t>
  </si>
  <si>
    <t>1 watering can</t>
  </si>
  <si>
    <t>5-star town evaluation</t>
  </si>
  <si>
    <t>paper kite butterfly</t>
  </si>
  <si>
    <t>6 iron nugget</t>
  </si>
  <si>
    <t>7 clump of weeds</t>
  </si>
  <si>
    <t>Bottoms</t>
  </si>
  <si>
    <t>Olivia's photo</t>
  </si>
  <si>
    <t>peacock butterfly</t>
  </si>
  <si>
    <t>1 young spring bamboo</t>
  </si>
  <si>
    <t>Flying near blue/purple/black flowers</t>
  </si>
  <si>
    <t>pill bug</t>
  </si>
  <si>
    <t>2 bamboo piece</t>
  </si>
  <si>
    <t>5 red ornament</t>
  </si>
  <si>
    <t>pondskater</t>
  </si>
  <si>
    <t>5 wasp nest</t>
  </si>
  <si>
    <t>6 wasp nest</t>
  </si>
  <si>
    <t>4 red hyacinths</t>
  </si>
  <si>
    <t>2 yellow hyacinths</t>
  </si>
  <si>
    <t>2 white hyacinths</t>
  </si>
  <si>
    <t>Opal's photo</t>
  </si>
  <si>
    <t>5 purple hyacinths</t>
  </si>
  <si>
    <t>Queen Alexandra's birdwing</t>
  </si>
  <si>
    <t>1 pink hyacinths</t>
  </si>
  <si>
    <t>3 red hyacinths</t>
  </si>
  <si>
    <t>3 yellow hyacinths</t>
  </si>
  <si>
    <t>rainbow stag</t>
  </si>
  <si>
    <t>Balloon/Bottle/Villager (Winter)</t>
  </si>
  <si>
    <t>Rajah Brooke's birdwing</t>
  </si>
  <si>
    <t xml:space="preserve">3 red ornament </t>
  </si>
  <si>
    <t>6 gold ornament</t>
  </si>
  <si>
    <t>9 blue ornament</t>
  </si>
  <si>
    <t>red dragonfly</t>
  </si>
  <si>
    <t>Ozzie's photo</t>
  </si>
  <si>
    <t>2 pear</t>
  </si>
  <si>
    <t>2 cherry</t>
  </si>
  <si>
    <t>2 orange</t>
  </si>
  <si>
    <t>2 peach</t>
  </si>
  <si>
    <t>2 coconut</t>
  </si>
  <si>
    <t>rice grasshopper</t>
  </si>
  <si>
    <t>12 iron nugget</t>
  </si>
  <si>
    <t>robust cicada</t>
  </si>
  <si>
    <t>Pancetti's photo</t>
  </si>
  <si>
    <t>rosalia batesi beetle</t>
  </si>
  <si>
    <t>14 iron nugget</t>
  </si>
  <si>
    <t>1 clay</t>
  </si>
  <si>
    <t>saw stag</t>
  </si>
  <si>
    <t>20 wood</t>
  </si>
  <si>
    <t>scarab beetle</t>
  </si>
  <si>
    <t>Pango's photo</t>
  </si>
  <si>
    <t>1 ironwood dresser</t>
  </si>
  <si>
    <t>7 wood</t>
  </si>
  <si>
    <t>scorpion</t>
  </si>
  <si>
    <t>1 cutting board</t>
  </si>
  <si>
    <t>5 blue ornament</t>
  </si>
  <si>
    <t>5 gold ornament</t>
  </si>
  <si>
    <t>snail</t>
  </si>
  <si>
    <t>On rocks</t>
  </si>
  <si>
    <t>Rain only</t>
  </si>
  <si>
    <t>10 clay</t>
  </si>
  <si>
    <t>spider</t>
  </si>
  <si>
    <t>Paolo's photo</t>
  </si>
  <si>
    <t>stinkbug</t>
  </si>
  <si>
    <t>5 cardboard box</t>
  </si>
  <si>
    <t>tarantula</t>
  </si>
  <si>
    <t>Accessories</t>
  </si>
  <si>
    <t>3 pine cone</t>
  </si>
  <si>
    <t>tiger beetle</t>
  </si>
  <si>
    <t>3 maple leaf</t>
  </si>
  <si>
    <t>Papi's photo</t>
  </si>
  <si>
    <t>Collecting 12 leaf eggs (Bunny Day)</t>
  </si>
  <si>
    <t>tiger butterfly</t>
  </si>
  <si>
    <t>2 Leo fragment</t>
  </si>
  <si>
    <t>2 Libra fragment</t>
  </si>
  <si>
    <t>violin beetle</t>
  </si>
  <si>
    <t>2 red lilies</t>
  </si>
  <si>
    <t>2 white lilies</t>
  </si>
  <si>
    <t>Pashmina's photo</t>
  </si>
  <si>
    <t>5 white lilies</t>
  </si>
  <si>
    <t>walker cicada</t>
  </si>
  <si>
    <t>1 white lilies</t>
  </si>
  <si>
    <t>3 white lilies</t>
  </si>
  <si>
    <t xml:space="preserve">3 red lilies </t>
  </si>
  <si>
    <t>30 hardwood</t>
  </si>
  <si>
    <t>walking leaf</t>
  </si>
  <si>
    <t>2 log bench</t>
  </si>
  <si>
    <t>Disguised under trees</t>
  </si>
  <si>
    <t>2 log sofa</t>
  </si>
  <si>
    <t>walking stick</t>
  </si>
  <si>
    <t>12 hardwood</t>
  </si>
  <si>
    <t>4:00 AM
5:00 PM</t>
  </si>
  <si>
    <t>Pate's photo</t>
  </si>
  <si>
    <t>8 hardwood</t>
  </si>
  <si>
    <t>wasp</t>
  </si>
  <si>
    <t>Shaking trees</t>
  </si>
  <si>
    <t>wharf roach</t>
  </si>
  <si>
    <t>3 pink cosmos</t>
  </si>
  <si>
    <t>3 orange cosmos</t>
  </si>
  <si>
    <t>On beach rocks</t>
  </si>
  <si>
    <t>1 lucky cat</t>
  </si>
  <si>
    <t>10 star fragment</t>
  </si>
  <si>
    <t>yellow butterfly</t>
  </si>
  <si>
    <t>4 old tire</t>
  </si>
  <si>
    <t>2 magazine</t>
  </si>
  <si>
    <t>10 magazine</t>
  </si>
  <si>
    <t>Patty's photo</t>
  </si>
  <si>
    <t>6 maple leaf</t>
  </si>
  <si>
    <t>7 maple leaf</t>
  </si>
  <si>
    <t>medicine</t>
  </si>
  <si>
    <t>1 wasp nest</t>
  </si>
  <si>
    <t>Villager when stung</t>
  </si>
  <si>
    <t>50,000 bells</t>
  </si>
  <si>
    <t>Paula's photo</t>
  </si>
  <si>
    <t>2 red mums</t>
  </si>
  <si>
    <t>2 yellow mums</t>
  </si>
  <si>
    <t>2 white mums</t>
  </si>
  <si>
    <t>3 yellow mum</t>
  </si>
  <si>
    <t>3 white mum</t>
  </si>
  <si>
    <t>3 red mum</t>
  </si>
  <si>
    <t>1 yellow mum</t>
  </si>
  <si>
    <t>1 skinny mushroom</t>
  </si>
  <si>
    <t>1 log stool</t>
  </si>
  <si>
    <t>3 flat mushroom</t>
  </si>
  <si>
    <t>3 skinny mushroom</t>
  </si>
  <si>
    <t>1 elegant mushroom</t>
  </si>
  <si>
    <t>1 round mushroom</t>
  </si>
  <si>
    <t>1 flat mushroom</t>
  </si>
  <si>
    <t>Peaches's photo</t>
  </si>
  <si>
    <t>9 hardwood</t>
  </si>
  <si>
    <t>10 green mums</t>
  </si>
  <si>
    <t>1 flimsy net</t>
  </si>
  <si>
    <t>1 oil barrel</t>
  </si>
  <si>
    <t>8 orange</t>
  </si>
  <si>
    <t>10 orange</t>
  </si>
  <si>
    <t>5 orange</t>
  </si>
  <si>
    <t>6 orange</t>
  </si>
  <si>
    <t>Peanut's photo</t>
  </si>
  <si>
    <t>7 orange</t>
  </si>
  <si>
    <t>20 orange</t>
  </si>
  <si>
    <t>1 red ornament</t>
  </si>
  <si>
    <t>1 blue ornament</t>
  </si>
  <si>
    <t>1 gold ornament</t>
  </si>
  <si>
    <t>Isabelle (Festive season)</t>
  </si>
  <si>
    <t>4 coconut</t>
  </si>
  <si>
    <t>2 red pansies</t>
  </si>
  <si>
    <t>2 yellow panies</t>
  </si>
  <si>
    <t>2 white pansies</t>
  </si>
  <si>
    <t>5 yellow pansies</t>
  </si>
  <si>
    <t>1 yellow pansies</t>
  </si>
  <si>
    <t>Pecan's photo</t>
  </si>
  <si>
    <t>3 yellow pansies</t>
  </si>
  <si>
    <t>3 white pansies</t>
  </si>
  <si>
    <t>3 red pansies</t>
  </si>
  <si>
    <t>10 peach</t>
  </si>
  <si>
    <t>8 peach</t>
  </si>
  <si>
    <t>5 peach</t>
  </si>
  <si>
    <t>6 peach</t>
  </si>
  <si>
    <t>7 peach</t>
  </si>
  <si>
    <t>10 pear</t>
  </si>
  <si>
    <t>Peck's photo</t>
  </si>
  <si>
    <t>8 pear</t>
  </si>
  <si>
    <t>5 pear</t>
  </si>
  <si>
    <t>6 pear</t>
  </si>
  <si>
    <t>7 pear</t>
  </si>
  <si>
    <t>20 pear</t>
  </si>
  <si>
    <t>3 zen cushion</t>
  </si>
  <si>
    <t>8 pine cone</t>
  </si>
  <si>
    <t>2 Pisces fragment</t>
  </si>
  <si>
    <t>pitfall seed</t>
  </si>
  <si>
    <t>4 clump of weeds</t>
  </si>
  <si>
    <t>6 tree branch</t>
  </si>
  <si>
    <t>Balloon/Bottle/Villager
Digging up a pitfall seed</t>
  </si>
  <si>
    <t>Peewee's photo</t>
  </si>
  <si>
    <t>3 orange tulips</t>
  </si>
  <si>
    <t>3 pink tulips</t>
  </si>
  <si>
    <t>3 purple tulips</t>
  </si>
  <si>
    <t>6 purple hyacinths</t>
  </si>
  <si>
    <t>10 purple hyacinths</t>
  </si>
  <si>
    <t>6 purple pansies</t>
  </si>
  <si>
    <t>6 purple windflowers</t>
  </si>
  <si>
    <t>1 empty can</t>
  </si>
  <si>
    <t>1 wood</t>
  </si>
  <si>
    <t>1 rocket</t>
  </si>
  <si>
    <t>1 gold armor</t>
  </si>
  <si>
    <t>30 rusted part</t>
  </si>
  <si>
    <t>90 iron nugget</t>
  </si>
  <si>
    <t>10 gold nugget</t>
  </si>
  <si>
    <t>Peggy's photo</t>
  </si>
  <si>
    <t>10 red roses</t>
  </si>
  <si>
    <t>2 red roses</t>
  </si>
  <si>
    <t>2 yellow roses</t>
  </si>
  <si>
    <t>2 white roses</t>
  </si>
  <si>
    <t>3 red roses</t>
  </si>
  <si>
    <t>3 white roses</t>
  </si>
  <si>
    <t>2 Sagittarius fragment</t>
  </si>
  <si>
    <t>1 sea snail</t>
  </si>
  <si>
    <t>1 venus comb</t>
  </si>
  <si>
    <t>1 sand dollar</t>
  </si>
  <si>
    <t>1 coral</t>
  </si>
  <si>
    <t>1 giant clam</t>
  </si>
  <si>
    <t>1 cowrie</t>
  </si>
  <si>
    <t>1 document stack</t>
  </si>
  <si>
    <t>Pekoe's photo</t>
  </si>
  <si>
    <t>2 Scorpius fragment</t>
  </si>
  <si>
    <t>3 sea snail</t>
  </si>
  <si>
    <t>3 venus comb</t>
  </si>
  <si>
    <t>3 sand dollar</t>
  </si>
  <si>
    <t>3 coral</t>
  </si>
  <si>
    <t>3 giant clam</t>
  </si>
  <si>
    <t>3 cowrie</t>
  </si>
  <si>
    <t>5 giant clam</t>
  </si>
  <si>
    <t>2 giant clam</t>
  </si>
  <si>
    <t>4 venus comb</t>
  </si>
  <si>
    <t>4 conch</t>
  </si>
  <si>
    <t>3 conch</t>
  </si>
  <si>
    <t>5 cowrie</t>
  </si>
  <si>
    <t>Penelope's photo</t>
  </si>
  <si>
    <t>7 sand dollar</t>
  </si>
  <si>
    <t>3 summer shell</t>
  </si>
  <si>
    <t>Balloon/Bottle/Villager (Summer)</t>
  </si>
  <si>
    <t>1 summer shell</t>
  </si>
  <si>
    <t>6 summer shell</t>
  </si>
  <si>
    <t>12 clay</t>
  </si>
  <si>
    <t>6 green mums</t>
  </si>
  <si>
    <t>Phil's photo</t>
  </si>
  <si>
    <t>Collecting 9 sky eggs (Bunny Day)</t>
  </si>
  <si>
    <t>12 snowflake</t>
  </si>
  <si>
    <t>Phoebe's photo</t>
  </si>
  <si>
    <t>5 book</t>
  </si>
  <si>
    <t>6 magazine</t>
  </si>
  <si>
    <t>Pierce's photo</t>
  </si>
  <si>
    <t>6 star fragment</t>
  </si>
  <si>
    <t>1 sandy-beach flooring</t>
  </si>
  <si>
    <t>Pietro's photo</t>
  </si>
  <si>
    <t>7 iron nugget</t>
  </si>
  <si>
    <t>90 stone</t>
  </si>
  <si>
    <t>Pinky's photo</t>
  </si>
  <si>
    <t>Collecting 17 stone eggs (Bunny Day)</t>
  </si>
  <si>
    <t>24 stone</t>
  </si>
  <si>
    <t>1 upright piano</t>
  </si>
  <si>
    <t>1 painting set</t>
  </si>
  <si>
    <t>7 softwood</t>
  </si>
  <si>
    <t>60 stone</t>
  </si>
  <si>
    <t>18 stone</t>
  </si>
  <si>
    <t>Piper's photo</t>
  </si>
  <si>
    <t>2 Taurus fragment</t>
  </si>
  <si>
    <t>12 clump of weeds</t>
  </si>
  <si>
    <t>2 tree branch</t>
  </si>
  <si>
    <t>1 pink rose</t>
  </si>
  <si>
    <t>3 book</t>
  </si>
  <si>
    <t>3 old tire</t>
  </si>
  <si>
    <t>1 old tire</t>
  </si>
  <si>
    <t>Fishing up an old tire</t>
  </si>
  <si>
    <t>Pippy's photo</t>
  </si>
  <si>
    <t>4 acorn</t>
  </si>
  <si>
    <t>8 clump of weeds</t>
  </si>
  <si>
    <t>Tops</t>
  </si>
  <si>
    <t>1 boot</t>
  </si>
  <si>
    <t>Fishing up all 3 trash items</t>
  </si>
  <si>
    <t>4 pine cone</t>
  </si>
  <si>
    <t>5 acorn</t>
  </si>
  <si>
    <t>5 maple leaf</t>
  </si>
  <si>
    <t>15 tree branch</t>
  </si>
  <si>
    <t>5 pine cone</t>
  </si>
  <si>
    <t>4 maple leaf</t>
  </si>
  <si>
    <t>8 tree branch</t>
  </si>
  <si>
    <t>6 pine cone</t>
  </si>
  <si>
    <t>Isabelle (Fall)</t>
  </si>
  <si>
    <t>2 pine cone</t>
  </si>
  <si>
    <t>3 acorn</t>
  </si>
  <si>
    <t>Plucky's photo</t>
  </si>
  <si>
    <t>24 hardwood</t>
  </si>
  <si>
    <t>5 summer shell</t>
  </si>
  <si>
    <t>2 red tulips</t>
  </si>
  <si>
    <t>2 yellow tulips</t>
  </si>
  <si>
    <t>1 white tulips</t>
  </si>
  <si>
    <t>5 red tulips</t>
  </si>
  <si>
    <t>1 red tulips</t>
  </si>
  <si>
    <t>3 red tulips</t>
  </si>
  <si>
    <t>3 yellow tulips</t>
  </si>
  <si>
    <t>3 white tulips</t>
  </si>
  <si>
    <t>5 coral</t>
  </si>
  <si>
    <t>Pompom's photo</t>
  </si>
  <si>
    <t>2 Virgo fragment</t>
  </si>
  <si>
    <t>2 star fragment</t>
  </si>
  <si>
    <t>Collecting 13 water eggs (Bunny Day)</t>
  </si>
  <si>
    <t>1 flimsy watering can</t>
  </si>
  <si>
    <t>30 stone</t>
  </si>
  <si>
    <t>Poncho's photo</t>
  </si>
  <si>
    <t>2 red windflowers</t>
  </si>
  <si>
    <t>2 orange windflowers</t>
  </si>
  <si>
    <t>2 white windflowers</t>
  </si>
  <si>
    <t>3 red windflowers</t>
  </si>
  <si>
    <t>1 orange windflowers</t>
  </si>
  <si>
    <t>3 orange windflowers</t>
  </si>
  <si>
    <t>Wobbling Zipper toy</t>
  </si>
  <si>
    <t>4 sky egg</t>
  </si>
  <si>
    <t>4 water egg</t>
  </si>
  <si>
    <t>Zipper for crafting all Bunny Day recipes</t>
  </si>
  <si>
    <t>Collecting 22 wood eggs (Bunny Day)</t>
  </si>
  <si>
    <t>Poppy's photo</t>
  </si>
  <si>
    <t>16 wood</t>
  </si>
  <si>
    <t>30 wood</t>
  </si>
  <si>
    <t>18 wood</t>
  </si>
  <si>
    <t>Portia's photo</t>
  </si>
  <si>
    <t>1 wooden-block toy</t>
  </si>
  <si>
    <t>17 softwood</t>
  </si>
  <si>
    <t>12 softwood</t>
  </si>
  <si>
    <t>Prince's photo</t>
  </si>
  <si>
    <t>9 softwood</t>
  </si>
  <si>
    <t>Puck's photo</t>
  </si>
  <si>
    <t>Puddles's photo</t>
  </si>
  <si>
    <t>Pudge's photo</t>
  </si>
  <si>
    <t>Shadow</t>
  </si>
  <si>
    <t>More common during rain or snow?</t>
  </si>
  <si>
    <t>anchovy</t>
  </si>
  <si>
    <t>Small</t>
  </si>
  <si>
    <t>angelfish</t>
  </si>
  <si>
    <t>Punchy's photo</t>
  </si>
  <si>
    <t>River</t>
  </si>
  <si>
    <t>arapaima</t>
  </si>
  <si>
    <t>XX-Large</t>
  </si>
  <si>
    <t>arowana</t>
  </si>
  <si>
    <t>Large</t>
  </si>
  <si>
    <t>barred knifejaw</t>
  </si>
  <si>
    <t>Purrl's photo</t>
  </si>
  <si>
    <t>Medium</t>
  </si>
  <si>
    <t>barreleye</t>
  </si>
  <si>
    <t>betta</t>
  </si>
  <si>
    <t>Queenie's photo</t>
  </si>
  <si>
    <t>bitterling</t>
  </si>
  <si>
    <t>X-Small</t>
  </si>
  <si>
    <t>black bass</t>
  </si>
  <si>
    <t>blowfish</t>
  </si>
  <si>
    <t>blue marlin</t>
  </si>
  <si>
    <t>Quillson's photo</t>
  </si>
  <si>
    <t>Pier</t>
  </si>
  <si>
    <t>bluegill</t>
  </si>
  <si>
    <t>butterfly fish</t>
  </si>
  <si>
    <t>carp</t>
  </si>
  <si>
    <t>Raddle's photo</t>
  </si>
  <si>
    <t>Pond</t>
  </si>
  <si>
    <t>catfish</t>
  </si>
  <si>
    <t>char</t>
  </si>
  <si>
    <t>Rasher's photo</t>
  </si>
  <si>
    <t>River (clifftop)</t>
  </si>
  <si>
    <t>cherry salmon</t>
  </si>
  <si>
    <t>Raymond's photo</t>
  </si>
  <si>
    <t>clown fish</t>
  </si>
  <si>
    <t>coelacanth</t>
  </si>
  <si>
    <t>Sea (raining)</t>
  </si>
  <si>
    <t>crawfish</t>
  </si>
  <si>
    <t>Renée's photo</t>
  </si>
  <si>
    <t>crucian carp</t>
  </si>
  <si>
    <t>dab</t>
  </si>
  <si>
    <t>dace</t>
  </si>
  <si>
    <t>Reneigh's photo</t>
  </si>
  <si>
    <t>dorado</t>
  </si>
  <si>
    <t>X-Large</t>
  </si>
  <si>
    <t>football fish</t>
  </si>
  <si>
    <t>freshwater goby</t>
  </si>
  <si>
    <t>Rex's photo</t>
  </si>
  <si>
    <t>frog</t>
  </si>
  <si>
    <t>gar</t>
  </si>
  <si>
    <t>Rhonda's photo</t>
  </si>
  <si>
    <t>giant snakehead</t>
  </si>
  <si>
    <t>giant trevally</t>
  </si>
  <si>
    <t>Ribbot's photo</t>
  </si>
  <si>
    <t>golden trout</t>
  </si>
  <si>
    <t>goldfish</t>
  </si>
  <si>
    <t>Ricky's photo</t>
  </si>
  <si>
    <t>great white shark</t>
  </si>
  <si>
    <t>Large w/Fin</t>
  </si>
  <si>
    <t>guppy</t>
  </si>
  <si>
    <t>Rizzo's photo</t>
  </si>
  <si>
    <t>hammerhead shark</t>
  </si>
  <si>
    <t>horse mackerel</t>
  </si>
  <si>
    <t>killifish</t>
  </si>
  <si>
    <t>Roald's photo</t>
  </si>
  <si>
    <t>king salmon</t>
  </si>
  <si>
    <t>River (mouth)</t>
  </si>
  <si>
    <t>koi</t>
  </si>
  <si>
    <t>loach</t>
  </si>
  <si>
    <t>Robin's photo</t>
  </si>
  <si>
    <t>mahi-mahi</t>
  </si>
  <si>
    <t>mitten crab</t>
  </si>
  <si>
    <t>Rocco's photo</t>
  </si>
  <si>
    <t>moray eel</t>
  </si>
  <si>
    <t>Long</t>
  </si>
  <si>
    <t>Napoleonfish</t>
  </si>
  <si>
    <t>neon tetra</t>
  </si>
  <si>
    <t>Rocket's photo</t>
  </si>
  <si>
    <t>nibble fish</t>
  </si>
  <si>
    <t>oarfish</t>
  </si>
  <si>
    <t>ocean sunfish</t>
  </si>
  <si>
    <t>olive flounder</t>
  </si>
  <si>
    <t>Rod's photo</t>
  </si>
  <si>
    <t>pale chub</t>
  </si>
  <si>
    <t>pike</t>
  </si>
  <si>
    <t>piranha</t>
  </si>
  <si>
    <t>9:00 AM
9:00 PM</t>
  </si>
  <si>
    <t>4:00 PM
4:00 AM</t>
  </si>
  <si>
    <t>pond smelt</t>
  </si>
  <si>
    <t>Rodeo's photo</t>
  </si>
  <si>
    <t>pop-eyed goldfish</t>
  </si>
  <si>
    <t>puffer fish</t>
  </si>
  <si>
    <t>rainbowfish</t>
  </si>
  <si>
    <t>ranchu goldfish</t>
  </si>
  <si>
    <t>ray</t>
  </si>
  <si>
    <t>Rodney's photo</t>
  </si>
  <si>
    <t>red snapper</t>
  </si>
  <si>
    <t>ribbon eel</t>
  </si>
  <si>
    <t>saddled bichir</t>
  </si>
  <si>
    <t>Rolf's photo</t>
  </si>
  <si>
    <t>salmon</t>
  </si>
  <si>
    <t>saw shark</t>
  </si>
  <si>
    <t>sea bass</t>
  </si>
  <si>
    <t>Rooney's photo</t>
  </si>
  <si>
    <t>sea butterfly</t>
  </si>
  <si>
    <t>sea horse</t>
  </si>
  <si>
    <t>snapping turtle</t>
  </si>
  <si>
    <t>Rory's photo</t>
  </si>
  <si>
    <t>soft-shelled turtle</t>
  </si>
  <si>
    <t>squid</t>
  </si>
  <si>
    <t>stringfish</t>
  </si>
  <si>
    <t>sturgeon</t>
  </si>
  <si>
    <t>Roscoe's photo</t>
  </si>
  <si>
    <t>suckerfish</t>
  </si>
  <si>
    <t>Medium w/Fin</t>
  </si>
  <si>
    <t>surgeonfish</t>
  </si>
  <si>
    <t>sweetfish</t>
  </si>
  <si>
    <t>Rosie's photo</t>
  </si>
  <si>
    <t>tadpole</t>
  </si>
  <si>
    <t>tilapia</t>
  </si>
  <si>
    <t>tuna</t>
  </si>
  <si>
    <t>Rowan's photo</t>
  </si>
  <si>
    <t>whale shark</t>
  </si>
  <si>
    <t>yellow perch</t>
  </si>
  <si>
    <t>Ruby's photo</t>
  </si>
  <si>
    <t>zebra turkeyfish</t>
  </si>
  <si>
    <t>empty can (trash)</t>
  </si>
  <si>
    <t>N/A</t>
  </si>
  <si>
    <t>Anywhere</t>
  </si>
  <si>
    <t>old tire (trash)</t>
  </si>
  <si>
    <t>boot (trash)</t>
  </si>
  <si>
    <t>stone (trash)</t>
  </si>
  <si>
    <t>Rudy's photo</t>
  </si>
  <si>
    <t>acanthostega</t>
  </si>
  <si>
    <t>Sally's photo</t>
  </si>
  <si>
    <t>amber</t>
  </si>
  <si>
    <t>ammonite</t>
  </si>
  <si>
    <t>ankylo skull</t>
  </si>
  <si>
    <t>ankylo tail</t>
  </si>
  <si>
    <t>ankylo torso</t>
  </si>
  <si>
    <t>anomalocaris</t>
  </si>
  <si>
    <t>archaeopteryx</t>
  </si>
  <si>
    <t>Samson's photo</t>
  </si>
  <si>
    <t>archelon skull</t>
  </si>
  <si>
    <t>archelon tail</t>
  </si>
  <si>
    <t>Unlocks After</t>
  </si>
  <si>
    <t>brick bridge</t>
  </si>
  <si>
    <t>australopith</t>
  </si>
  <si>
    <t>Bridge</t>
  </si>
  <si>
    <t>Resident Services Upgrade</t>
  </si>
  <si>
    <t>iron bridge</t>
  </si>
  <si>
    <t>brachio chest</t>
  </si>
  <si>
    <t>log bridge</t>
  </si>
  <si>
    <t>red zen bridge</t>
  </si>
  <si>
    <t>stone bridge</t>
  </si>
  <si>
    <t>brachio pelvis</t>
  </si>
  <si>
    <t>suspension bridge</t>
  </si>
  <si>
    <t>wooden bridge</t>
  </si>
  <si>
    <t>brachio skull</t>
  </si>
  <si>
    <t>zen bridge</t>
  </si>
  <si>
    <t>basic door</t>
  </si>
  <si>
    <t>brachio tail</t>
  </si>
  <si>
    <t>Door</t>
  </si>
  <si>
    <t>4th House Upgrade (Right Room)</t>
  </si>
  <si>
    <t>beige basic door</t>
  </si>
  <si>
    <t>beige simple door</t>
  </si>
  <si>
    <t>coprolite</t>
  </si>
  <si>
    <t>beige windowed door</t>
  </si>
  <si>
    <t>beige wooden door</t>
  </si>
  <si>
    <t>Sandy's photo</t>
  </si>
  <si>
    <t>deinony tail</t>
  </si>
  <si>
    <t>black common door</t>
  </si>
  <si>
    <t>black fancy door</t>
  </si>
  <si>
    <t>black imperial door</t>
  </si>
  <si>
    <t>deinony torso</t>
  </si>
  <si>
    <t>black latticework door</t>
  </si>
  <si>
    <t>dimetrodon skull</t>
  </si>
  <si>
    <t>black rustic door</t>
  </si>
  <si>
    <t>dimetrodon torso</t>
  </si>
  <si>
    <t>black vertical-panes door</t>
  </si>
  <si>
    <t>black zen door</t>
  </si>
  <si>
    <t>dinosaur track</t>
  </si>
  <si>
    <t>blue basic door</t>
  </si>
  <si>
    <t>diplo chest</t>
  </si>
  <si>
    <t>blue common door</t>
  </si>
  <si>
    <t>diplo neck</t>
  </si>
  <si>
    <t>blue iron door</t>
  </si>
  <si>
    <t>blue latticework door</t>
  </si>
  <si>
    <t>diplo pelvis</t>
  </si>
  <si>
    <t>blue metal-accent door</t>
  </si>
  <si>
    <t>diplo skull</t>
  </si>
  <si>
    <t>blue rustic door</t>
  </si>
  <si>
    <t>blue simple door</t>
  </si>
  <si>
    <t>diplo tail</t>
  </si>
  <si>
    <t>Savannah's photo</t>
  </si>
  <si>
    <t>blue vertical-panes door</t>
  </si>
  <si>
    <t>diplo tail tip</t>
  </si>
  <si>
    <t>blue windowed door</t>
  </si>
  <si>
    <t>blue wooden door</t>
  </si>
  <si>
    <t>brown imperial door</t>
  </si>
  <si>
    <t>dunkleosteus</t>
  </si>
  <si>
    <t>brown latticework door</t>
  </si>
  <si>
    <t>brown metal-accent door</t>
  </si>
  <si>
    <t>eusthenopteron</t>
  </si>
  <si>
    <t>brown zen door</t>
  </si>
  <si>
    <t>iguanodon skull</t>
  </si>
  <si>
    <t>burgundy basic door</t>
  </si>
  <si>
    <t>common door</t>
  </si>
  <si>
    <t>iguanodon tail</t>
  </si>
  <si>
    <t>cyan vertical-panes door</t>
  </si>
  <si>
    <t>dark-brown iron grill door</t>
  </si>
  <si>
    <t>deep-green simple door</t>
  </si>
  <si>
    <t>iguanodon torso</t>
  </si>
  <si>
    <t>gray common door</t>
  </si>
  <si>
    <t>juramaia</t>
  </si>
  <si>
    <t>gray iron door</t>
  </si>
  <si>
    <t>gray iron grill door</t>
  </si>
  <si>
    <t>left megalo side</t>
  </si>
  <si>
    <t>Scoot's photo</t>
  </si>
  <si>
    <t>gray latticework door</t>
  </si>
  <si>
    <t>left ptera wing</t>
  </si>
  <si>
    <t>gray simple door</t>
  </si>
  <si>
    <t>gray windowed door</t>
  </si>
  <si>
    <t>left quetzal wing</t>
  </si>
  <si>
    <t>gray wooden door</t>
  </si>
  <si>
    <t>mammoth skull</t>
  </si>
  <si>
    <t>green basic door</t>
  </si>
  <si>
    <t>mammoth torso</t>
  </si>
  <si>
    <t>green common door</t>
  </si>
  <si>
    <t>green imperial door</t>
  </si>
  <si>
    <t>megacero skull</t>
  </si>
  <si>
    <t>green iron door</t>
  </si>
  <si>
    <t>megacero tail</t>
  </si>
  <si>
    <t>green iron grill door</t>
  </si>
  <si>
    <t>green metal-accent door</t>
  </si>
  <si>
    <t>green rustic door</t>
  </si>
  <si>
    <t>Shari's photo</t>
  </si>
  <si>
    <t>green vertical-panes door</t>
  </si>
  <si>
    <t>green windowed door</t>
  </si>
  <si>
    <t>megacero torso</t>
  </si>
  <si>
    <t>green wooden door</t>
  </si>
  <si>
    <t>myllokunmingia</t>
  </si>
  <si>
    <t>green-apple basic door</t>
  </si>
  <si>
    <t>ophthalmo skull</t>
  </si>
  <si>
    <t>green-apple common door</t>
  </si>
  <si>
    <t>ophthalmo torso</t>
  </si>
  <si>
    <t>imperial door</t>
  </si>
  <si>
    <t>pachysaurus skull</t>
  </si>
  <si>
    <t>iron door</t>
  </si>
  <si>
    <t>pachysaurus tail</t>
  </si>
  <si>
    <t>iron grill door</t>
  </si>
  <si>
    <t>parasaur skull</t>
  </si>
  <si>
    <t>lacquered zen door</t>
  </si>
  <si>
    <t>latticework door</t>
  </si>
  <si>
    <t>parasaur tail</t>
  </si>
  <si>
    <t>parasaur torso</t>
  </si>
  <si>
    <t>light-green rustic door</t>
  </si>
  <si>
    <t>maple iron grill door</t>
  </si>
  <si>
    <t>plesio body</t>
  </si>
  <si>
    <t>Sheldon's photo</t>
  </si>
  <si>
    <t>plesio skull</t>
  </si>
  <si>
    <t>plesio tail</t>
  </si>
  <si>
    <t>maple rustic door</t>
  </si>
  <si>
    <t>ptera body</t>
  </si>
  <si>
    <t>maple vertical-panes door</t>
  </si>
  <si>
    <t>maple windowed door</t>
  </si>
  <si>
    <t>quetzal torso</t>
  </si>
  <si>
    <t>maple wooden door</t>
  </si>
  <si>
    <t>right megalo side</t>
  </si>
  <si>
    <t>metal-accent door</t>
  </si>
  <si>
    <t>right ptera wing</t>
  </si>
  <si>
    <t>pale-blue basic door</t>
  </si>
  <si>
    <t>right quetzal wing</t>
  </si>
  <si>
    <t>pale-blue fancy door</t>
  </si>
  <si>
    <t>sabertooth skull</t>
  </si>
  <si>
    <t>pale-blue iron grill door</t>
  </si>
  <si>
    <t>sabertooth tail</t>
  </si>
  <si>
    <t>pale-purple rustic door</t>
  </si>
  <si>
    <t>shark-tooth pattern</t>
  </si>
  <si>
    <t>Shep's photo</t>
  </si>
  <si>
    <t>pink basic door</t>
  </si>
  <si>
    <t>spino skull</t>
  </si>
  <si>
    <t>pink fancy door</t>
  </si>
  <si>
    <t>spino tail</t>
  </si>
  <si>
    <t>pink iron door</t>
  </si>
  <si>
    <t>spino torso</t>
  </si>
  <si>
    <t>pink iron grill door</t>
  </si>
  <si>
    <t>stego skull</t>
  </si>
  <si>
    <t>pink metal-accent door</t>
  </si>
  <si>
    <t>stego tail</t>
  </si>
  <si>
    <t>pink rustic door</t>
  </si>
  <si>
    <t>stego torso</t>
  </si>
  <si>
    <t>T. rex skull</t>
  </si>
  <si>
    <t>pink simple door</t>
  </si>
  <si>
    <t>T. rex tail</t>
  </si>
  <si>
    <t>pink windowed door</t>
  </si>
  <si>
    <t>pink wooden door</t>
  </si>
  <si>
    <t>T. rex torso</t>
  </si>
  <si>
    <t>purple common door</t>
  </si>
  <si>
    <t>tricera skull</t>
  </si>
  <si>
    <t>purple iron grill door</t>
  </si>
  <si>
    <t>tricera tail</t>
  </si>
  <si>
    <t>Sherb's photo</t>
  </si>
  <si>
    <t>purple metal-accent door</t>
  </si>
  <si>
    <t>tricera torso</t>
  </si>
  <si>
    <t>purple simple door</t>
  </si>
  <si>
    <t>trilobite</t>
  </si>
  <si>
    <t>purple vertical-panes door</t>
  </si>
  <si>
    <t>purple windowed door</t>
  </si>
  <si>
    <t>purple wooden door</t>
  </si>
  <si>
    <t>red common door</t>
  </si>
  <si>
    <t>red fancy door</t>
  </si>
  <si>
    <t>Simon's photo</t>
  </si>
  <si>
    <t>red imperial door</t>
  </si>
  <si>
    <t>red iron door</t>
  </si>
  <si>
    <t>red iron grill door</t>
  </si>
  <si>
    <t>red latticework door</t>
  </si>
  <si>
    <t>red metal-accent door</t>
  </si>
  <si>
    <t>red rustic door</t>
  </si>
  <si>
    <t>red vertical-panes door</t>
  </si>
  <si>
    <t>red windowed door</t>
  </si>
  <si>
    <t>red wooden door</t>
  </si>
  <si>
    <t>red zen door</t>
  </si>
  <si>
    <t>Nook Miles</t>
  </si>
  <si>
    <t>arched tile path permit</t>
  </si>
  <si>
    <t>red-green imperial door</t>
  </si>
  <si>
    <t>Skye's photo</t>
  </si>
  <si>
    <t>Bell voucher</t>
  </si>
  <si>
    <t>rustic door</t>
  </si>
  <si>
    <t>vertical-panes door</t>
  </si>
  <si>
    <t>brick path permit</t>
  </si>
  <si>
    <t>cliff construction permit</t>
  </si>
  <si>
    <t>walnut latticework door</t>
  </si>
  <si>
    <t>white basic door</t>
  </si>
  <si>
    <t>white common door</t>
  </si>
  <si>
    <t>custom design path permit</t>
  </si>
  <si>
    <t>Custom Design Pro Editor</t>
  </si>
  <si>
    <t>white fancy door</t>
  </si>
  <si>
    <t>customizable phone case kit</t>
  </si>
  <si>
    <t>white imperial door</t>
  </si>
  <si>
    <t>dark dirt path permit</t>
  </si>
  <si>
    <t>white iron door</t>
  </si>
  <si>
    <t>white iron grill door</t>
  </si>
  <si>
    <t>Nook Miles Ticket</t>
  </si>
  <si>
    <t>white latticework door</t>
  </si>
  <si>
    <t>Pocket Organization Guide</t>
  </si>
  <si>
    <t>white metal-accent door</t>
  </si>
  <si>
    <t>Pretty Good Tools Recipes</t>
  </si>
  <si>
    <t>Sly's photo</t>
  </si>
  <si>
    <t>white rustic door</t>
  </si>
  <si>
    <t>white simple door</t>
  </si>
  <si>
    <t>sand path permit</t>
  </si>
  <si>
    <t>white vertical-panes door</t>
  </si>
  <si>
    <t>white windowed door</t>
  </si>
  <si>
    <t>stone path permit</t>
  </si>
  <si>
    <t>white wooden door</t>
  </si>
  <si>
    <t>terra-cotta tile permit</t>
  </si>
  <si>
    <t>white zen door</t>
  </si>
  <si>
    <t>Tool Ring: It's Essential!</t>
  </si>
  <si>
    <t>Top 8 Cool Hairstyles</t>
  </si>
  <si>
    <t>windowed door</t>
  </si>
  <si>
    <t>Top 8 Pop Hairstyles</t>
  </si>
  <si>
    <t>wooden door</t>
  </si>
  <si>
    <t>Top 8 Stylish Hair Colors</t>
  </si>
  <si>
    <t>Ultimate Pocket Stuffing</t>
  </si>
  <si>
    <t>yellow basic door</t>
  </si>
  <si>
    <t>waterscaping permit</t>
  </si>
  <si>
    <t>wooden path permit</t>
  </si>
  <si>
    <t>yellow common door</t>
  </si>
  <si>
    <t>yellow fancy door</t>
  </si>
  <si>
    <t>yellow imperial door</t>
  </si>
  <si>
    <t>(for recipes)</t>
  </si>
  <si>
    <t>Snake's photo</t>
  </si>
  <si>
    <t>yellow iron door</t>
  </si>
  <si>
    <t>yellow simple door</t>
  </si>
  <si>
    <t>yellow vertical-panes door</t>
  </si>
  <si>
    <t>yellow zen door</t>
  </si>
  <si>
    <t>zen door</t>
  </si>
  <si>
    <t>black large mailbox</t>
  </si>
  <si>
    <t>Mailbox</t>
  </si>
  <si>
    <t>3rd House Upgrade (Left Room)</t>
  </si>
  <si>
    <t>black ordinary mailbox</t>
  </si>
  <si>
    <t>black square mailbox</t>
  </si>
  <si>
    <t>blue large mailbox</t>
  </si>
  <si>
    <t>blue ordinary mailbox</t>
  </si>
  <si>
    <t>Snooty's photo</t>
  </si>
  <si>
    <t>blue square mailbox</t>
  </si>
  <si>
    <t>blue wooden mailbox</t>
  </si>
  <si>
    <t>chic wooden mailbox</t>
  </si>
  <si>
    <t>green large mailbox</t>
  </si>
  <si>
    <t>green ordinary mailbox</t>
  </si>
  <si>
    <t>green square mailbox</t>
  </si>
  <si>
    <t>green wooden mailbox</t>
  </si>
  <si>
    <t>large mailbox</t>
  </si>
  <si>
    <t>Ingame name</t>
  </si>
  <si>
    <t>ordinary mailbox</t>
  </si>
  <si>
    <t>pink large mailbox</t>
  </si>
  <si>
    <t>pink ordinary mailbox</t>
  </si>
  <si>
    <t>pink square mailbox</t>
  </si>
  <si>
    <t>Award criteria</t>
  </si>
  <si>
    <t>Soleil's photo</t>
  </si>
  <si>
    <t>Ingame order</t>
  </si>
  <si>
    <t>Internal id</t>
  </si>
  <si>
    <t>Internal name</t>
  </si>
  <si>
    <t>Internal category</t>
  </si>
  <si>
    <t>Num of tiers</t>
  </si>
  <si>
    <t>pink wooden mailbox</t>
  </si>
  <si>
    <t>Tier 1</t>
  </si>
  <si>
    <t>Tier 2</t>
  </si>
  <si>
    <t>Tier 3</t>
  </si>
  <si>
    <t>Tier 4</t>
  </si>
  <si>
    <t>Tier 5</t>
  </si>
  <si>
    <t>Reward tier 1</t>
  </si>
  <si>
    <t>Reward tier 2</t>
  </si>
  <si>
    <t>red large mailbox</t>
  </si>
  <si>
    <t>Reward tier 3</t>
  </si>
  <si>
    <t>Reward tier 4</t>
  </si>
  <si>
    <t>Reward tier 5</t>
  </si>
  <si>
    <t>Reward tier 6</t>
  </si>
  <si>
    <t>Sequential?</t>
  </si>
  <si>
    <t>(island name) Miles!</t>
  </si>
  <si>
    <t>Awarded when Nook Miles program is first unlocked</t>
  </si>
  <si>
    <t>red ordinary mailbox</t>
  </si>
  <si>
    <t>red square mailbox</t>
  </si>
  <si>
    <t>ImmigratetoIsland</t>
  </si>
  <si>
    <t>Event</t>
  </si>
  <si>
    <t>red wooden mailbox</t>
  </si>
  <si>
    <t>Angling for Perfection!</t>
  </si>
  <si>
    <t>Number of total fish caught</t>
  </si>
  <si>
    <t>CatchFish</t>
  </si>
  <si>
    <t>rustic mailbox</t>
  </si>
  <si>
    <t>square mailbox</t>
  </si>
  <si>
    <t>Island Ichthyologist</t>
  </si>
  <si>
    <t>Number of unique fish caught</t>
  </si>
  <si>
    <t>FillFishList</t>
  </si>
  <si>
    <t>white large mailbox</t>
  </si>
  <si>
    <t>white ordinary mailbox</t>
  </si>
  <si>
    <t>Island Togetherness</t>
  </si>
  <si>
    <t>Number of days in which you've talked to every one of your villagers</t>
  </si>
  <si>
    <t>GreetAllVillager</t>
  </si>
  <si>
    <t>Communication</t>
  </si>
  <si>
    <t>Sparro's photo</t>
  </si>
  <si>
    <t>white square mailbox</t>
  </si>
  <si>
    <t>white wooden mailbox</t>
  </si>
  <si>
    <t>You've Got the Bug</t>
  </si>
  <si>
    <t>Number of total bugs caught</t>
  </si>
  <si>
    <t>CatchInsect</t>
  </si>
  <si>
    <t>Insect</t>
  </si>
  <si>
    <t>wooden mailbox</t>
  </si>
  <si>
    <t>yellow large mailbox</t>
  </si>
  <si>
    <t>Bugs Don't Bug Me</t>
  </si>
  <si>
    <t>Number of unique bugs caught</t>
  </si>
  <si>
    <t>FillInsectList</t>
  </si>
  <si>
    <t>yellow ordinary mailbox</t>
  </si>
  <si>
    <t>yellow square mailbox</t>
  </si>
  <si>
    <t>Have a Nice DIY!</t>
  </si>
  <si>
    <t>Number of DIY recipes collected</t>
  </si>
  <si>
    <t>FillRecipeList</t>
  </si>
  <si>
    <t>yellow wooden mailbox</t>
  </si>
  <si>
    <t>blue steel staircase</t>
  </si>
  <si>
    <t>DIY Tools</t>
  </si>
  <si>
    <t>Number of tools you've crafted</t>
  </si>
  <si>
    <t>DIYTool</t>
  </si>
  <si>
    <t>Incline</t>
  </si>
  <si>
    <t>blue-plank ramp</t>
  </si>
  <si>
    <t>DIY Furniture</t>
  </si>
  <si>
    <t>Number of furniture pieces you've crafted</t>
  </si>
  <si>
    <t>DIYFurniture</t>
  </si>
  <si>
    <t>brick staircase</t>
  </si>
  <si>
    <t>log staircase</t>
  </si>
  <si>
    <t>Furniture Freshener</t>
  </si>
  <si>
    <t>Number of times you've customized furniture at a workbench</t>
  </si>
  <si>
    <t>Spike's photo</t>
  </si>
  <si>
    <t>RemakeFurniture</t>
  </si>
  <si>
    <t>natural ramp</t>
  </si>
  <si>
    <t>Rough-hewn</t>
  </si>
  <si>
    <t>Number of times you've chopped wood from trees</t>
  </si>
  <si>
    <t>red steel staircase</t>
  </si>
  <si>
    <t>StrikeWood</t>
  </si>
  <si>
    <t>stone staircase</t>
  </si>
  <si>
    <t>Trashed Tools</t>
  </si>
  <si>
    <t>Number of tools you've broken</t>
  </si>
  <si>
    <t>BreakTool</t>
  </si>
  <si>
    <t>white-plank ramp</t>
  </si>
  <si>
    <t>aqua tile roof</t>
  </si>
  <si>
    <t>Roofing</t>
  </si>
  <si>
    <t>Rock-Splitting Champ</t>
  </si>
  <si>
    <t>beige curved shingles</t>
  </si>
  <si>
    <t>Awarded the first time you get 8 ores/stones from striking a rock</t>
  </si>
  <si>
    <t>StrikeRock8Times</t>
  </si>
  <si>
    <t>beige stone roof</t>
  </si>
  <si>
    <t>black curved shingles</t>
  </si>
  <si>
    <t>black stone roof</t>
  </si>
  <si>
    <t>Bona Fide Bone Finder!</t>
  </si>
  <si>
    <t>Awarded the first time you dig up a fossil</t>
  </si>
  <si>
    <t>DigFossil</t>
  </si>
  <si>
    <t>black thatch roof</t>
  </si>
  <si>
    <t>Fossil Assessment</t>
  </si>
  <si>
    <t>Number of fossils you've had assessed by Blathers</t>
  </si>
  <si>
    <t>black tile roof</t>
  </si>
  <si>
    <t>JudgeFossil</t>
  </si>
  <si>
    <t>blue curved shingles</t>
  </si>
  <si>
    <t>Greedy Weeder</t>
  </si>
  <si>
    <t>Number of weed clumps you've sold to the shop</t>
  </si>
  <si>
    <t>SellWeed</t>
  </si>
  <si>
    <t>Plant</t>
  </si>
  <si>
    <t>blue stone roof</t>
  </si>
  <si>
    <t>brown curved shingles</t>
  </si>
  <si>
    <t>Sprinkle's photo</t>
  </si>
  <si>
    <t>Flower Power</t>
  </si>
  <si>
    <t>Number of flower seeds you've planted (does not count digging up and replanting existing flowers)</t>
  </si>
  <si>
    <t>brown stone roof</t>
  </si>
  <si>
    <t>PlantFlowerSeed</t>
  </si>
  <si>
    <t>brown thatch roof</t>
  </si>
  <si>
    <t>deep-green thatch roof</t>
  </si>
  <si>
    <t>Flower Tender</t>
  </si>
  <si>
    <t>Number of flowers you've watered</t>
  </si>
  <si>
    <t>fresh-grass thatch roof</t>
  </si>
  <si>
    <t>WaterPlant</t>
  </si>
  <si>
    <t>golden-brown thatch roof</t>
  </si>
  <si>
    <t>Tomorrow's Trees Today</t>
  </si>
  <si>
    <t>Number of tree saplings you've planted (does not count planting fruits or replanting existing trees)</t>
  </si>
  <si>
    <t>PlantTreeSeedling</t>
  </si>
  <si>
    <t>gray thatch roof</t>
  </si>
  <si>
    <t>green curved shingles</t>
  </si>
  <si>
    <t>green stone roof</t>
  </si>
  <si>
    <t>Pick of the Bunch</t>
  </si>
  <si>
    <t>Number of fruits you've sold to the shop</t>
  </si>
  <si>
    <t>SellFruit</t>
  </si>
  <si>
    <t>green tile roof</t>
  </si>
  <si>
    <t>Fruit Roots</t>
  </si>
  <si>
    <t>Awarded for each unique fruit tree you've planted (cherry, orange, pear, peach, apple, and coconut)</t>
  </si>
  <si>
    <t>grey stone roof</t>
  </si>
  <si>
    <t>PlantFruit</t>
  </si>
  <si>
    <t>orange curved shingles</t>
  </si>
  <si>
    <t>Go Ahead. Be Shellfish!</t>
  </si>
  <si>
    <t>Sprocket's photo</t>
  </si>
  <si>
    <t>Number of seashells you've sold to the shop</t>
  </si>
  <si>
    <t>SellShell</t>
  </si>
  <si>
    <t>orange stone roof</t>
  </si>
  <si>
    <t>orange thatch roof</t>
  </si>
  <si>
    <t>pink curved shingles</t>
  </si>
  <si>
    <t>Clam and Collected</t>
  </si>
  <si>
    <t>Number of clams you've dug up</t>
  </si>
  <si>
    <t>DigShell</t>
  </si>
  <si>
    <t>pink tile roof</t>
  </si>
  <si>
    <t>Trash Fishin'</t>
  </si>
  <si>
    <t>purple tile roof</t>
  </si>
  <si>
    <t>Number of trash items (cans, tires, or boots) you've fished up</t>
  </si>
  <si>
    <t>CatchTrash</t>
  </si>
  <si>
    <t>red stone roof</t>
  </si>
  <si>
    <t>Cast Master</t>
  </si>
  <si>
    <t>Number of fish you've caught in a single streak without any getting away</t>
  </si>
  <si>
    <t>CatchFishContinuously</t>
  </si>
  <si>
    <t>red tile roof</t>
  </si>
  <si>
    <t>Dream House</t>
  </si>
  <si>
    <t>Number of times you've expanded your home</t>
  </si>
  <si>
    <t>ExtendMyHome</t>
  </si>
  <si>
    <t>white thatch roof</t>
  </si>
  <si>
    <t>Decorated Decorator</t>
  </si>
  <si>
    <t>yellow curved shingles</t>
  </si>
  <si>
    <t>Awarded the first time you get an "S" ranking from the HHA</t>
  </si>
  <si>
    <t>GetSRankonHHA</t>
  </si>
  <si>
    <t>yellow tile roof</t>
  </si>
  <si>
    <t>Hoard Reward</t>
  </si>
  <si>
    <t>Number of furniture pieces you've placed in your house</t>
  </si>
  <si>
    <t>PlaceFurnitureMyHouse</t>
  </si>
  <si>
    <t>beige stucco exterior</t>
  </si>
  <si>
    <t>Static's photo</t>
  </si>
  <si>
    <t>Good Things in Store!</t>
  </si>
  <si>
    <t>Number of items you've placed in your home storage</t>
  </si>
  <si>
    <t>Siding</t>
  </si>
  <si>
    <t>HouseStorageItem</t>
  </si>
  <si>
    <t>5th House Upgrade (2nd Floor)</t>
  </si>
  <si>
    <t>black chalet exterior</t>
  </si>
  <si>
    <t>Remarkable Remodeler</t>
  </si>
  <si>
    <t>Number of times you've remodeled the outside appearance of your home</t>
  </si>
  <si>
    <t>black common exterior</t>
  </si>
  <si>
    <t>ReformMyHome</t>
  </si>
  <si>
    <t>black stucco exterior</t>
  </si>
  <si>
    <t>Smile Isle</t>
  </si>
  <si>
    <t>Number of villager requests you've fulfilled (such as returning lost items)</t>
  </si>
  <si>
    <t>AchieveVillagersQuest</t>
  </si>
  <si>
    <t>blue cobblestone exterior</t>
  </si>
  <si>
    <t>blue stucco exterior</t>
  </si>
  <si>
    <t>Reaction Ruler</t>
  </si>
  <si>
    <t>Number of reactions you've learned</t>
  </si>
  <si>
    <t>FillReactionList</t>
  </si>
  <si>
    <t>blue-trim common exterior</t>
  </si>
  <si>
    <t>brown chalet exterior</t>
  </si>
  <si>
    <t>brown cobblestone exterior</t>
  </si>
  <si>
    <t>Island Shutterbug</t>
  </si>
  <si>
    <t>Awarded the first time you take a photo using the camera app on the NookPhone (screenshot button does not count, must use the app)</t>
  </si>
  <si>
    <t>TakePicture</t>
  </si>
  <si>
    <t>Smartphone</t>
  </si>
  <si>
    <t>chalet exterior</t>
  </si>
  <si>
    <t>chic cobblestone exterior</t>
  </si>
  <si>
    <t>Edit Credit</t>
  </si>
  <si>
    <t>Awarded the first time you edit your Passport (title, comment, or photo)</t>
  </si>
  <si>
    <t>cobblestone exterior</t>
  </si>
  <si>
    <t>UpdatePassport</t>
  </si>
  <si>
    <t>common exterior</t>
  </si>
  <si>
    <t>cream chalet exterior</t>
  </si>
  <si>
    <t>NookPhone Life</t>
  </si>
  <si>
    <t>Awarded after the 10th time you open your NookPhone</t>
  </si>
  <si>
    <t>BootPhoneBeginner</t>
  </si>
  <si>
    <t>gray cobblestone exterior</t>
  </si>
  <si>
    <t>Stella's photo</t>
  </si>
  <si>
    <t>That's One Smart Phone</t>
  </si>
  <si>
    <t>Awarded after the 1000th time you open your NookPhone</t>
  </si>
  <si>
    <t>gray stucco exterior</t>
  </si>
  <si>
    <t>BootPhone</t>
  </si>
  <si>
    <t>gray-trim common exterior</t>
  </si>
  <si>
    <t>Shop to It</t>
  </si>
  <si>
    <t>Number of times you've ordered from the Nook Shopping catalog</t>
  </si>
  <si>
    <t>BuyItemCatalog</t>
  </si>
  <si>
    <t>green cobblestone exterior</t>
  </si>
  <si>
    <t>Growing Collection</t>
  </si>
  <si>
    <t>Number of unique furniture pieces you've added to your catalog</t>
  </si>
  <si>
    <t>light-blue chalet exterior</t>
  </si>
  <si>
    <t>FillCatalog</t>
  </si>
  <si>
    <t>orange chalet exterior</t>
  </si>
  <si>
    <t>Nook Miles for Miles!</t>
  </si>
  <si>
    <t>Number of Nook Miles+ goals you've completed</t>
  </si>
  <si>
    <t>AchieveAppQuest</t>
  </si>
  <si>
    <t>orange cobblestone exterior</t>
  </si>
  <si>
    <t>First-Time Buyer</t>
  </si>
  <si>
    <t>Awarded the first time you purchase an item from a shop</t>
  </si>
  <si>
    <t>pink common exterior</t>
  </si>
  <si>
    <t>BuyItemRcm</t>
  </si>
  <si>
    <t>Money</t>
  </si>
  <si>
    <t>pink stucco exterior</t>
  </si>
  <si>
    <t>Seller of Unwanted Stuff</t>
  </si>
  <si>
    <t>Awarded the first time you sell and item to a shop</t>
  </si>
  <si>
    <t>SellItemRcm</t>
  </si>
  <si>
    <t>red chalet exterior</t>
  </si>
  <si>
    <t>Moving Fees Paid!</t>
  </si>
  <si>
    <t>Awarded when you pay off your initial loan using Nook Miles</t>
  </si>
  <si>
    <t>red cobblestone exterior</t>
  </si>
  <si>
    <t>PayImmigrationCost</t>
  </si>
  <si>
    <t>Sterling's photo</t>
  </si>
  <si>
    <t>red common exterior</t>
  </si>
  <si>
    <t>Bell Ringer</t>
  </si>
  <si>
    <t>Number of total bells you've spent in shops</t>
  </si>
  <si>
    <t>red stucco exterior</t>
  </si>
  <si>
    <t>HowmuchBuyItem</t>
  </si>
  <si>
    <t>red-trim common exterior</t>
  </si>
  <si>
    <t>Miles for Stalkholders</t>
  </si>
  <si>
    <t>Awarded the first time you purchase turnips</t>
  </si>
  <si>
    <t>BuyKabu</t>
  </si>
  <si>
    <t>white stucco exterior</t>
  </si>
  <si>
    <t>Cornering the Stalk Market</t>
  </si>
  <si>
    <t>Number of total bells you've profited from selling turnips</t>
  </si>
  <si>
    <t>yello stucco exterior</t>
  </si>
  <si>
    <t>HowmuchSellKabu</t>
  </si>
  <si>
    <t>yellow chalet exterior</t>
  </si>
  <si>
    <t>No More Loan Payments!</t>
  </si>
  <si>
    <t>Awarded after paying off your first house loan with bells</t>
  </si>
  <si>
    <t>RepayLoan</t>
  </si>
  <si>
    <t>yellow common exterior</t>
  </si>
  <si>
    <t>Bulletin-Board Benefit</t>
  </si>
  <si>
    <t>Awarded the first time you post a message on your town bulletin board</t>
  </si>
  <si>
    <t>PostMessageBoard</t>
  </si>
  <si>
    <t>Popular Pen Pal</t>
  </si>
  <si>
    <t>Number of letters you've sent</t>
  </si>
  <si>
    <t>SendLetter</t>
  </si>
  <si>
    <t>Stinky's photo</t>
  </si>
  <si>
    <t>Flea Flicker</t>
  </si>
  <si>
    <t>Number of times you've caught fleas off a villager</t>
  </si>
  <si>
    <t>CatchNomi</t>
  </si>
  <si>
    <t>Cicada Memories</t>
  </si>
  <si>
    <t>Awarded the first time you catch a cicada shell</t>
  </si>
  <si>
    <t>CatchSeminonukegara</t>
  </si>
  <si>
    <t>Netting Better!</t>
  </si>
  <si>
    <t>Awarded the first time you catch five wasps in a row without running away or getting stung</t>
  </si>
  <si>
    <t>CatchBeeContinuously</t>
  </si>
  <si>
    <t>Pit-y Party!</t>
  </si>
  <si>
    <t>Awarded the first time you bury a pitfall seed</t>
  </si>
  <si>
    <t>MakePitfall</t>
  </si>
  <si>
    <t>Taking the Sting Out</t>
  </si>
  <si>
    <t>Awarded the first time you get stung by a wasp</t>
  </si>
  <si>
    <t>BeStungbyWasp</t>
  </si>
  <si>
    <t>Negative</t>
  </si>
  <si>
    <t>Stitches's photo</t>
  </si>
  <si>
    <t>Faint of Heart</t>
  </si>
  <si>
    <t>Awarded the first time you get knocked out by a Scorpion or Tarantula</t>
  </si>
  <si>
    <t>BeStungbyPoisonousInsect</t>
  </si>
  <si>
    <t>Overcoming Pitfalls</t>
  </si>
  <si>
    <t>Awarded the first time you fall into a pitfall hole</t>
  </si>
  <si>
    <t>acorn</t>
  </si>
  <si>
    <t>FallintoPitfall</t>
  </si>
  <si>
    <t>Shaking a hardwood tree (Fall)</t>
  </si>
  <si>
    <t>Lost Treasure</t>
  </si>
  <si>
    <t>apple</t>
  </si>
  <si>
    <t>Awarded the first time a balloon present you shot lands in a body of water</t>
  </si>
  <si>
    <t>DropPresentinWater</t>
  </si>
  <si>
    <t>Apple tree</t>
  </si>
  <si>
    <t>apple tree</t>
  </si>
  <si>
    <t>It's Raining Treasure!</t>
  </si>
  <si>
    <t>Number of balloons you've shot down with a slingshot</t>
  </si>
  <si>
    <t>ShootDownBalloon</t>
  </si>
  <si>
    <t>Planting an apple</t>
  </si>
  <si>
    <t>LandMaking</t>
  </si>
  <si>
    <t>Aquarius fragment</t>
  </si>
  <si>
    <t>Wishing on shooting stars (January 20 - February 18)</t>
  </si>
  <si>
    <t>Aries fragment</t>
  </si>
  <si>
    <t>Fun with Fences</t>
  </si>
  <si>
    <t>Awarded the first time you place a fence</t>
  </si>
  <si>
    <t>BuildFence</t>
  </si>
  <si>
    <t>Wishing on shooting stars (March 21 - April 19)</t>
  </si>
  <si>
    <t>bamboo piece</t>
  </si>
  <si>
    <t>Snowmaestro</t>
  </si>
  <si>
    <t>Chopping a bamboo tree</t>
  </si>
  <si>
    <t>Number of perfect snow-people you've built</t>
  </si>
  <si>
    <t>bamboo shoot</t>
  </si>
  <si>
    <t>MakePerfectSnowball</t>
  </si>
  <si>
    <t>Dig spot near a bamboo tree</t>
  </si>
  <si>
    <t>bamboo tree</t>
  </si>
  <si>
    <t>Wishes Come True</t>
  </si>
  <si>
    <t>Stu's photo</t>
  </si>
  <si>
    <t>Number of shooting stars you've wished on.</t>
  </si>
  <si>
    <t>Planting a bamboo shoot</t>
  </si>
  <si>
    <t>Bell bag</t>
  </si>
  <si>
    <t>PrayShootingStar</t>
  </si>
  <si>
    <t>Glowing dig spot</t>
  </si>
  <si>
    <t>birthday cupcake</t>
  </si>
  <si>
    <t>black cosmos</t>
  </si>
  <si>
    <t>Exterior Decorator</t>
  </si>
  <si>
    <t>Awarded the first time you place some furniture outside</t>
  </si>
  <si>
    <t>PutFurnitureOutside</t>
  </si>
  <si>
    <t>Picking flowers</t>
  </si>
  <si>
    <t>black lilies</t>
  </si>
  <si>
    <t>(island name) Icons</t>
  </si>
  <si>
    <t>Awarded for changing your town tune and island flag for the first time</t>
  </si>
  <si>
    <t>ChangeSymbol</t>
  </si>
  <si>
    <t>black roses</t>
  </si>
  <si>
    <t>Island Designer</t>
  </si>
  <si>
    <t>Awarded the first time you use the Island Designer app to place a path, add/remove water, and build/destroy a cliff</t>
  </si>
  <si>
    <t>ModifyIsland</t>
  </si>
  <si>
    <t>black tulips</t>
  </si>
  <si>
    <t>black wrapping paper</t>
  </si>
  <si>
    <t>Wispy Island Secrets</t>
  </si>
  <si>
    <t>Number of times you've helped Wisp find the parts of his spirit</t>
  </si>
  <si>
    <t>HelpGst</t>
  </si>
  <si>
    <t>black-cosmos plant</t>
  </si>
  <si>
    <t>Red/red cosmos</t>
  </si>
  <si>
    <t>black-lily plant</t>
  </si>
  <si>
    <t>Gulliver's Travails</t>
  </si>
  <si>
    <t>Number of times you've helped Gulliver fix his communicator</t>
  </si>
  <si>
    <t>HelpGul</t>
  </si>
  <si>
    <t>Red/red lilies</t>
  </si>
  <si>
    <t>black-rose plant</t>
  </si>
  <si>
    <t>Sydney's photo</t>
  </si>
  <si>
    <t>Red/red roses</t>
  </si>
  <si>
    <t>K.K. Mania</t>
  </si>
  <si>
    <t>black-tulip plant</t>
  </si>
  <si>
    <t>Number of K.K. shows you've attended</t>
  </si>
  <si>
    <t>GotoTotakekeShow</t>
  </si>
  <si>
    <t>Red/red tulips</t>
  </si>
  <si>
    <t>Blathers's tent marker</t>
  </si>
  <si>
    <t>True Friends</t>
  </si>
  <si>
    <t>Number of villagers you've become good friends with</t>
  </si>
  <si>
    <t>BeFriendwithVillager</t>
  </si>
  <si>
    <t>blue hyacinths</t>
  </si>
  <si>
    <t>blue ornament</t>
  </si>
  <si>
    <t>Birthday Celebration</t>
  </si>
  <si>
    <t>Number of villager birthdays you've attended</t>
  </si>
  <si>
    <t>Shaking a cedar tree (Festive Season)</t>
  </si>
  <si>
    <t>blue pansies</t>
  </si>
  <si>
    <t>CelebrateVillagersBithday</t>
  </si>
  <si>
    <t>blue roses</t>
  </si>
  <si>
    <t>blue windflowers</t>
  </si>
  <si>
    <t>Happy Birthday!</t>
  </si>
  <si>
    <t>Awarded the first time you play on your character's birthday</t>
  </si>
  <si>
    <t>ReachMyBirthday</t>
  </si>
  <si>
    <t>blue wrapping paper</t>
  </si>
  <si>
    <t>blue-hyacinth plant</t>
  </si>
  <si>
    <t>Fishing Tourney!</t>
  </si>
  <si>
    <t>Awarded the first time you attend a fishing tourney in each season</t>
  </si>
  <si>
    <t>AttendFishingConvention</t>
  </si>
  <si>
    <t>White/white hyacinths</t>
  </si>
  <si>
    <t>blue-pansy plant</t>
  </si>
  <si>
    <t>White/white pansies</t>
  </si>
  <si>
    <t>Bug-Off!</t>
  </si>
  <si>
    <t>blue-rose plant</t>
  </si>
  <si>
    <t>Awarded the first time you attend a bug-off tourney in each season</t>
  </si>
  <si>
    <t>Sylvana's photo</t>
  </si>
  <si>
    <t>AttendInsectConvention</t>
  </si>
  <si>
    <t>Orange/orange roses</t>
  </si>
  <si>
    <t>blue-windflower plant</t>
  </si>
  <si>
    <t>White/white windflowers
Orange/white windflowers</t>
  </si>
  <si>
    <t>boot</t>
  </si>
  <si>
    <t>Countdown Celebration</t>
  </si>
  <si>
    <t>Awarded for attending the new year holiday event</t>
  </si>
  <si>
    <t>AttendCountdownParty</t>
  </si>
  <si>
    <t>Fishing</t>
  </si>
  <si>
    <t>bridge marker kit</t>
  </si>
  <si>
    <t>Making a Change</t>
  </si>
  <si>
    <t>brown wrapping paper</t>
  </si>
  <si>
    <t>Awarded the first time you use a wardrobe to change your character's outfit</t>
  </si>
  <si>
    <t>UseCloset</t>
  </si>
  <si>
    <t>MyDesign</t>
  </si>
  <si>
    <t>First Custom Design!</t>
  </si>
  <si>
    <t>Awarded the first time you use the Custom Design app to edit or create a design</t>
  </si>
  <si>
    <t>UseMydesign</t>
  </si>
  <si>
    <t>campsite moving kit</t>
  </si>
  <si>
    <t>Cancer fragment</t>
  </si>
  <si>
    <t>Custom Design Pro!</t>
  </si>
  <si>
    <t>Wishing on shooting stars (June 21 - July 22)</t>
  </si>
  <si>
    <t>Awarded the first time you use the Custom Design pro app to edit or create a design</t>
  </si>
  <si>
    <t>Capricorn fragment</t>
  </si>
  <si>
    <t>UseMydesignPRO</t>
  </si>
  <si>
    <t>Wishing on shooting stars (Dec 22 - Jan 19)</t>
  </si>
  <si>
    <t>cedar sapling</t>
  </si>
  <si>
    <t>Paydirt!</t>
  </si>
  <si>
    <t>Awarded the first time you dig up bells from a shining spot</t>
  </si>
  <si>
    <t>DigBell</t>
  </si>
  <si>
    <t>cedar tree</t>
  </si>
  <si>
    <t>Planting a cedar start</t>
  </si>
  <si>
    <t>chartreuse wrapping paper</t>
  </si>
  <si>
    <t>Sylvia's photo</t>
  </si>
  <si>
    <t>Shady Shakedown</t>
  </si>
  <si>
    <t>Number of furniture pieces you've found from shaking trees</t>
  </si>
  <si>
    <t>FallFurnitureLeaf</t>
  </si>
  <si>
    <t>cherry</t>
  </si>
  <si>
    <t>Golden Milestone</t>
  </si>
  <si>
    <t>Cherry tree</t>
  </si>
  <si>
    <t>Awarded for each unique golden tool you've equipped (shovel, net, fishing rod, watering can, axe, and slingshot)</t>
  </si>
  <si>
    <t>cherry tree</t>
  </si>
  <si>
    <t>CollectGoldTool</t>
  </si>
  <si>
    <t>Planting a cherry</t>
  </si>
  <si>
    <t>cherry-blossom petal</t>
  </si>
  <si>
    <t>Catching with a net (Cherry-Blossom Season)</t>
  </si>
  <si>
    <t>clay</t>
  </si>
  <si>
    <t>Island and Yourland</t>
  </si>
  <si>
    <t>Number of times you've visited another player's island (does not count mystery islands using Nook Miles Tickets)</t>
  </si>
  <si>
    <t>VisitAnotherIsland</t>
  </si>
  <si>
    <t>Hitting a rock</t>
  </si>
  <si>
    <t>clump of weeds</t>
  </si>
  <si>
    <t>On ground</t>
  </si>
  <si>
    <t>coconut</t>
  </si>
  <si>
    <t>Host the Most</t>
  </si>
  <si>
    <t>Number of other players that have visited your island</t>
  </si>
  <si>
    <t>Coconut tree</t>
  </si>
  <si>
    <t>InviteFriend</t>
  </si>
  <si>
    <t>coconut tree</t>
  </si>
  <si>
    <t>Planting a coconut</t>
  </si>
  <si>
    <t>coin</t>
  </si>
  <si>
    <t>Active Island Resident</t>
  </si>
  <si>
    <t>Number of total unique days you've played the game</t>
  </si>
  <si>
    <t>DayPlayed</t>
  </si>
  <si>
    <t>Shaking a tree</t>
  </si>
  <si>
    <t>communicator part</t>
  </si>
  <si>
    <t>Clam dig spot while on a quest for Gulliver</t>
  </si>
  <si>
    <t>conch</t>
  </si>
  <si>
    <t>Beach</t>
  </si>
  <si>
    <t>coral</t>
  </si>
  <si>
    <t>T-Bone's photo</t>
  </si>
  <si>
    <t>cowrie</t>
  </si>
  <si>
    <t>customization kit</t>
  </si>
  <si>
    <t>delivery</t>
  </si>
  <si>
    <t>Delivering item for a villager</t>
  </si>
  <si>
    <t>delivery box</t>
  </si>
  <si>
    <t>Nook Shopping</t>
  </si>
  <si>
    <t>DIY for Beginners</t>
  </si>
  <si>
    <t>earth egg</t>
  </si>
  <si>
    <t>Dig spot (Bunny Day)</t>
  </si>
  <si>
    <t>egg message bottle</t>
  </si>
  <si>
    <t>Beach (Bunny Day)</t>
  </si>
  <si>
    <t>elegant mushroom</t>
  </si>
  <si>
    <t>On ground (Mushroom Season)</t>
  </si>
  <si>
    <t>empty can</t>
  </si>
  <si>
    <t>Tabby's photo</t>
  </si>
  <si>
    <t xml:space="preserve">Crafting </t>
  </si>
  <si>
    <t>flat mushroom</t>
  </si>
  <si>
    <t>Flimsy Axe Recipe</t>
  </si>
  <si>
    <t>Flimsy Shovel Recipe</t>
  </si>
  <si>
    <t>Flimsy Watering Can Recipe</t>
  </si>
  <si>
    <t>fossil</t>
  </si>
  <si>
    <t>Dig spot</t>
  </si>
  <si>
    <t>Gemini fragment</t>
  </si>
  <si>
    <t>Wishing on shooting stars (May 21 - June 20)</t>
  </si>
  <si>
    <t>giant clam</t>
  </si>
  <si>
    <t>gold nugget</t>
  </si>
  <si>
    <t>gold ornament</t>
  </si>
  <si>
    <t>gold roses</t>
  </si>
  <si>
    <t>Tad's photo</t>
  </si>
  <si>
    <t>gold wrapping paper</t>
  </si>
  <si>
    <t>gold-rose plant</t>
  </si>
  <si>
    <t>Black/black roses
Water with gold watering can</t>
  </si>
  <si>
    <t>gray wrapping paper</t>
  </si>
  <si>
    <t>green mums</t>
  </si>
  <si>
    <t>green wrapping paper</t>
  </si>
  <si>
    <t>green-mum plant</t>
  </si>
  <si>
    <t>Tammi's photo</t>
  </si>
  <si>
    <t>Purple/purple mums</t>
  </si>
  <si>
    <t>hardwood</t>
  </si>
  <si>
    <t>Chopping a tree</t>
  </si>
  <si>
    <t>hardwood tree</t>
  </si>
  <si>
    <t>Planting a sapling</t>
  </si>
  <si>
    <t>housing kit</t>
  </si>
  <si>
    <t>incline marker kit</t>
  </si>
  <si>
    <t>iron nugget</t>
  </si>
  <si>
    <t>Ladder Recipe</t>
  </si>
  <si>
    <t>large snowflake</t>
  </si>
  <si>
    <t>Perfect Snowboy</t>
  </si>
  <si>
    <t>large star fragment</t>
  </si>
  <si>
    <t>Wishing on shooting stars</t>
  </si>
  <si>
    <t>leaf egg</t>
  </si>
  <si>
    <t>Shaking a hardwood tree (Bunny Day)</t>
  </si>
  <si>
    <t>Leo fragment</t>
  </si>
  <si>
    <t>Wishing on shooting stars (July 23 - August 22)</t>
  </si>
  <si>
    <t>Libra fragment</t>
  </si>
  <si>
    <t>Wishing on shooting stars (September 23 - October 22)</t>
  </si>
  <si>
    <t>light-blue wrapping paper</t>
  </si>
  <si>
    <t>Tammy's photo</t>
  </si>
  <si>
    <t>lily-of-the-valley plant</t>
  </si>
  <si>
    <t>5-star town status</t>
  </si>
  <si>
    <t>lost item</t>
  </si>
  <si>
    <t>manila clam</t>
  </si>
  <si>
    <t>maple leaf</t>
  </si>
  <si>
    <t>Catching with a net (Fall)</t>
  </si>
  <si>
    <t>message bottle</t>
  </si>
  <si>
    <t>mint wrapping paper</t>
  </si>
  <si>
    <t>Tangy's photo</t>
  </si>
  <si>
    <t>money tree</t>
  </si>
  <si>
    <t>Burying bells in a glowing spot</t>
  </si>
  <si>
    <t>moving kit</t>
  </si>
  <si>
    <t>museum moving kit</t>
  </si>
  <si>
    <t>navy wrapping paper</t>
  </si>
  <si>
    <t>old tire</t>
  </si>
  <si>
    <t>orange</t>
  </si>
  <si>
    <t>Orange tree</t>
  </si>
  <si>
    <t>orange cosmos</t>
  </si>
  <si>
    <t>orange hyacinths</t>
  </si>
  <si>
    <t>orange lilies</t>
  </si>
  <si>
    <t>Tank's photo</t>
  </si>
  <si>
    <t>orange pansies</t>
  </si>
  <si>
    <t>orange roses</t>
  </si>
  <si>
    <t>orange tree</t>
  </si>
  <si>
    <t>Planting an orange</t>
  </si>
  <si>
    <t>orange tulips</t>
  </si>
  <si>
    <t>orange windflowers</t>
  </si>
  <si>
    <t>orange wrapping paper</t>
  </si>
  <si>
    <t>orange-cosmos plant</t>
  </si>
  <si>
    <t>Red/yellow cosmos</t>
  </si>
  <si>
    <t>orange-hyacinth plant</t>
  </si>
  <si>
    <t>Red/yellow hyacinths</t>
  </si>
  <si>
    <t>orange-lily plant</t>
  </si>
  <si>
    <t>Tasha's photo</t>
  </si>
  <si>
    <t>Red/yellow lilies</t>
  </si>
  <si>
    <t>orange-pansy plant</t>
  </si>
  <si>
    <t>Red/yellow pansies</t>
  </si>
  <si>
    <t>orange-rose plant</t>
  </si>
  <si>
    <t>Red/yellow roses</t>
  </si>
  <si>
    <t>orange-tulip plant</t>
  </si>
  <si>
    <t>Red/yellow tulips</t>
  </si>
  <si>
    <t>orange-windflower bag</t>
  </si>
  <si>
    <t>orange-windflower plant</t>
  </si>
  <si>
    <t>Seed bag</t>
  </si>
  <si>
    <t>peach</t>
  </si>
  <si>
    <t>Peach tree</t>
  </si>
  <si>
    <t>peach tree</t>
  </si>
  <si>
    <t>Planting a peach</t>
  </si>
  <si>
    <t>pear</t>
  </si>
  <si>
    <t>Pear tree</t>
  </si>
  <si>
    <t>pear tree</t>
  </si>
  <si>
    <t>Planting a pear</t>
  </si>
  <si>
    <t>pine cone</t>
  </si>
  <si>
    <t>Teddy's photo</t>
  </si>
  <si>
    <t>Shaking a cedar tree (Fall)</t>
  </si>
  <si>
    <t>pink cosmos</t>
  </si>
  <si>
    <t>pink hyacinths</t>
  </si>
  <si>
    <t>pink lilies</t>
  </si>
  <si>
    <t>pink mums</t>
  </si>
  <si>
    <t>pink roses</t>
  </si>
  <si>
    <t>pink tulips</t>
  </si>
  <si>
    <t>pink windflowers</t>
  </si>
  <si>
    <t>pink wrapping paper</t>
  </si>
  <si>
    <t>pink-cosmos plant</t>
  </si>
  <si>
    <t>Red/white cosmos</t>
  </si>
  <si>
    <t>pink-hyacinth plant</t>
  </si>
  <si>
    <t>Red/white hyacinths</t>
  </si>
  <si>
    <t>pink-lily plant</t>
  </si>
  <si>
    <t>Red/white lilies</t>
  </si>
  <si>
    <t>Tex's photo</t>
  </si>
  <si>
    <t>pink-mum plant</t>
  </si>
  <si>
    <t>Red/white mums</t>
  </si>
  <si>
    <t>pink-rose plant</t>
  </si>
  <si>
    <t>Red/white roses</t>
  </si>
  <si>
    <t>pink-tulip plant</t>
  </si>
  <si>
    <t>Red/white tulips</t>
  </si>
  <si>
    <t>pink-windflower plant</t>
  </si>
  <si>
    <t>Red/orange windflowers</t>
  </si>
  <si>
    <t>Pisces fragment</t>
  </si>
  <si>
    <t>Wishing on shooting stars (February 19 - March 20)</t>
  </si>
  <si>
    <t>plot 1 housing kit</t>
  </si>
  <si>
    <t>plot 2 housing kit</t>
  </si>
  <si>
    <t>plot 3 housing kit</t>
  </si>
  <si>
    <t>present</t>
  </si>
  <si>
    <t>Mail</t>
  </si>
  <si>
    <t>present (black)</t>
  </si>
  <si>
    <t>Wrapping a present</t>
  </si>
  <si>
    <t>present (blue)</t>
  </si>
  <si>
    <t>present (brown)</t>
  </si>
  <si>
    <t>present (chartreuse)</t>
  </si>
  <si>
    <t>Tia's photo</t>
  </si>
  <si>
    <t>present (gold)</t>
  </si>
  <si>
    <t>present (gray)</t>
  </si>
  <si>
    <t>present (green)</t>
  </si>
  <si>
    <t>present (light-blue)</t>
  </si>
  <si>
    <t>present (mint)</t>
  </si>
  <si>
    <t>present (navy)</t>
  </si>
  <si>
    <t>present (orange)</t>
  </si>
  <si>
    <t>present (pink)</t>
  </si>
  <si>
    <t>present (purple)</t>
  </si>
  <si>
    <t>present (red)</t>
  </si>
  <si>
    <t>Tiffany's photo</t>
  </si>
  <si>
    <t>present (white)</t>
  </si>
  <si>
    <t>present (yellow)</t>
  </si>
  <si>
    <t>purple hyacinths</t>
  </si>
  <si>
    <t>purple mums</t>
  </si>
  <si>
    <t>purple pansies</t>
  </si>
  <si>
    <t>purple roses</t>
  </si>
  <si>
    <t>purple tulips</t>
  </si>
  <si>
    <t>purple windflowers</t>
  </si>
  <si>
    <t>purple wrapping paper</t>
  </si>
  <si>
    <t>purple-hyacinth plant</t>
  </si>
  <si>
    <t>Blue/blue hyacinths</t>
  </si>
  <si>
    <t>purple-mum plant</t>
  </si>
  <si>
    <t>Timbra's photo</t>
  </si>
  <si>
    <t>White/white mums</t>
  </si>
  <si>
    <t>purple-pansy plant</t>
  </si>
  <si>
    <t>Blue/blue pansies</t>
  </si>
  <si>
    <t>purple-rose plant</t>
  </si>
  <si>
    <t>White/white roses</t>
  </si>
  <si>
    <t>purple-tulip plant</t>
  </si>
  <si>
    <t>Orange/orange tulips</t>
  </si>
  <si>
    <t>purple-windflower plant</t>
  </si>
  <si>
    <t>Blue/blue windflowers
Blue/pink windflowers</t>
  </si>
  <si>
    <t>rare mushroom</t>
  </si>
  <si>
    <t>red cosmos</t>
  </si>
  <si>
    <t>red hyacinths</t>
  </si>
  <si>
    <t>red lilies</t>
  </si>
  <si>
    <t>Tipper's photo</t>
  </si>
  <si>
    <t>red mums</t>
  </si>
  <si>
    <t>red ornament</t>
  </si>
  <si>
    <t>red pansies</t>
  </si>
  <si>
    <t>red roses</t>
  </si>
  <si>
    <t>red tulips</t>
  </si>
  <si>
    <t>red windflowers</t>
  </si>
  <si>
    <t>red wrapping paper</t>
  </si>
  <si>
    <t>Tom's photo</t>
  </si>
  <si>
    <t>red-cosmos bag</t>
  </si>
  <si>
    <t>red-cosmos plant</t>
  </si>
  <si>
    <t>red-hyacinth bag</t>
  </si>
  <si>
    <t>red-hyacinth plant</t>
  </si>
  <si>
    <t>red-lily bag</t>
  </si>
  <si>
    <t>red-lily plant</t>
  </si>
  <si>
    <t>Truffles's photo</t>
  </si>
  <si>
    <t>red-mum bag</t>
  </si>
  <si>
    <t>red-mum plant</t>
  </si>
  <si>
    <t>red-pansy bag</t>
  </si>
  <si>
    <t>red-pansy plant</t>
  </si>
  <si>
    <t>red-rose bag</t>
  </si>
  <si>
    <t>red-rose plant</t>
  </si>
  <si>
    <t>red-tulip bag</t>
  </si>
  <si>
    <t>red-tulip plant</t>
  </si>
  <si>
    <t>red-windflower bag</t>
  </si>
  <si>
    <t>Tucker's photo</t>
  </si>
  <si>
    <t>red-windflower plant</t>
  </si>
  <si>
    <t>round mushroom</t>
  </si>
  <si>
    <t>rusted part</t>
  </si>
  <si>
    <t>Recycle Box</t>
  </si>
  <si>
    <t>Sagittarius fragment</t>
  </si>
  <si>
    <t>Wishing on shooting stars (November 22 - December 21)</t>
  </si>
  <si>
    <t>Saharah Ticket</t>
  </si>
  <si>
    <t>sand dollar</t>
  </si>
  <si>
    <t>sapling</t>
  </si>
  <si>
    <t>scallop</t>
  </si>
  <si>
    <t>Unobtainable?</t>
  </si>
  <si>
    <t>Scorpius fragment</t>
  </si>
  <si>
    <t>Wishing on shooting stars (October 23 - November 21)</t>
  </si>
  <si>
    <t>sea snail</t>
  </si>
  <si>
    <t>shop construction kit</t>
  </si>
  <si>
    <t>shop moving kit</t>
  </si>
  <si>
    <t>skinny mushroom</t>
  </si>
  <si>
    <t>sky egg</t>
  </si>
  <si>
    <t>Tutu's photo</t>
  </si>
  <si>
    <t>Colorful balloon (Bunny Day)</t>
  </si>
  <si>
    <t>Slingshot Recipe</t>
  </si>
  <si>
    <t>snowflake</t>
  </si>
  <si>
    <t>Catching with a net (Winter)</t>
  </si>
  <si>
    <t>softwood</t>
  </si>
  <si>
    <t>spoiled turnips</t>
  </si>
  <si>
    <t>Expired turnips</t>
  </si>
  <si>
    <t>star fragment</t>
  </si>
  <si>
    <t>stone</t>
  </si>
  <si>
    <t>stone egg</t>
  </si>
  <si>
    <t>Hitting a rock (Bunny Day)</t>
  </si>
  <si>
    <t>summer shell</t>
  </si>
  <si>
    <t>Beach (Summer)</t>
  </si>
  <si>
    <t>tailors construction kit</t>
  </si>
  <si>
    <t>tailors moving kit</t>
  </si>
  <si>
    <t>tailors ticket</t>
  </si>
  <si>
    <t>Label</t>
  </si>
  <si>
    <t>Taurus fragment</t>
  </si>
  <si>
    <t>Wishing on shooting stars (April 20 - May 20)</t>
  </si>
  <si>
    <t>Twiggy's photo</t>
  </si>
  <si>
    <t>tent</t>
  </si>
  <si>
    <t>Test Your DIY Skills</t>
  </si>
  <si>
    <t>treasure</t>
  </si>
  <si>
    <t>tree branch</t>
  </si>
  <si>
    <t>Shaking a hardwood or cedar tree</t>
  </si>
  <si>
    <t>turnips</t>
  </si>
  <si>
    <t>Daisy Mae (Sundays)</t>
  </si>
  <si>
    <t>Vaulting Pole Recipe</t>
  </si>
  <si>
    <t>venus comb</t>
  </si>
  <si>
    <t>Virgo fragment</t>
  </si>
  <si>
    <t>Wishing on shooting stars (August 23 - September 22)</t>
  </si>
  <si>
    <t>wasp nest</t>
  </si>
  <si>
    <t>water egg</t>
  </si>
  <si>
    <t>Fishing (Bunny Day)</t>
  </si>
  <si>
    <t>What was this again?</t>
  </si>
  <si>
    <t>Don't return lost item</t>
  </si>
  <si>
    <t>Tybalt's photo</t>
  </si>
  <si>
    <t>white cosmos</t>
  </si>
  <si>
    <t>white hyacinths</t>
  </si>
  <si>
    <t>white lilies</t>
  </si>
  <si>
    <t>white mums</t>
  </si>
  <si>
    <t>white pansies</t>
  </si>
  <si>
    <t>white roses</t>
  </si>
  <si>
    <t>white tulips</t>
  </si>
  <si>
    <t>white windflowers</t>
  </si>
  <si>
    <t>white wrapping paper</t>
  </si>
  <si>
    <t>white-cosmos bag</t>
  </si>
  <si>
    <t>white-cosmos plant</t>
  </si>
  <si>
    <t>white-hyacinth bag</t>
  </si>
  <si>
    <t>white-hyacinth plant</t>
  </si>
  <si>
    <t>white-lily bag</t>
  </si>
  <si>
    <t>white-lily plant</t>
  </si>
  <si>
    <t>Ursala's photo</t>
  </si>
  <si>
    <t>white-mum bag</t>
  </si>
  <si>
    <t>white-mum plant</t>
  </si>
  <si>
    <t>white-pansy bag</t>
  </si>
  <si>
    <t>white-pansy plant</t>
  </si>
  <si>
    <t>white-rose bag</t>
  </si>
  <si>
    <t>white-rose plant</t>
  </si>
  <si>
    <t>white-tulip bag</t>
  </si>
  <si>
    <t>white-tulip plant</t>
  </si>
  <si>
    <t>white-windflower bag</t>
  </si>
  <si>
    <t>white-windflower plant</t>
  </si>
  <si>
    <t>Wildest Dreams DIY</t>
  </si>
  <si>
    <t>Wisp spirit piece</t>
  </si>
  <si>
    <t>Catching with a net while on a quest for Wisp</t>
  </si>
  <si>
    <t>wood</t>
  </si>
  <si>
    <t>Velma's photo</t>
  </si>
  <si>
    <t>wood egg</t>
  </si>
  <si>
    <t>Chopping a tree (Bunny Day)</t>
  </si>
  <si>
    <t>yellow cosmos</t>
  </si>
  <si>
    <t>yellow hyacinths</t>
  </si>
  <si>
    <t>yellow lilies</t>
  </si>
  <si>
    <t>yellow mums</t>
  </si>
  <si>
    <t>yellow pansies</t>
  </si>
  <si>
    <t>yellow roses</t>
  </si>
  <si>
    <t>yellow tulips</t>
  </si>
  <si>
    <t>yellow wrapping paper</t>
  </si>
  <si>
    <t>yellow-cosmos bag</t>
  </si>
  <si>
    <t>yellow-cosmos plant</t>
  </si>
  <si>
    <t>yellow-hyacinth bag</t>
  </si>
  <si>
    <t>yellow-hyacinth plant</t>
  </si>
  <si>
    <t>yellow-lily bag</t>
  </si>
  <si>
    <t>yellow-lily plant</t>
  </si>
  <si>
    <t>Vesta's photo</t>
  </si>
  <si>
    <t>yellow-mum bag</t>
  </si>
  <si>
    <t>yellow-mum plant</t>
  </si>
  <si>
    <t>yellow-pansy bag</t>
  </si>
  <si>
    <t>yellow-pansy plant</t>
  </si>
  <si>
    <t>yellow-rose bag</t>
  </si>
  <si>
    <t>yellow-rose plant</t>
  </si>
  <si>
    <t>yellow-tulip bag</t>
  </si>
  <si>
    <t>yellow-tulip plant</t>
  </si>
  <si>
    <t>young spring bamboo</t>
  </si>
  <si>
    <t>Chopping a bamboo tree (Spring)</t>
  </si>
  <si>
    <t>Vic's photo</t>
  </si>
  <si>
    <t>Victoria's photo</t>
  </si>
  <si>
    <t>Violet's photo</t>
  </si>
  <si>
    <t>Vivian's photo</t>
  </si>
  <si>
    <t>Vladimir's photo</t>
  </si>
  <si>
    <t>Wade's photo</t>
  </si>
  <si>
    <t>Walker's photo</t>
  </si>
  <si>
    <t>Walt's photo</t>
  </si>
  <si>
    <t>Wart Jr.'s photo</t>
  </si>
  <si>
    <t>Weber's photo</t>
  </si>
  <si>
    <t>Wendy's photo</t>
  </si>
  <si>
    <t>Whitney's photo</t>
  </si>
  <si>
    <t>Willow's photo</t>
  </si>
  <si>
    <t>Winnie's photo</t>
  </si>
  <si>
    <t>Wolfgang's photo</t>
  </si>
  <si>
    <t>Yuka's photo</t>
  </si>
  <si>
    <t>Zell's photo</t>
  </si>
  <si>
    <t>Zucker's photo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</si>
</sst>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
    <numFmt numFmtId="165" formatCode="h:mm am/pm"/>
  </numFmts>
  <fonts count="20">
    <font>
      <sz val="10.0"/>
      <color rgb="FF000000"/>
      <name val="Arial"/>
    </font>
    <font>
      <b/>
      <color theme="1"/>
      <name val="Arial"/>
    </font>
    <font>
      <u/>
      <color rgb="FF0000FF"/>
    </font>
    <font>
      <color rgb="FF000000"/>
      <name val="Arial"/>
    </font>
    <font>
      <b/>
      <color rgb="FF000000"/>
      <name val="Arial"/>
    </font>
    <font>
      <b/>
      <sz val="10.0"/>
      <color rgb="FF000000"/>
      <name val="Arial"/>
    </font>
    <font>
      <b/>
      <sz val="10.0"/>
      <color theme="1"/>
      <name val="Arial"/>
    </font>
    <font>
      <b/>
      <u/>
      <color rgb="FF1155CC"/>
      <name val="Arial"/>
    </font>
    <font>
      <color theme="1"/>
      <name val="Arial"/>
    </font>
    <font>
      <u/>
      <color rgb="FF0000FF"/>
    </font>
    <font>
      <u/>
      <color rgb="FF1155CC"/>
      <name val="Arial"/>
    </font>
    <font>
      <b/>
      <name val="Arial"/>
    </font>
    <font>
      <name val="Arial"/>
    </font>
    <font>
      <sz val="10.0"/>
      <color theme="1"/>
      <name val="Arial"/>
    </font>
    <font>
      <u/>
      <color rgb="FF0000FF"/>
      <name val="Arial"/>
    </font>
    <font>
      <u/>
      <color rgb="FF1155CC"/>
    </font>
    <font>
      <sz val="11.0"/>
      <color theme="1"/>
      <name val="Arial"/>
    </font>
    <font>
      <sz val="11.0"/>
      <color rgb="FF000000"/>
      <name val="Inconsolata"/>
    </font>
    <font>
      <u/>
      <sz val="10.0"/>
      <color rgb="FF0000FF"/>
    </font>
    <font>
      <sz val="12.0"/>
      <color rgb="FFFFFFFF"/>
      <name val="Whitney"/>
    </font>
  </fonts>
  <fills count="3">
    <fill>
      <patternFill patternType="none"/>
    </fill>
    <fill>
      <patternFill patternType="lightGray"/>
    </fill>
    <fill>
      <patternFill patternType="solid">
        <fgColor rgb="FFFFFFFF"/>
        <bgColor rgb="FFFFFFFF"/>
      </patternFill>
    </fill>
  </fills>
  <borders count="2">
    <border/>
    <border>
      <left style="thin">
        <color rgb="FF000000"/>
      </lef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shrinkToFit="0" vertical="top" wrapText="1"/>
    </xf>
    <xf borderId="0" fillId="0" fontId="1" numFmtId="0" xfId="0" applyAlignment="1" applyFont="1">
      <alignment horizontal="center" vertical="center"/>
    </xf>
    <xf borderId="0" fillId="0" fontId="3" numFmtId="0" xfId="0" applyAlignment="1" applyFont="1">
      <alignment readingOrder="0" shrinkToFit="0" vertical="top" wrapText="1"/>
    </xf>
    <xf borderId="0" fillId="0" fontId="4" numFmtId="0" xfId="0" applyAlignment="1" applyFont="1">
      <alignment horizontal="center" vertical="center"/>
    </xf>
    <xf borderId="0" fillId="0" fontId="5" numFmtId="0" xfId="0" applyAlignment="1" applyFont="1">
      <alignment horizontal="left" shrinkToFit="0" vertical="center" wrapText="1"/>
    </xf>
    <xf borderId="0" fillId="0" fontId="1" numFmtId="0" xfId="0" applyAlignment="1" applyFont="1">
      <alignment horizontal="center" shrinkToFit="0" vertical="center" wrapText="1"/>
    </xf>
    <xf borderId="0" fillId="0" fontId="6" numFmtId="0" xfId="0" applyAlignment="1" applyFont="1">
      <alignment horizontal="center" shrinkToFit="0" vertical="center" wrapText="0"/>
    </xf>
    <xf borderId="0" fillId="0" fontId="7" numFmtId="0" xfId="0" applyAlignment="1" applyFont="1">
      <alignment shrinkToFit="0" vertical="top" wrapText="1"/>
    </xf>
    <xf borderId="0" fillId="0" fontId="5" numFmtId="0" xfId="0" applyAlignment="1" applyFont="1">
      <alignment horizontal="center" shrinkToFit="0" vertical="center" wrapText="0"/>
    </xf>
    <xf borderId="0" fillId="0" fontId="1" numFmtId="0" xfId="0" applyAlignment="1" applyFont="1">
      <alignment shrinkToFit="0" vertical="top" wrapText="1"/>
    </xf>
    <xf borderId="0" fillId="0" fontId="6" numFmtId="0" xfId="0" applyAlignment="1" applyFont="1">
      <alignment horizontal="left" shrinkToFit="0" vertical="center" wrapText="0"/>
    </xf>
    <xf borderId="0" fillId="0" fontId="8" numFmtId="0" xfId="0" applyAlignment="1" applyFont="1">
      <alignment horizontal="left" vertical="center"/>
    </xf>
    <xf borderId="0" fillId="0" fontId="4" numFmtId="0" xfId="0" applyAlignment="1" applyFont="1">
      <alignment readingOrder="0" shrinkToFit="0" vertical="top" wrapText="1"/>
    </xf>
    <xf borderId="0" fillId="0" fontId="8" numFmtId="0" xfId="0" applyAlignment="1" applyFont="1">
      <alignment horizontal="center" vertical="center"/>
    </xf>
    <xf borderId="0" fillId="0" fontId="1" numFmtId="0" xfId="0" applyAlignment="1" applyFont="1">
      <alignment horizontal="left" shrinkToFit="0" vertical="center" wrapText="1"/>
    </xf>
    <xf borderId="0" fillId="0" fontId="9" numFmtId="0" xfId="0" applyAlignment="1" applyFont="1">
      <alignment horizontal="center" vertical="center"/>
    </xf>
    <xf borderId="0" fillId="0" fontId="3" numFmtId="0" xfId="0" applyAlignment="1" applyFont="1">
      <alignment shrinkToFit="0" vertical="top" wrapText="1"/>
    </xf>
    <xf borderId="0" fillId="0" fontId="8" numFmtId="0" xfId="0" applyAlignment="1" applyFont="1">
      <alignment horizontal="center" shrinkToFit="0" vertical="center" wrapText="1"/>
    </xf>
    <xf borderId="0" fillId="0" fontId="4" numFmtId="0" xfId="0" applyAlignment="1" applyFont="1">
      <alignment shrinkToFit="0" vertical="top" wrapText="1"/>
    </xf>
    <xf borderId="0" fillId="0" fontId="8" numFmtId="0" xfId="0" applyAlignment="1" applyFont="1">
      <alignment horizontal="left" shrinkToFit="0" vertical="center" wrapText="1"/>
    </xf>
    <xf borderId="0" fillId="0" fontId="10" numFmtId="0" xfId="0" applyAlignment="1" applyFont="1">
      <alignment horizontal="center" vertical="center"/>
    </xf>
    <xf borderId="0" fillId="0" fontId="8" numFmtId="0" xfId="0" applyAlignment="1" applyFont="1">
      <alignment vertical="center"/>
    </xf>
    <xf borderId="0" fillId="0" fontId="3" numFmtId="0" xfId="0" applyAlignment="1" applyFont="1">
      <alignment horizontal="left" vertical="center"/>
    </xf>
    <xf borderId="0" fillId="0" fontId="3" numFmtId="0" xfId="0" applyAlignment="1" applyFont="1">
      <alignment horizontal="center" vertical="center"/>
    </xf>
    <xf borderId="0" fillId="0" fontId="11" numFmtId="0" xfId="0" applyAlignment="1" applyFont="1">
      <alignment horizontal="center" shrinkToFit="0" wrapText="1"/>
    </xf>
    <xf borderId="0" fillId="0" fontId="4" numFmtId="0" xfId="0" applyAlignment="1" applyFont="1">
      <alignment horizontal="center" shrinkToFit="0" wrapText="1"/>
    </xf>
    <xf borderId="0" fillId="0" fontId="12" numFmtId="0" xfId="0" applyAlignment="1" applyFont="1">
      <alignment horizontal="center" shrinkToFit="0" wrapText="1"/>
    </xf>
    <xf borderId="0" fillId="0" fontId="8" numFmtId="0" xfId="0" applyAlignment="1" applyFont="1">
      <alignment horizontal="center" shrinkToFit="0" wrapText="1"/>
    </xf>
    <xf borderId="0" fillId="0" fontId="12" numFmtId="0" xfId="0" applyAlignment="1" applyFont="1">
      <alignment horizontal="center" shrinkToFit="0" wrapText="1"/>
    </xf>
    <xf borderId="0" fillId="0" fontId="12" numFmtId="49" xfId="0" applyAlignment="1" applyFont="1" applyNumberFormat="1">
      <alignment horizontal="center" shrinkToFit="0" wrapText="1"/>
    </xf>
    <xf borderId="0" fillId="0" fontId="13" numFmtId="0" xfId="0" applyAlignment="1" applyFont="1">
      <alignment horizontal="center" vertical="center"/>
    </xf>
    <xf borderId="0" fillId="0" fontId="14" numFmtId="0" xfId="0" applyAlignment="1" applyFont="1">
      <alignment horizontal="center" vertical="center"/>
    </xf>
    <xf borderId="0" fillId="0" fontId="3" numFmtId="0" xfId="0" applyAlignment="1" applyFont="1">
      <alignment horizontal="center" shrinkToFit="0" wrapText="1"/>
    </xf>
    <xf borderId="0" fillId="0" fontId="3" numFmtId="0" xfId="0" applyAlignment="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vertical="center"/>
    </xf>
    <xf borderId="0" fillId="0" fontId="8" numFmtId="0" xfId="0" applyAlignment="1" applyFont="1">
      <alignment horizontal="left" shrinkToFit="0" vertical="center" wrapText="0"/>
    </xf>
    <xf borderId="0" fillId="0" fontId="3" numFmtId="0" xfId="0" applyAlignment="1" applyFont="1">
      <alignment horizontal="left" readingOrder="0" vertical="center"/>
    </xf>
    <xf borderId="0" fillId="0" fontId="15" numFmtId="0" xfId="0" applyAlignment="1" applyFont="1">
      <alignment horizontal="center" vertical="center"/>
    </xf>
    <xf borderId="0" fillId="0" fontId="8" numFmtId="0" xfId="0" applyFont="1"/>
    <xf borderId="0" fillId="0" fontId="8" numFmtId="0" xfId="0" applyAlignment="1" applyFont="1">
      <alignment horizontal="center" shrinkToFit="0" vertical="center" wrapText="0"/>
    </xf>
    <xf borderId="0" fillId="0" fontId="3" numFmtId="0" xfId="0" applyAlignment="1" applyFont="1">
      <alignment horizontal="left" shrinkToFit="0" vertical="center" wrapText="0"/>
    </xf>
    <xf borderId="0" fillId="0" fontId="3" numFmtId="0" xfId="0" applyAlignment="1" applyFont="1">
      <alignment horizontal="center" shrinkToFit="0" vertical="center" wrapText="0"/>
    </xf>
    <xf borderId="0" fillId="0" fontId="4" numFmtId="0" xfId="0" applyAlignment="1" applyFont="1">
      <alignment horizontal="center" shrinkToFit="0" vertical="center" wrapText="1"/>
    </xf>
    <xf borderId="0" fillId="0" fontId="16" numFmtId="0" xfId="0" applyAlignment="1" applyFont="1">
      <alignment horizontal="center" vertical="center"/>
    </xf>
    <xf borderId="0" fillId="0" fontId="1" numFmtId="0" xfId="0" applyAlignment="1" applyFont="1">
      <alignment vertical="center"/>
    </xf>
    <xf borderId="0" fillId="0" fontId="8" numFmtId="11" xfId="0" applyAlignment="1" applyFont="1" applyNumberFormat="1">
      <alignment vertical="bottom"/>
    </xf>
    <xf borderId="0" fillId="2" fontId="17" numFmtId="0" xfId="0" applyAlignment="1" applyFill="1" applyFont="1">
      <alignment horizontal="left"/>
    </xf>
    <xf borderId="0" fillId="0" fontId="4" numFmtId="0" xfId="0" applyAlignment="1" applyFont="1">
      <alignment horizontal="left" shrinkToFit="0" vertical="center" wrapText="1"/>
    </xf>
    <xf borderId="0" fillId="0" fontId="8" numFmtId="0" xfId="0" applyAlignment="1" applyFont="1">
      <alignment vertical="bottom"/>
    </xf>
    <xf borderId="0" fillId="2" fontId="3" numFmtId="0" xfId="0" applyAlignment="1" applyFont="1">
      <alignment horizontal="left" vertical="center"/>
    </xf>
    <xf borderId="1" fillId="0" fontId="1" numFmtId="0" xfId="0" applyAlignment="1" applyBorder="1" applyFont="1">
      <alignment horizontal="left" vertical="center"/>
    </xf>
    <xf borderId="0" fillId="0" fontId="5" numFmtId="0" xfId="0" applyAlignment="1" applyFont="1">
      <alignment horizontal="center" vertical="center"/>
    </xf>
    <xf borderId="0" fillId="0" fontId="6" numFmtId="0" xfId="0" applyAlignment="1" applyFont="1">
      <alignment horizontal="center" vertical="center"/>
    </xf>
    <xf borderId="0" fillId="0" fontId="1" numFmtId="164" xfId="0" applyAlignment="1" applyFont="1" applyNumberFormat="1">
      <alignment horizontal="center" vertical="center"/>
    </xf>
    <xf borderId="0" fillId="0" fontId="8" numFmtId="164" xfId="0" applyAlignment="1" applyFont="1" applyNumberFormat="1">
      <alignment horizontal="center" vertical="center"/>
    </xf>
    <xf borderId="0" fillId="0" fontId="8" numFmtId="164" xfId="0" applyAlignment="1" applyFont="1" applyNumberFormat="1">
      <alignment vertical="center"/>
    </xf>
    <xf borderId="0" fillId="0" fontId="18" numFmtId="0" xfId="0" applyAlignment="1" applyFont="1">
      <alignment horizontal="center" vertical="center"/>
    </xf>
    <xf borderId="0" fillId="2" fontId="17" numFmtId="0" xfId="0" applyFont="1"/>
    <xf borderId="0" fillId="2" fontId="19" numFmtId="0" xfId="0" applyFont="1"/>
    <xf borderId="0" fillId="0" fontId="8" numFmtId="11" xfId="0" applyAlignment="1" applyFont="1" applyNumberFormat="1">
      <alignment horizontal="left" vertical="center"/>
    </xf>
    <xf borderId="0" fillId="0" fontId="8" numFmtId="11" xfId="0" applyAlignment="1" applyFont="1" applyNumberFormat="1">
      <alignment horizontal="center" vertical="bottom"/>
    </xf>
    <xf borderId="0" fillId="0" fontId="8" numFmtId="11" xfId="0" applyAlignment="1" applyFont="1" applyNumberFormat="1">
      <alignment vertical="center"/>
    </xf>
    <xf borderId="0" fillId="0" fontId="3" numFmtId="164" xfId="0" applyAlignment="1" applyFont="1" applyNumberFormat="1">
      <alignment horizontal="left" vertical="center"/>
    </xf>
    <xf borderId="0" fillId="0" fontId="3" numFmtId="0" xfId="0" applyAlignment="1" applyFont="1">
      <alignment horizontal="center" readingOrder="0" vertical="center"/>
    </xf>
    <xf borderId="0" fillId="0" fontId="12" numFmtId="0" xfId="0" applyAlignment="1" applyFont="1">
      <alignment horizontal="center" vertical="center"/>
    </xf>
    <xf borderId="0" fillId="0" fontId="4" numFmtId="0" xfId="0" applyAlignment="1" applyFont="1">
      <alignment vertical="center"/>
    </xf>
    <xf borderId="0" fillId="0" fontId="5" numFmtId="0" xfId="0" applyAlignment="1" applyFont="1">
      <alignment horizontal="center" shrinkToFit="0" vertical="center" wrapText="1"/>
    </xf>
    <xf borderId="0" fillId="0" fontId="6" numFmtId="0" xfId="0" applyAlignment="1" applyFont="1">
      <alignment horizontal="left" vertical="center"/>
    </xf>
    <xf borderId="0" fillId="0" fontId="0" numFmtId="0" xfId="0" applyAlignment="1" applyFont="1">
      <alignment horizontal="center" vertical="center"/>
    </xf>
    <xf borderId="0" fillId="0" fontId="13" numFmtId="0" xfId="0" applyAlignment="1" applyFont="1">
      <alignment horizontal="left" vertical="center"/>
    </xf>
    <xf borderId="0" fillId="0" fontId="5" numFmtId="0" xfId="0" applyAlignment="1" applyFont="1">
      <alignment horizontal="left" shrinkToFit="0" vertical="center" wrapText="0"/>
    </xf>
    <xf borderId="0" fillId="0" fontId="1" numFmtId="0" xfId="0" applyAlignment="1" applyFont="1">
      <alignment horizontal="left" shrinkToFit="0" vertical="center" wrapText="0"/>
    </xf>
    <xf borderId="0" fillId="0" fontId="4" numFmtId="0" xfId="0" applyAlignment="1" applyFont="1">
      <alignment horizontal="left" shrinkToFit="0" vertical="center" wrapText="0"/>
    </xf>
    <xf borderId="0" fillId="0" fontId="0" numFmtId="0" xfId="0" applyAlignment="1" applyFont="1">
      <alignment horizontal="left" shrinkToFit="0" vertical="center" wrapText="0"/>
    </xf>
    <xf borderId="0" fillId="0" fontId="13" numFmtId="0" xfId="0" applyAlignment="1" applyFont="1">
      <alignment horizontal="left" shrinkToFit="0" vertical="center" wrapText="0"/>
    </xf>
    <xf borderId="0" fillId="0" fontId="1" numFmtId="0" xfId="0" applyAlignment="1" applyFont="1">
      <alignment shrinkToFit="0" vertical="center" wrapText="1"/>
    </xf>
    <xf borderId="0" fillId="0" fontId="8" numFmtId="165" xfId="0" applyAlignment="1" applyFont="1" applyNumberFormat="1">
      <alignment shrinkToFit="0" vertical="center" wrapText="1"/>
    </xf>
    <xf borderId="0" fillId="0" fontId="8" numFmtId="0" xfId="0" applyAlignment="1" applyFont="1">
      <alignment shrinkToFit="0" vertical="center" wrapText="1"/>
    </xf>
    <xf borderId="0" fillId="0" fontId="8" numFmtId="165" xfId="0" applyAlignment="1" applyFont="1" applyNumberFormat="1">
      <alignment vertical="center"/>
    </xf>
    <xf borderId="0" fillId="0" fontId="8" numFmtId="165" xfId="0" applyAlignment="1" applyFont="1" applyNumberFormat="1">
      <alignment horizontal="left" vertical="center"/>
    </xf>
    <xf borderId="0" fillId="2" fontId="3" numFmtId="0" xfId="0" applyAlignment="1" applyFont="1">
      <alignment horizontal="left"/>
    </xf>
    <xf borderId="0" fillId="0" fontId="3" numFmtId="0" xfId="0" applyFont="1"/>
    <xf borderId="0" fillId="0" fontId="6" numFmtId="0" xfId="0" applyAlignment="1" applyFont="1">
      <alignment vertical="center"/>
    </xf>
    <xf borderId="0" fillId="0" fontId="13" numFmtId="0" xfId="0" applyAlignment="1" applyFont="1">
      <alignment vertical="center"/>
    </xf>
    <xf borderId="0" fillId="0" fontId="8" numFmtId="11" xfId="0" applyAlignment="1" applyFont="1" applyNumberFormat="1">
      <alignment horizontal="center" vertical="center"/>
    </xf>
    <xf borderId="0" fillId="0" fontId="13" numFmtId="165" xfId="0" applyAlignment="1" applyFont="1" applyNumberFormat="1">
      <alignment horizontal="left" vertical="center"/>
    </xf>
    <xf borderId="0" fillId="0" fontId="0" numFmtId="0" xfId="0" applyAlignment="1" applyFont="1">
      <alignment vertical="center"/>
    </xf>
    <xf borderId="0" fillId="0" fontId="5" numFmtId="0" xfId="0" applyAlignment="1" applyFont="1">
      <alignment shrinkToFit="0" vertical="center" wrapText="1"/>
    </xf>
    <xf borderId="0" fillId="0" fontId="6" numFmtId="0" xfId="0" applyAlignment="1" applyFont="1">
      <alignment horizontal="center" shrinkToFit="0" vertical="center" wrapText="1"/>
    </xf>
    <xf borderId="0" fillId="0" fontId="6" numFmtId="0" xfId="0" applyAlignment="1" applyFont="1">
      <alignment horizontal="left" shrinkToFit="0" vertical="center" wrapText="1"/>
    </xf>
    <xf borderId="0" fillId="0" fontId="13" numFmtId="0" xfId="0" applyAlignment="1" applyFont="1">
      <alignment horizontal="center" shrinkToFit="0" vertical="center" wrapText="0"/>
    </xf>
    <xf borderId="0" fillId="0" fontId="0" numFmtId="0" xfId="0" applyAlignment="1" applyFont="1">
      <alignment horizontal="left" vertical="center"/>
    </xf>
    <xf borderId="0" fillId="0" fontId="0" numFmtId="0" xfId="0" applyAlignment="1" applyFont="1">
      <alignment horizontal="center" shrinkToFit="0" vertical="center" wrapText="0"/>
    </xf>
    <xf borderId="0" fillId="0" fontId="8" numFmtId="0" xfId="0" applyAlignment="1" applyFont="1">
      <alignment horizontal="right" vertical="center"/>
    </xf>
    <xf borderId="0" fillId="0" fontId="1" numFmtId="0" xfId="0" applyFont="1"/>
    <xf borderId="0" fillId="0" fontId="4" numFmtId="0" xfId="0" applyAlignment="1" applyFont="1">
      <alignment horizontal="left" vertical="center"/>
    </xf>
    <xf borderId="0" fillId="2" fontId="3" numFmtId="0" xfId="0" applyAlignment="1" applyFont="1">
      <alignment horizontal="left" shrinkToFit="0" vertical="center" wrapText="1"/>
    </xf>
    <xf borderId="0" fillId="0" fontId="1" numFmtId="0" xfId="0" applyAlignment="1" applyFont="1">
      <alignment vertical="bottom"/>
    </xf>
    <xf borderId="0" fillId="0" fontId="8"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1.57"/>
  </cols>
  <sheetData>
    <row r="1">
      <c r="A1" s="2" t="str">
        <f>HYPERLINK("https://i.imgur.com/yUIqJEZ.png","Use the tabs at the bottom to navigate and scroll")</f>
        <v>Use the tabs at the bottom to navigate and scroll</v>
      </c>
    </row>
    <row r="2">
      <c r="A2" s="4" t="s">
        <v>2</v>
      </c>
    </row>
    <row r="3">
      <c r="A3" s="2" t="str">
        <f>HYPERLINK("https://discord.gg/MhMNYyn","Spreadsheet Discord (report issues or find resources)")</f>
        <v>Spreadsheet Discord (report issues or find resources)</v>
      </c>
    </row>
    <row r="4">
      <c r="A4" s="9" t="str">
        <f>HYPERLINK("https://docs.google.com/spreadsheets/d/1lhr9srU-NWesmIklMBNSoGJt0Fx-GBfvb7zJzfoiJ1M/edit#gid=1561517221","Request access to the editor-only sheet - you must help or edit, not for viewing purposes. Please leave a short description as to why you would like to edit or view this spreadsheet (devs, website owners, etc. are welcome!)")</f>
        <v>Request access to the editor-only sheet - you must help or edit, not for viewing purposes. Please leave a short description as to why you would like to edit or view this spreadsheet (devs, website owners, etc. are welcome!)</v>
      </c>
    </row>
    <row r="5">
      <c r="A5" s="11" t="s">
        <v>22</v>
      </c>
    </row>
    <row r="6">
      <c r="A6" s="2" t="str">
        <f>HYPERLINK("https://drive.google.com/drive/folders/1XSLItEbUltVep8qP6691AAPg6EXf_DUR","All images (Credit to ElChicoEevee and Alexis)")</f>
        <v>All images (Credit to ElChicoEevee and Alexis)</v>
      </c>
    </row>
    <row r="7">
      <c r="A7" s="2" t="str">
        <f>HYPERLINK("https://pastebin.com/rk4sW0GA","All item names (Credit to imthe666st)")</f>
        <v>All item names (Credit to imthe666st)</v>
      </c>
    </row>
    <row r="8">
      <c r="A8" s="14" t="s">
        <v>25</v>
      </c>
    </row>
    <row r="9" ht="258.0" customHeight="1">
      <c r="A9" s="18" t="s">
        <v>26</v>
      </c>
    </row>
    <row r="10">
      <c r="A10" s="20" t="s">
        <v>33</v>
      </c>
    </row>
    <row r="11">
      <c r="A11" s="18" t="s">
        <v>42</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43"/>
    <col customWidth="1" min="2" max="2" width="10.86"/>
    <col customWidth="1" min="3" max="3" width="4.29"/>
    <col customWidth="1" min="4" max="4" width="5.14"/>
    <col customWidth="1" min="5" max="5" width="4.71"/>
    <col customWidth="1" min="6" max="6" width="14.71"/>
  </cols>
  <sheetData>
    <row r="1" ht="21.0" customHeight="1">
      <c r="A1" s="1" t="s">
        <v>0</v>
      </c>
      <c r="B1" s="3" t="s">
        <v>1</v>
      </c>
      <c r="C1" s="3" t="s">
        <v>4</v>
      </c>
      <c r="D1" s="3" t="s">
        <v>6</v>
      </c>
      <c r="E1" s="3" t="s">
        <v>7</v>
      </c>
      <c r="F1" s="1" t="s">
        <v>2286</v>
      </c>
    </row>
    <row r="2" ht="56.25" customHeight="1">
      <c r="A2" s="13" t="s">
        <v>2417</v>
      </c>
      <c r="B2" s="15" t="str">
        <f>IMAGE("https://imgur.com/0B17oTM.png")</f>
        <v/>
      </c>
      <c r="C2" s="15" t="s">
        <v>50</v>
      </c>
      <c r="D2" s="15" t="s">
        <v>51</v>
      </c>
      <c r="E2" s="25"/>
      <c r="F2" s="52" t="s">
        <v>55</v>
      </c>
    </row>
    <row r="3" ht="56.25" customHeight="1">
      <c r="A3" s="13" t="s">
        <v>2421</v>
      </c>
      <c r="B3" s="15" t="str">
        <f>IMAGE("https://imgur.com/Jz9ro82.png")</f>
        <v/>
      </c>
      <c r="C3" s="15" t="s">
        <v>50</v>
      </c>
      <c r="D3" s="15" t="s">
        <v>51</v>
      </c>
      <c r="E3" s="25"/>
      <c r="F3" s="52" t="s">
        <v>55</v>
      </c>
    </row>
    <row r="4" ht="56.25" customHeight="1">
      <c r="A4" s="13" t="s">
        <v>2424</v>
      </c>
      <c r="B4" s="15" t="str">
        <f>IMAGE("https://imgur.com/6rEnaGF.png")</f>
        <v/>
      </c>
      <c r="C4" s="15" t="s">
        <v>50</v>
      </c>
      <c r="D4" s="15" t="s">
        <v>51</v>
      </c>
      <c r="E4" s="25"/>
      <c r="F4" s="52" t="s">
        <v>55</v>
      </c>
    </row>
    <row r="5" ht="56.25" customHeight="1">
      <c r="A5" s="13" t="s">
        <v>2426</v>
      </c>
      <c r="B5" s="15" t="str">
        <f>IMAGE("https://imgur.com/uRL9puQ.png")</f>
        <v/>
      </c>
      <c r="C5" s="15" t="s">
        <v>50</v>
      </c>
      <c r="D5" s="15" t="s">
        <v>51</v>
      </c>
      <c r="E5" s="25">
        <v>2400.0</v>
      </c>
      <c r="F5" s="52" t="s">
        <v>55</v>
      </c>
    </row>
    <row r="6" ht="56.25" customHeight="1">
      <c r="A6" s="13" t="s">
        <v>2429</v>
      </c>
      <c r="B6" s="15" t="str">
        <f>IMAGE("https://imgur.com/IeA7N7q.png")</f>
        <v/>
      </c>
      <c r="C6" s="15" t="s">
        <v>50</v>
      </c>
      <c r="D6" s="15" t="s">
        <v>51</v>
      </c>
      <c r="E6" s="25"/>
      <c r="F6" s="52" t="s">
        <v>55</v>
      </c>
    </row>
    <row r="7" ht="56.25" customHeight="1">
      <c r="A7" s="13" t="s">
        <v>2431</v>
      </c>
      <c r="B7" s="15" t="str">
        <f>IMAGE("https://imgur.com/9aBWMlg.png")</f>
        <v/>
      </c>
      <c r="C7" s="15" t="s">
        <v>50</v>
      </c>
      <c r="D7" s="15" t="s">
        <v>51</v>
      </c>
      <c r="E7" s="25"/>
      <c r="F7" s="52" t="s">
        <v>55</v>
      </c>
    </row>
    <row r="8" ht="56.25" customHeight="1">
      <c r="A8" s="13" t="s">
        <v>2434</v>
      </c>
      <c r="B8" s="15" t="str">
        <f>IMAGE("https://imgur.com/pa4gOgv.png")</f>
        <v/>
      </c>
      <c r="C8" s="15" t="s">
        <v>50</v>
      </c>
      <c r="D8" s="15" t="s">
        <v>51</v>
      </c>
      <c r="E8" s="25"/>
      <c r="F8" s="52" t="s">
        <v>55</v>
      </c>
    </row>
    <row r="9" ht="56.25" customHeight="1">
      <c r="A9" s="13" t="s">
        <v>2435</v>
      </c>
      <c r="B9" s="15" t="str">
        <f>IMAGE("https://imgur.com/36lceGv.png")</f>
        <v/>
      </c>
      <c r="C9" s="15" t="s">
        <v>50</v>
      </c>
      <c r="D9" s="15" t="s">
        <v>51</v>
      </c>
      <c r="E9" s="25"/>
      <c r="F9" s="52" t="s">
        <v>55</v>
      </c>
    </row>
    <row r="10" ht="56.25" customHeight="1">
      <c r="A10" s="13" t="s">
        <v>2438</v>
      </c>
      <c r="B10" s="15" t="str">
        <f>IMAGE("https://imgur.com/NCKuonY.png")</f>
        <v/>
      </c>
      <c r="C10" s="15" t="s">
        <v>50</v>
      </c>
      <c r="D10" s="15" t="s">
        <v>51</v>
      </c>
      <c r="E10" s="25"/>
      <c r="F10" s="52" t="s">
        <v>55</v>
      </c>
    </row>
    <row r="11" ht="56.25" customHeight="1">
      <c r="A11" s="13" t="s">
        <v>2440</v>
      </c>
      <c r="B11" s="15" t="str">
        <f>IMAGE("https://imgur.com/LDU6tZH.png")</f>
        <v/>
      </c>
      <c r="C11" s="15" t="s">
        <v>50</v>
      </c>
      <c r="D11" s="15" t="s">
        <v>51</v>
      </c>
      <c r="E11" s="25"/>
      <c r="F11" s="52" t="s">
        <v>55</v>
      </c>
    </row>
    <row r="12" ht="56.25" customHeight="1">
      <c r="A12" s="13" t="s">
        <v>2443</v>
      </c>
      <c r="B12" s="15" t="str">
        <f>IMAGE("https://imgur.com/9cuZRse.png")</f>
        <v/>
      </c>
      <c r="C12" s="15" t="s">
        <v>50</v>
      </c>
      <c r="D12" s="15" t="s">
        <v>51</v>
      </c>
      <c r="E12" s="25"/>
      <c r="F12" s="52" t="s">
        <v>55</v>
      </c>
    </row>
    <row r="13" ht="56.25" customHeight="1">
      <c r="A13" s="13" t="s">
        <v>2445</v>
      </c>
      <c r="B13" s="15" t="str">
        <f>IMAGE("https://imgur.com/e05FPaf.png")</f>
        <v/>
      </c>
      <c r="C13" s="15" t="s">
        <v>50</v>
      </c>
      <c r="D13" s="15" t="s">
        <v>51</v>
      </c>
      <c r="E13" s="25"/>
      <c r="F13" s="52" t="s">
        <v>55</v>
      </c>
    </row>
    <row r="14" ht="56.25" customHeight="1">
      <c r="A14" s="13" t="s">
        <v>2447</v>
      </c>
      <c r="B14" s="15" t="str">
        <f>IMAGE("https://imgur.com/7n98XNM.png")</f>
        <v/>
      </c>
      <c r="C14" s="15" t="s">
        <v>50</v>
      </c>
      <c r="D14" s="15" t="s">
        <v>51</v>
      </c>
      <c r="E14" s="25"/>
      <c r="F14" s="52" t="s">
        <v>55</v>
      </c>
    </row>
    <row r="15" ht="56.25" customHeight="1">
      <c r="A15" s="13" t="s">
        <v>2450</v>
      </c>
      <c r="B15" s="15" t="str">
        <f>IMAGE("https://imgur.com/5g41sEA.png")</f>
        <v/>
      </c>
      <c r="C15" s="15" t="s">
        <v>50</v>
      </c>
      <c r="D15" s="15" t="s">
        <v>51</v>
      </c>
      <c r="E15" s="25"/>
      <c r="F15" s="52" t="s">
        <v>55</v>
      </c>
    </row>
    <row r="16" ht="56.25" customHeight="1">
      <c r="A16" s="13" t="s">
        <v>2452</v>
      </c>
      <c r="B16" s="15" t="str">
        <f>IMAGE("https://imgur.com/NrUkP2m.png")</f>
        <v/>
      </c>
      <c r="C16" s="15" t="s">
        <v>50</v>
      </c>
      <c r="D16" s="15" t="s">
        <v>51</v>
      </c>
      <c r="E16" s="25"/>
      <c r="F16" s="52" t="s">
        <v>55</v>
      </c>
    </row>
    <row r="17" ht="56.25" customHeight="1">
      <c r="A17" s="13" t="s">
        <v>2454</v>
      </c>
      <c r="B17" s="15" t="str">
        <f>IMAGE("https://imgur.com/hT2a7dh.png")</f>
        <v/>
      </c>
      <c r="C17" s="15" t="s">
        <v>50</v>
      </c>
      <c r="D17" s="15" t="s">
        <v>51</v>
      </c>
      <c r="E17" s="25"/>
      <c r="F17" s="52" t="s">
        <v>55</v>
      </c>
    </row>
    <row r="18" ht="56.25" customHeight="1">
      <c r="A18" s="13" t="s">
        <v>2457</v>
      </c>
      <c r="B18" s="15" t="str">
        <f>IMAGE("https://imgur.com/WUaEMu4.png")</f>
        <v/>
      </c>
      <c r="C18" s="15" t="s">
        <v>50</v>
      </c>
      <c r="D18" s="15" t="s">
        <v>51</v>
      </c>
      <c r="E18" s="25"/>
      <c r="F18" s="52" t="s">
        <v>55</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29"/>
    <col customWidth="1" min="2" max="2" width="10.86"/>
    <col customWidth="1" min="3" max="3" width="9.29"/>
    <col customWidth="1" min="4" max="4" width="4.29"/>
    <col customWidth="1" min="5" max="5" width="10.57"/>
    <col customWidth="1" min="6" max="6" width="8.86"/>
    <col customWidth="1" min="7" max="7" width="6.14"/>
    <col customWidth="1" min="8" max="8" width="6.71"/>
    <col customWidth="1" min="9" max="9" width="10.57"/>
    <col customWidth="1" min="10" max="10" width="12.57"/>
    <col customWidth="1" min="11" max="11" width="5.14"/>
    <col customWidth="1" min="12" max="12" width="13.43"/>
    <col customWidth="1" min="13" max="13" width="15.29"/>
    <col customWidth="1" min="14" max="14" width="25.71"/>
  </cols>
  <sheetData>
    <row r="1" ht="36.0" customHeight="1">
      <c r="A1" s="53" t="s">
        <v>0</v>
      </c>
      <c r="B1" s="3" t="s">
        <v>1</v>
      </c>
      <c r="C1" s="54" t="s">
        <v>3</v>
      </c>
      <c r="D1" s="55" t="s">
        <v>4</v>
      </c>
      <c r="E1" s="3" t="s">
        <v>5</v>
      </c>
      <c r="F1" s="3" t="s">
        <v>2478</v>
      </c>
      <c r="G1" s="3" t="s">
        <v>6</v>
      </c>
      <c r="H1" s="56" t="s">
        <v>7</v>
      </c>
      <c r="I1" s="7" t="s">
        <v>8</v>
      </c>
      <c r="J1" s="7" t="s">
        <v>29</v>
      </c>
      <c r="K1" s="7" t="s">
        <v>12</v>
      </c>
      <c r="L1" s="7" t="s">
        <v>13</v>
      </c>
      <c r="M1" s="7" t="s">
        <v>19</v>
      </c>
      <c r="N1" s="7" t="s">
        <v>20</v>
      </c>
    </row>
    <row r="2" ht="56.25" customHeight="1">
      <c r="A2" s="13" t="s">
        <v>2481</v>
      </c>
      <c r="B2" s="15" t="str">
        <f>IMAGE("https://imgur.com/15hquG4.png")</f>
        <v/>
      </c>
      <c r="C2" s="17" t="str">
        <f>HYPERLINK("https://imgur.com/a/NW02O8d","No")</f>
        <v>No</v>
      </c>
      <c r="D2" s="25" t="s">
        <v>50</v>
      </c>
      <c r="E2" s="25" t="s">
        <v>28</v>
      </c>
      <c r="F2" s="15"/>
      <c r="G2" s="15">
        <v>2500.0</v>
      </c>
      <c r="H2" s="57">
        <v>625.0</v>
      </c>
      <c r="I2" s="19">
        <v>2100.0</v>
      </c>
      <c r="J2" s="19"/>
      <c r="K2" s="19" t="s">
        <v>38</v>
      </c>
      <c r="L2" s="19"/>
      <c r="M2" s="19" t="s">
        <v>2489</v>
      </c>
      <c r="N2" s="19"/>
    </row>
    <row r="3" ht="56.25" customHeight="1">
      <c r="A3" s="13" t="s">
        <v>2490</v>
      </c>
      <c r="B3" s="15" t="str">
        <f>IMAGE("https://imgur.com/GXU0vOO.png")</f>
        <v/>
      </c>
      <c r="C3" s="17" t="str">
        <f>HYPERLINK("https://imgur.com/a/YMfFK43","No")</f>
        <v>No</v>
      </c>
      <c r="D3" s="25" t="s">
        <v>50</v>
      </c>
      <c r="E3" s="25" t="s">
        <v>28</v>
      </c>
      <c r="F3" s="25" t="s">
        <v>2493</v>
      </c>
      <c r="G3" s="25" t="s">
        <v>51</v>
      </c>
      <c r="H3" s="57">
        <v>3900.0</v>
      </c>
      <c r="I3" s="19">
        <v>7590.0</v>
      </c>
      <c r="J3" s="19"/>
      <c r="K3" s="19" t="s">
        <v>38</v>
      </c>
      <c r="L3" s="19"/>
      <c r="M3" s="19" t="s">
        <v>55</v>
      </c>
      <c r="N3" s="19" t="s">
        <v>172</v>
      </c>
    </row>
    <row r="4" ht="56.25" customHeight="1">
      <c r="A4" s="13" t="s">
        <v>2494</v>
      </c>
      <c r="B4" s="15" t="str">
        <f>IMAGE("https://imgur.com/DwBtzDs.png")</f>
        <v/>
      </c>
      <c r="C4" s="17" t="str">
        <f>HYPERLINK("https://imgur.com/a/z5wJ6hA","No")</f>
        <v>No</v>
      </c>
      <c r="D4" s="25" t="s">
        <v>28</v>
      </c>
      <c r="E4" s="25" t="s">
        <v>28</v>
      </c>
      <c r="F4" s="25" t="s">
        <v>2493</v>
      </c>
      <c r="G4" s="25" t="s">
        <v>51</v>
      </c>
      <c r="H4" s="57">
        <v>1500.0</v>
      </c>
      <c r="I4" s="19">
        <v>8769.0</v>
      </c>
      <c r="J4" s="19"/>
      <c r="K4" s="19" t="s">
        <v>38</v>
      </c>
      <c r="L4" s="19"/>
      <c r="M4" s="19" t="s">
        <v>264</v>
      </c>
      <c r="N4" s="19"/>
    </row>
    <row r="5" ht="56.25" customHeight="1">
      <c r="A5" s="37" t="s">
        <v>2497</v>
      </c>
      <c r="B5" s="23" t="str">
        <f>IMAGE("https://i.imgur.com/rphvvQg.png")</f>
        <v/>
      </c>
      <c r="C5" s="15" t="s">
        <v>40</v>
      </c>
      <c r="D5" s="25" t="s">
        <v>50</v>
      </c>
      <c r="E5" s="25" t="s">
        <v>28</v>
      </c>
      <c r="F5" s="25" t="s">
        <v>2493</v>
      </c>
      <c r="G5" s="25" t="s">
        <v>51</v>
      </c>
      <c r="H5" s="58"/>
      <c r="I5" s="19"/>
      <c r="J5" s="19"/>
      <c r="K5" s="19" t="s">
        <v>38</v>
      </c>
      <c r="L5" s="19"/>
      <c r="M5" s="19" t="s">
        <v>55</v>
      </c>
      <c r="N5" s="19"/>
    </row>
    <row r="6" ht="56.25" customHeight="1">
      <c r="A6" s="13" t="s">
        <v>2502</v>
      </c>
      <c r="B6" s="15" t="str">
        <f>IMAGE("https://imgur.com/iYMRtmH.png")</f>
        <v/>
      </c>
      <c r="C6" s="17" t="str">
        <f>HYPERLINK("https://imgur.com/a/bc667kf","No")</f>
        <v>No</v>
      </c>
      <c r="D6" s="25" t="s">
        <v>50</v>
      </c>
      <c r="E6" s="25" t="s">
        <v>28</v>
      </c>
      <c r="F6" s="25" t="s">
        <v>2493</v>
      </c>
      <c r="G6" s="25" t="s">
        <v>51</v>
      </c>
      <c r="H6" s="57">
        <v>2700.0</v>
      </c>
      <c r="I6" s="19">
        <v>7589.0</v>
      </c>
      <c r="J6" s="19"/>
      <c r="K6" s="19" t="s">
        <v>38</v>
      </c>
      <c r="L6" s="19"/>
      <c r="M6" s="19" t="s">
        <v>55</v>
      </c>
      <c r="N6" s="19"/>
    </row>
    <row r="7" ht="56.25" customHeight="1">
      <c r="A7" s="13" t="s">
        <v>2507</v>
      </c>
      <c r="B7" s="15" t="str">
        <f>IMAGE("https://imgur.com/Xzw4zN7.png")</f>
        <v/>
      </c>
      <c r="C7" s="17" t="str">
        <f>HYPERLINK("https://imgur.com/a/OKCvw99","Yes")</f>
        <v>Yes</v>
      </c>
      <c r="D7" s="25" t="s">
        <v>28</v>
      </c>
      <c r="E7" s="25" t="s">
        <v>28</v>
      </c>
      <c r="F7" s="15"/>
      <c r="G7" s="15">
        <v>2500.0</v>
      </c>
      <c r="H7" s="57">
        <v>625.0</v>
      </c>
      <c r="I7" s="19">
        <v>8472.0</v>
      </c>
      <c r="J7" s="19" t="s">
        <v>2510</v>
      </c>
      <c r="K7" s="19" t="s">
        <v>38</v>
      </c>
      <c r="L7" s="19">
        <v>1.0</v>
      </c>
      <c r="M7" s="19" t="s">
        <v>44</v>
      </c>
      <c r="N7" s="19" t="s">
        <v>2512</v>
      </c>
    </row>
    <row r="8" ht="56.25" customHeight="1">
      <c r="A8" s="13" t="s">
        <v>2513</v>
      </c>
      <c r="B8" s="15" t="str">
        <f>IMAGE("https://imgur.com/9VCpVmJ.png")</f>
        <v/>
      </c>
      <c r="C8" s="17" t="str">
        <f>HYPERLINK("https://imgur.com/a/SADNpOJ","Yes")</f>
        <v>Yes</v>
      </c>
      <c r="D8" s="25" t="s">
        <v>28</v>
      </c>
      <c r="E8" s="25" t="s">
        <v>28</v>
      </c>
      <c r="F8" s="15"/>
      <c r="G8" s="15">
        <v>2500.0</v>
      </c>
      <c r="H8" s="57">
        <v>625.0</v>
      </c>
      <c r="I8" s="19">
        <v>8177.0</v>
      </c>
      <c r="J8" s="19" t="s">
        <v>2510</v>
      </c>
      <c r="K8" s="19" t="s">
        <v>38</v>
      </c>
      <c r="L8" s="19">
        <v>1.0</v>
      </c>
      <c r="M8" s="19" t="s">
        <v>44</v>
      </c>
      <c r="N8" s="19" t="s">
        <v>2512</v>
      </c>
    </row>
    <row r="9" ht="56.25" customHeight="1">
      <c r="A9" s="13" t="s">
        <v>2518</v>
      </c>
      <c r="B9" s="41" t="str">
        <f>IMAGE("https://imgur.com/TcR3H3L.png")</f>
        <v/>
      </c>
      <c r="C9" s="17" t="str">
        <f>HYPERLINK("https://imgur.com/a/htILNv7","Yes")</f>
        <v>Yes</v>
      </c>
      <c r="D9" s="25" t="s">
        <v>28</v>
      </c>
      <c r="E9" s="25" t="s">
        <v>28</v>
      </c>
      <c r="F9" s="15"/>
      <c r="G9" s="15">
        <v>2500.0</v>
      </c>
      <c r="H9" s="57">
        <v>625.0</v>
      </c>
      <c r="I9" s="19">
        <v>8577.0</v>
      </c>
      <c r="J9" s="19" t="s">
        <v>2510</v>
      </c>
      <c r="K9" s="19" t="s">
        <v>38</v>
      </c>
      <c r="L9" s="19">
        <v>1.0</v>
      </c>
      <c r="M9" s="19" t="s">
        <v>44</v>
      </c>
      <c r="N9" s="19" t="s">
        <v>2512</v>
      </c>
    </row>
    <row r="10" ht="56.25" customHeight="1">
      <c r="A10" s="13" t="s">
        <v>2521</v>
      </c>
      <c r="B10" s="15" t="str">
        <f>IMAGE("https://imgur.com/0ZiRryp.png")</f>
        <v/>
      </c>
      <c r="C10" s="17" t="str">
        <f>HYPERLINK("https://imgur.com/a/4ZBuICu","Yes")</f>
        <v>Yes</v>
      </c>
      <c r="D10" s="25" t="s">
        <v>28</v>
      </c>
      <c r="E10" s="25" t="s">
        <v>28</v>
      </c>
      <c r="F10" s="15"/>
      <c r="G10" s="15">
        <v>2500.0</v>
      </c>
      <c r="H10" s="57">
        <v>625.0</v>
      </c>
      <c r="I10" s="19">
        <v>8580.0</v>
      </c>
      <c r="J10" s="19" t="s">
        <v>2510</v>
      </c>
      <c r="K10" s="19" t="s">
        <v>38</v>
      </c>
      <c r="L10" s="19">
        <v>1.0</v>
      </c>
      <c r="M10" s="19" t="s">
        <v>44</v>
      </c>
      <c r="N10" s="19" t="s">
        <v>2512</v>
      </c>
    </row>
    <row r="11" ht="56.25" customHeight="1">
      <c r="A11" s="13" t="s">
        <v>2525</v>
      </c>
      <c r="B11" s="15" t="str">
        <f>IMAGE("https://imgur.com/gG1IHU8.png")</f>
        <v/>
      </c>
      <c r="C11" s="17" t="str">
        <f>HYPERLINK("https://imgur.com/a/ndgLVe5","Yes")</f>
        <v>Yes</v>
      </c>
      <c r="D11" s="25" t="s">
        <v>28</v>
      </c>
      <c r="E11" s="25" t="s">
        <v>28</v>
      </c>
      <c r="F11" s="15"/>
      <c r="G11" s="15">
        <v>2500.0</v>
      </c>
      <c r="H11" s="57">
        <v>625.0</v>
      </c>
      <c r="I11" s="19">
        <v>8534.0</v>
      </c>
      <c r="J11" s="19" t="s">
        <v>2510</v>
      </c>
      <c r="K11" s="19" t="s">
        <v>38</v>
      </c>
      <c r="L11" s="19">
        <v>1.0</v>
      </c>
      <c r="M11" s="19" t="s">
        <v>44</v>
      </c>
      <c r="N11" s="19" t="s">
        <v>2512</v>
      </c>
    </row>
    <row r="12" ht="56.25" customHeight="1">
      <c r="A12" s="13" t="s">
        <v>2529</v>
      </c>
      <c r="B12" s="15" t="str">
        <f>IMAGE("https://imgur.com/TGPTkFp.png")</f>
        <v/>
      </c>
      <c r="C12" s="17" t="str">
        <f>HYPERLINK("https://imgur.com/a/zOS1cCC","No")</f>
        <v>No</v>
      </c>
      <c r="D12" s="25" t="s">
        <v>50</v>
      </c>
      <c r="E12" s="25" t="s">
        <v>28</v>
      </c>
      <c r="F12" s="25" t="s">
        <v>2493</v>
      </c>
      <c r="G12" s="25" t="s">
        <v>51</v>
      </c>
      <c r="H12" s="57">
        <v>1580.0</v>
      </c>
      <c r="I12" s="19">
        <v>5092.0</v>
      </c>
      <c r="J12" s="19"/>
      <c r="K12" s="19" t="s">
        <v>38</v>
      </c>
      <c r="L12" s="19"/>
      <c r="M12" s="19" t="s">
        <v>55</v>
      </c>
      <c r="N12" s="19"/>
    </row>
    <row r="13" ht="56.25" customHeight="1">
      <c r="A13" s="13" t="s">
        <v>2532</v>
      </c>
      <c r="B13" s="15" t="str">
        <f>IMAGE("https://imgur.com/jPmYjdt.png")</f>
        <v/>
      </c>
      <c r="C13" s="59" t="str">
        <f>HYPERLINK("https://imgur.com/a/a96Z1vS","Yes")</f>
        <v>Yes</v>
      </c>
      <c r="D13" s="25" t="s">
        <v>28</v>
      </c>
      <c r="E13" s="25" t="s">
        <v>28</v>
      </c>
      <c r="F13" s="15"/>
      <c r="G13" s="15">
        <v>2500.0</v>
      </c>
      <c r="H13" s="57">
        <v>625.0</v>
      </c>
      <c r="I13" s="19">
        <v>8535.0</v>
      </c>
      <c r="J13" s="19"/>
      <c r="K13" s="19" t="s">
        <v>38</v>
      </c>
      <c r="L13" s="19">
        <v>1.0</v>
      </c>
      <c r="M13" s="19" t="s">
        <v>44</v>
      </c>
      <c r="N13" s="19" t="s">
        <v>2512</v>
      </c>
    </row>
    <row r="14" ht="56.25" customHeight="1">
      <c r="A14" s="13" t="s">
        <v>2537</v>
      </c>
      <c r="B14" s="15" t="str">
        <f>IMAGE("https://imgur.com/vSmgOdB.png")</f>
        <v/>
      </c>
      <c r="C14" s="17" t="str">
        <f>HYPERLINK("https://imgur.com/a/OBMB8dV","Yes")</f>
        <v>Yes</v>
      </c>
      <c r="D14" s="25" t="s">
        <v>28</v>
      </c>
      <c r="E14" s="25" t="s">
        <v>28</v>
      </c>
      <c r="F14" s="15"/>
      <c r="G14" s="15">
        <v>2500.0</v>
      </c>
      <c r="H14" s="57">
        <v>625.0</v>
      </c>
      <c r="I14" s="19">
        <v>8471.0</v>
      </c>
      <c r="J14" s="19"/>
      <c r="K14" s="19" t="s">
        <v>38</v>
      </c>
      <c r="L14" s="19">
        <v>1.0</v>
      </c>
      <c r="M14" s="19" t="s">
        <v>44</v>
      </c>
      <c r="N14" s="19" t="s">
        <v>2512</v>
      </c>
    </row>
    <row r="15" ht="56.25" customHeight="1">
      <c r="A15" s="13" t="s">
        <v>2542</v>
      </c>
      <c r="B15" s="15" t="str">
        <f>IMAGE("https://imgur.com/UJII5Xs.png")</f>
        <v/>
      </c>
      <c r="C15" s="17" t="str">
        <f>HYPERLINK("https://imgur.com/a/CYxR7nq","No")</f>
        <v>No</v>
      </c>
      <c r="D15" s="25" t="s">
        <v>28</v>
      </c>
      <c r="E15" s="25" t="s">
        <v>28</v>
      </c>
      <c r="F15" s="25" t="s">
        <v>2493</v>
      </c>
      <c r="G15" s="25" t="s">
        <v>51</v>
      </c>
      <c r="H15" s="57">
        <v>1500.0</v>
      </c>
      <c r="I15" s="19">
        <v>8770.0</v>
      </c>
      <c r="J15" s="19"/>
      <c r="K15" s="19" t="s">
        <v>38</v>
      </c>
      <c r="L15" s="19"/>
      <c r="M15" s="19" t="s">
        <v>85</v>
      </c>
      <c r="N15" s="19"/>
    </row>
    <row r="16" ht="56.25" customHeight="1">
      <c r="A16" s="13" t="s">
        <v>2546</v>
      </c>
      <c r="B16" s="15" t="str">
        <f>IMAGE("https://imgur.com/rL9H1SQ.png")</f>
        <v/>
      </c>
      <c r="C16" s="17" t="str">
        <f>HYPERLINK("https://imgur.com/a/LpYIxGA","Yes")</f>
        <v>Yes</v>
      </c>
      <c r="D16" s="25" t="s">
        <v>50</v>
      </c>
      <c r="E16" s="25" t="s">
        <v>50</v>
      </c>
      <c r="F16" s="25">
        <v>30.0</v>
      </c>
      <c r="G16" s="25" t="s">
        <v>51</v>
      </c>
      <c r="H16" s="57">
        <v>600.0</v>
      </c>
      <c r="I16" s="19">
        <v>2377.0</v>
      </c>
      <c r="J16" s="19"/>
      <c r="K16" s="19" t="s">
        <v>38</v>
      </c>
      <c r="L16" s="19">
        <v>1.0</v>
      </c>
      <c r="M16" s="19" t="s">
        <v>55</v>
      </c>
      <c r="N16" s="19"/>
    </row>
    <row r="17" ht="56.25" customHeight="1">
      <c r="A17" s="13" t="s">
        <v>2550</v>
      </c>
      <c r="B17" s="15" t="str">
        <f>IMAGE("https://imgur.com/UmbA5Ee.png")</f>
        <v/>
      </c>
      <c r="C17" s="17" t="str">
        <f>HYPERLINK("https://imgur.com/a/yLEnWaY","No")</f>
        <v>No</v>
      </c>
      <c r="D17" s="25" t="s">
        <v>50</v>
      </c>
      <c r="E17" s="25" t="s">
        <v>28</v>
      </c>
      <c r="F17" s="15">
        <v>40.0</v>
      </c>
      <c r="G17" s="15">
        <v>800.0</v>
      </c>
      <c r="H17" s="57">
        <v>200.0</v>
      </c>
      <c r="I17" s="19">
        <v>3068.0</v>
      </c>
      <c r="J17" s="19"/>
      <c r="K17" s="19" t="s">
        <v>38</v>
      </c>
      <c r="L17" s="19"/>
      <c r="M17" s="19" t="s">
        <v>2489</v>
      </c>
      <c r="N17" s="19" t="s">
        <v>2555</v>
      </c>
    </row>
    <row r="18" ht="56.25" customHeight="1">
      <c r="A18" s="13" t="s">
        <v>2556</v>
      </c>
      <c r="B18" s="15" t="str">
        <f>IMAGE("https://imgur.com/XlTxIta.png")</f>
        <v/>
      </c>
      <c r="C18" s="17" t="str">
        <f>HYPERLINK("https://imgur.com/a/9jp7BOL","No")</f>
        <v>No</v>
      </c>
      <c r="D18" s="25" t="s">
        <v>50</v>
      </c>
      <c r="E18" s="25" t="s">
        <v>28</v>
      </c>
      <c r="F18" s="25">
        <v>10.0</v>
      </c>
      <c r="G18" s="25" t="s">
        <v>51</v>
      </c>
      <c r="H18" s="57">
        <v>100.0</v>
      </c>
      <c r="I18" s="19">
        <v>3084.0</v>
      </c>
      <c r="J18" s="19"/>
      <c r="K18" s="19" t="s">
        <v>38</v>
      </c>
      <c r="L18" s="19"/>
      <c r="M18" s="19" t="s">
        <v>2489</v>
      </c>
      <c r="N18" s="19" t="s">
        <v>202</v>
      </c>
    </row>
    <row r="19" ht="56.25" customHeight="1">
      <c r="A19" s="13" t="s">
        <v>2559</v>
      </c>
      <c r="B19" s="15" t="str">
        <f>IMAGE("https://imgur.com/iCtYYsk.png")</f>
        <v/>
      </c>
      <c r="C19" s="17" t="str">
        <f>HYPERLINK("https://imgur.com/a/gX7GU3s","No")</f>
        <v>No</v>
      </c>
      <c r="D19" s="25" t="s">
        <v>50</v>
      </c>
      <c r="E19" s="25" t="s">
        <v>28</v>
      </c>
      <c r="F19" s="25">
        <v>10.0</v>
      </c>
      <c r="G19" s="25" t="s">
        <v>51</v>
      </c>
      <c r="H19" s="57">
        <v>100.0</v>
      </c>
      <c r="I19" s="19">
        <v>2376.0</v>
      </c>
      <c r="J19" s="19"/>
      <c r="K19" s="19" t="s">
        <v>38</v>
      </c>
      <c r="L19" s="19"/>
      <c r="M19" s="19" t="s">
        <v>2489</v>
      </c>
      <c r="N19" s="19" t="s">
        <v>202</v>
      </c>
    </row>
    <row r="20" ht="56.25" customHeight="1">
      <c r="A20" s="13" t="s">
        <v>2563</v>
      </c>
      <c r="B20" s="15" t="str">
        <f>IMAGE("https://imgur.com/a0kdwXF.png")</f>
        <v/>
      </c>
      <c r="C20" s="17" t="str">
        <f>HYPERLINK("https://imgur.com/a/JzAvMGS","No")</f>
        <v>No</v>
      </c>
      <c r="D20" s="25" t="s">
        <v>50</v>
      </c>
      <c r="E20" s="25" t="s">
        <v>28</v>
      </c>
      <c r="F20" s="25">
        <v>40.0</v>
      </c>
      <c r="G20" s="15">
        <v>800.0</v>
      </c>
      <c r="H20" s="57">
        <v>200.0</v>
      </c>
      <c r="I20" s="19">
        <v>3082.0</v>
      </c>
      <c r="J20" s="19"/>
      <c r="K20" s="19" t="s">
        <v>38</v>
      </c>
      <c r="L20" s="19"/>
      <c r="M20" s="19" t="s">
        <v>2489</v>
      </c>
      <c r="N20" s="19" t="s">
        <v>2566</v>
      </c>
    </row>
    <row r="21" ht="56.25" customHeight="1">
      <c r="A21" s="13" t="s">
        <v>2568</v>
      </c>
      <c r="B21" s="15" t="str">
        <f>IMAGE("https://imgur.com/Jgv0ZnU.png")</f>
        <v/>
      </c>
      <c r="C21" s="59" t="str">
        <f>HYPERLINK("https://imgur.com/a/olnDsgM","No")</f>
        <v>No</v>
      </c>
      <c r="D21" s="25" t="s">
        <v>50</v>
      </c>
      <c r="E21" s="25" t="s">
        <v>28</v>
      </c>
      <c r="F21" s="15"/>
      <c r="G21" s="15">
        <v>800.0</v>
      </c>
      <c r="H21" s="57">
        <v>200.0</v>
      </c>
      <c r="I21" s="19">
        <v>3083.0</v>
      </c>
      <c r="J21" s="19"/>
      <c r="K21" s="19" t="s">
        <v>38</v>
      </c>
      <c r="L21" s="19"/>
      <c r="M21" s="19" t="s">
        <v>2489</v>
      </c>
      <c r="N21" s="19" t="s">
        <v>202</v>
      </c>
    </row>
    <row r="22" ht="56.25" customHeight="1">
      <c r="A22" s="13" t="s">
        <v>2571</v>
      </c>
      <c r="B22" s="15" t="str">
        <f>IMAGE("https://imgur.com/B07zlwn.png")</f>
        <v/>
      </c>
      <c r="C22" s="17" t="str">
        <f>HYPERLINK("https://imgur.com/a/azBuZ4M","No")</f>
        <v>No</v>
      </c>
      <c r="D22" s="25" t="s">
        <v>50</v>
      </c>
      <c r="E22" s="25" t="s">
        <v>28</v>
      </c>
      <c r="F22" s="15"/>
      <c r="G22" s="25" t="s">
        <v>51</v>
      </c>
      <c r="H22" s="57">
        <v>10655.0</v>
      </c>
      <c r="I22" s="19">
        <v>9617.0</v>
      </c>
      <c r="J22" s="19"/>
      <c r="K22" s="19" t="s">
        <v>38</v>
      </c>
      <c r="L22" s="19"/>
      <c r="M22" s="19" t="s">
        <v>55</v>
      </c>
      <c r="N22" s="19"/>
    </row>
    <row r="23" ht="56.25" customHeight="1">
      <c r="A23" s="13" t="s">
        <v>2576</v>
      </c>
      <c r="B23" s="15" t="str">
        <f>IMAGE("https://imgur.com/5O6Cs3c.png")</f>
        <v/>
      </c>
      <c r="C23" s="17" t="str">
        <f>HYPERLINK("https://imgur.com/a/DrIn85Y","No")</f>
        <v>No</v>
      </c>
      <c r="D23" s="25" t="s">
        <v>50</v>
      </c>
      <c r="E23" s="25" t="s">
        <v>28</v>
      </c>
      <c r="F23" s="15"/>
      <c r="G23" s="25" t="s">
        <v>51</v>
      </c>
      <c r="H23" s="57">
        <v>10400.0</v>
      </c>
      <c r="I23" s="19">
        <v>8179.0</v>
      </c>
      <c r="J23" s="19"/>
      <c r="K23" s="19" t="s">
        <v>38</v>
      </c>
      <c r="L23" s="19"/>
      <c r="M23" s="19" t="s">
        <v>55</v>
      </c>
      <c r="N23" s="19"/>
    </row>
    <row r="24" ht="56.25" customHeight="1">
      <c r="A24" s="13" t="s">
        <v>2581</v>
      </c>
      <c r="B24" s="15" t="str">
        <f>IMAGE("https://imgur.com/OXDWn66.png")</f>
        <v/>
      </c>
      <c r="C24" s="17" t="str">
        <f>HYPERLINK("https://imgur.com/a/2Oos7Df","No")</f>
        <v>No</v>
      </c>
      <c r="D24" s="25" t="s">
        <v>50</v>
      </c>
      <c r="E24" s="25" t="s">
        <v>28</v>
      </c>
      <c r="F24" s="15"/>
      <c r="G24" s="25" t="s">
        <v>51</v>
      </c>
      <c r="H24" s="57">
        <v>10400.0</v>
      </c>
      <c r="I24" s="19">
        <v>8660.0</v>
      </c>
      <c r="J24" s="19"/>
      <c r="K24" s="19" t="s">
        <v>38</v>
      </c>
      <c r="L24" s="19"/>
      <c r="M24" s="19" t="s">
        <v>55</v>
      </c>
      <c r="N24" s="19"/>
    </row>
    <row r="25" ht="56.25" customHeight="1">
      <c r="A25" s="13" t="s">
        <v>2585</v>
      </c>
      <c r="B25" s="15" t="str">
        <f>IMAGE("https://imgur.com/XOiQE1Z.png")</f>
        <v/>
      </c>
      <c r="C25" s="17" t="str">
        <f>HYPERLINK("https://imgur.com/a/CeJfzWd","No")</f>
        <v>No</v>
      </c>
      <c r="D25" s="25" t="s">
        <v>50</v>
      </c>
      <c r="E25" s="25" t="s">
        <v>28</v>
      </c>
      <c r="F25" s="15"/>
      <c r="G25" s="25" t="s">
        <v>51</v>
      </c>
      <c r="H25" s="57">
        <v>10675.0</v>
      </c>
      <c r="I25" s="19">
        <v>8574.0</v>
      </c>
      <c r="J25" s="19"/>
      <c r="K25" s="19" t="s">
        <v>38</v>
      </c>
      <c r="L25" s="19"/>
      <c r="M25" s="19" t="s">
        <v>55</v>
      </c>
      <c r="N25" s="19"/>
    </row>
    <row r="26" ht="56.25" customHeight="1">
      <c r="A26" s="13" t="s">
        <v>2587</v>
      </c>
      <c r="B26" s="15" t="str">
        <f>IMAGE("https://imgur.com/Os39tBl.png")</f>
        <v/>
      </c>
      <c r="C26" s="17" t="str">
        <f>HYPERLINK("https://imgur.com/a/jvFyJLE","No")</f>
        <v>No</v>
      </c>
      <c r="D26" s="25" t="s">
        <v>50</v>
      </c>
      <c r="E26" s="25" t="s">
        <v>28</v>
      </c>
      <c r="F26" s="15"/>
      <c r="G26" s="25" t="s">
        <v>51</v>
      </c>
      <c r="H26" s="57">
        <v>10300.0</v>
      </c>
      <c r="I26" s="19">
        <v>8578.0</v>
      </c>
      <c r="J26" s="19"/>
      <c r="K26" s="19" t="s">
        <v>38</v>
      </c>
      <c r="L26" s="19"/>
      <c r="M26" s="19" t="s">
        <v>55</v>
      </c>
      <c r="N26" s="19"/>
    </row>
    <row r="27" ht="56.25" customHeight="1">
      <c r="A27" s="13" t="s">
        <v>2592</v>
      </c>
      <c r="B27" s="15" t="str">
        <f>IMAGE("https://imgur.com/qJuMzT5.png")</f>
        <v/>
      </c>
      <c r="C27" s="17" t="str">
        <f>HYPERLINK("https://imgur.com/a/Aiq7mmU","No")</f>
        <v>No</v>
      </c>
      <c r="D27" s="25" t="s">
        <v>50</v>
      </c>
      <c r="E27" s="25" t="s">
        <v>28</v>
      </c>
      <c r="F27" s="15"/>
      <c r="G27" s="25" t="s">
        <v>51</v>
      </c>
      <c r="H27" s="57">
        <v>20750.0</v>
      </c>
      <c r="I27" s="19">
        <v>7591.0</v>
      </c>
      <c r="J27" s="19"/>
      <c r="K27" s="19" t="s">
        <v>38</v>
      </c>
      <c r="L27" s="19"/>
      <c r="M27" s="19" t="s">
        <v>55</v>
      </c>
      <c r="N27" s="19"/>
    </row>
    <row r="28" ht="56.25" customHeight="1">
      <c r="A28" s="13" t="s">
        <v>2595</v>
      </c>
      <c r="B28" s="15" t="str">
        <f>IMAGE("https://imgur.com/KEiuDJn.png")</f>
        <v/>
      </c>
      <c r="C28" s="17" t="str">
        <f>HYPERLINK("https://imgur.com/a/NpTMTRV","No")</f>
        <v>No</v>
      </c>
      <c r="D28" s="25" t="s">
        <v>50</v>
      </c>
      <c r="E28" s="25" t="s">
        <v>28</v>
      </c>
      <c r="F28" s="15"/>
      <c r="G28" s="25" t="s">
        <v>51</v>
      </c>
      <c r="H28" s="57">
        <v>10675.0</v>
      </c>
      <c r="I28" s="19">
        <v>8533.0</v>
      </c>
      <c r="J28" s="19"/>
      <c r="K28" s="19" t="s">
        <v>38</v>
      </c>
      <c r="L28" s="19"/>
      <c r="M28" s="19" t="s">
        <v>55</v>
      </c>
      <c r="N28" s="19"/>
    </row>
    <row r="29" ht="56.25" customHeight="1">
      <c r="A29" s="13" t="s">
        <v>2598</v>
      </c>
      <c r="B29" s="15" t="str">
        <f>IMAGE("https://imgur.com/ab00rDR.png")</f>
        <v/>
      </c>
      <c r="C29" s="17" t="str">
        <f>HYPERLINK("https://imgur.com/a/wn7uCeS","No")</f>
        <v>No</v>
      </c>
      <c r="D29" s="25" t="s">
        <v>50</v>
      </c>
      <c r="E29" s="25" t="s">
        <v>28</v>
      </c>
      <c r="F29" s="15" t="s">
        <v>2493</v>
      </c>
      <c r="G29" s="25" t="s">
        <v>51</v>
      </c>
      <c r="H29" s="57">
        <v>1660.0</v>
      </c>
      <c r="I29" s="19">
        <v>5083.0</v>
      </c>
      <c r="J29" s="19"/>
      <c r="K29" s="19" t="s">
        <v>38</v>
      </c>
      <c r="L29" s="19"/>
      <c r="M29" s="19" t="s">
        <v>55</v>
      </c>
      <c r="N29" s="19"/>
    </row>
    <row r="30" ht="56.25" customHeight="1">
      <c r="A30" s="13" t="s">
        <v>2601</v>
      </c>
      <c r="B30" s="15" t="str">
        <f>IMAGE("https://imgur.com/38kTH3S.png")</f>
        <v/>
      </c>
      <c r="C30" s="17" t="str">
        <f>HYPERLINK("https://imgur.com/a/vZ2ELGT","No")</f>
        <v>No</v>
      </c>
      <c r="D30" s="25" t="s">
        <v>50</v>
      </c>
      <c r="E30" s="25" t="s">
        <v>28</v>
      </c>
      <c r="F30" s="15" t="s">
        <v>2493</v>
      </c>
      <c r="G30" s="25" t="s">
        <v>51</v>
      </c>
      <c r="H30" s="57">
        <v>6500.0</v>
      </c>
      <c r="I30" s="19">
        <v>7585.0</v>
      </c>
      <c r="J30" s="19"/>
      <c r="K30" s="19" t="s">
        <v>38</v>
      </c>
      <c r="L30" s="19"/>
      <c r="M30" s="19" t="s">
        <v>55</v>
      </c>
      <c r="N30" s="19"/>
    </row>
    <row r="31" ht="56.25" customHeight="1">
      <c r="A31" s="13" t="s">
        <v>2604</v>
      </c>
      <c r="B31" s="15" t="str">
        <f>IMAGE("https://imgur.com/ooRG1ca.png")</f>
        <v/>
      </c>
      <c r="C31" s="17" t="str">
        <f>HYPERLINK("https://imgur.com/a/vu9FVAf","No")</f>
        <v>No</v>
      </c>
      <c r="D31" s="25" t="s">
        <v>50</v>
      </c>
      <c r="E31" s="25" t="s">
        <v>28</v>
      </c>
      <c r="F31" s="15" t="s">
        <v>2493</v>
      </c>
      <c r="G31" s="25" t="s">
        <v>51</v>
      </c>
      <c r="H31" s="57">
        <v>3750.0</v>
      </c>
      <c r="I31" s="19">
        <v>7592.0</v>
      </c>
      <c r="J31" s="19"/>
      <c r="K31" s="19" t="s">
        <v>38</v>
      </c>
      <c r="L31" s="19"/>
      <c r="M31" s="19" t="s">
        <v>55</v>
      </c>
      <c r="N31" s="19"/>
    </row>
    <row r="32" ht="56.25" customHeight="1">
      <c r="A32" s="13" t="s">
        <v>2609</v>
      </c>
      <c r="B32" s="15" t="str">
        <f>IMAGE("https://imgur.com/5a6WZPF.png")</f>
        <v/>
      </c>
      <c r="C32" s="17" t="str">
        <f>HYPERLINK("https://imgur.com/a/BT3uRnq","No")</f>
        <v>No</v>
      </c>
      <c r="D32" s="25" t="s">
        <v>50</v>
      </c>
      <c r="E32" s="25" t="s">
        <v>28</v>
      </c>
      <c r="F32" s="15" t="s">
        <v>2493</v>
      </c>
      <c r="G32" s="25" t="s">
        <v>51</v>
      </c>
      <c r="H32" s="57">
        <v>1440.0</v>
      </c>
      <c r="I32" s="19">
        <v>2615.0</v>
      </c>
      <c r="J32" s="19"/>
      <c r="K32" s="19" t="s">
        <v>38</v>
      </c>
      <c r="L32" s="19"/>
      <c r="M32" s="19" t="s">
        <v>55</v>
      </c>
      <c r="N32" s="19"/>
    </row>
    <row r="33" ht="56.25" customHeight="1">
      <c r="A33" s="13" t="s">
        <v>2613</v>
      </c>
      <c r="B33" s="15" t="str">
        <f>IMAGE("https://imgur.com/xA8fuqI.png")</f>
        <v/>
      </c>
      <c r="C33" s="17" t="str">
        <f>HYPERLINK("https://imgur.com/a/mW1VITs","No")</f>
        <v>No</v>
      </c>
      <c r="D33" s="15"/>
      <c r="E33" s="25" t="s">
        <v>28</v>
      </c>
      <c r="F33" s="15" t="s">
        <v>2493</v>
      </c>
      <c r="G33" s="15">
        <v>1500.0</v>
      </c>
      <c r="H33" s="57">
        <v>375.0</v>
      </c>
      <c r="I33" s="19">
        <v>5741.0</v>
      </c>
      <c r="J33" s="19"/>
      <c r="K33" s="19" t="s">
        <v>38</v>
      </c>
      <c r="L33" s="19"/>
      <c r="M33" s="19" t="s">
        <v>55</v>
      </c>
      <c r="N33" s="19"/>
    </row>
    <row r="34" ht="56.25" customHeight="1">
      <c r="A34" s="13" t="s">
        <v>2616</v>
      </c>
      <c r="B34" s="15" t="str">
        <f>IMAGE("https://imgur.com/pm5n7pc.png")</f>
        <v/>
      </c>
      <c r="C34" s="17" t="str">
        <f>HYPERLINK("https://imgur.com/a/hmFSfaz","No")</f>
        <v>No</v>
      </c>
      <c r="D34" s="25" t="s">
        <v>50</v>
      </c>
      <c r="E34" s="25" t="s">
        <v>28</v>
      </c>
      <c r="F34" s="15" t="s">
        <v>2493</v>
      </c>
      <c r="G34" s="25" t="s">
        <v>51</v>
      </c>
      <c r="H34" s="57">
        <v>1580.0</v>
      </c>
      <c r="I34" s="19">
        <v>5094.0</v>
      </c>
      <c r="J34" s="19"/>
      <c r="K34" s="19" t="s">
        <v>38</v>
      </c>
      <c r="L34" s="19"/>
      <c r="M34" s="19" t="s">
        <v>55</v>
      </c>
      <c r="N34" s="19"/>
    </row>
    <row r="35" ht="56.25" customHeight="1">
      <c r="A35" s="13" t="s">
        <v>2621</v>
      </c>
      <c r="B35" s="15" t="str">
        <f>IMAGE("https://imgur.com/7UVC23e.png")</f>
        <v/>
      </c>
      <c r="C35" s="17" t="str">
        <f>HYPERLINK("https://imgur.com/a/Ovr6w83","No")</f>
        <v>No</v>
      </c>
      <c r="D35" s="25" t="s">
        <v>50</v>
      </c>
      <c r="E35" s="25" t="s">
        <v>28</v>
      </c>
      <c r="F35" s="15" t="s">
        <v>2493</v>
      </c>
      <c r="G35" s="25" t="s">
        <v>51</v>
      </c>
      <c r="H35" s="57">
        <v>1580.0</v>
      </c>
      <c r="I35" s="19">
        <v>5095.0</v>
      </c>
      <c r="J35" s="19"/>
      <c r="K35" s="19" t="s">
        <v>38</v>
      </c>
      <c r="L35" s="19"/>
      <c r="M35" s="19" t="s">
        <v>55</v>
      </c>
      <c r="N35" s="19"/>
    </row>
    <row r="36" ht="56.25" customHeight="1">
      <c r="A36" s="13" t="s">
        <v>2624</v>
      </c>
      <c r="B36" s="15" t="str">
        <f>IMAGE("https://imgur.com/1wyxr60.png")</f>
        <v/>
      </c>
      <c r="C36" s="17" t="str">
        <f>HYPERLINK("https://imgur.com/a/IZqqfz6","Yes")</f>
        <v>Yes</v>
      </c>
      <c r="D36" s="25" t="s">
        <v>50</v>
      </c>
      <c r="E36" s="25" t="s">
        <v>50</v>
      </c>
      <c r="F36" s="15" t="s">
        <v>2493</v>
      </c>
      <c r="G36" s="25" t="s">
        <v>51</v>
      </c>
      <c r="H36" s="57">
        <v>3300.0</v>
      </c>
      <c r="I36" s="19">
        <v>7588.0</v>
      </c>
      <c r="J36" s="19"/>
      <c r="K36" s="19" t="s">
        <v>38</v>
      </c>
      <c r="L36" s="19">
        <v>1.0</v>
      </c>
      <c r="M36" s="19" t="s">
        <v>55</v>
      </c>
      <c r="N36" s="19"/>
    </row>
    <row r="37" ht="56.25" customHeight="1">
      <c r="A37" s="13" t="s">
        <v>2627</v>
      </c>
      <c r="B37" s="15" t="str">
        <f>IMAGE("https://imgur.com/E3IACXI.png")</f>
        <v/>
      </c>
      <c r="C37" s="59" t="str">
        <f>HYPERLINK("https://imgur.com/a/JIxnzqJ","Yes")</f>
        <v>Yes</v>
      </c>
      <c r="D37" s="25" t="s">
        <v>50</v>
      </c>
      <c r="E37" s="25" t="s">
        <v>50</v>
      </c>
      <c r="F37" s="25">
        <v>30.0</v>
      </c>
      <c r="G37" s="15">
        <v>2400.0</v>
      </c>
      <c r="H37" s="57">
        <v>600.0</v>
      </c>
      <c r="I37" s="19">
        <v>5784.0</v>
      </c>
      <c r="J37" s="19"/>
      <c r="K37" s="19" t="s">
        <v>38</v>
      </c>
      <c r="L37" s="19">
        <v>1.0</v>
      </c>
      <c r="M37" s="19" t="s">
        <v>55</v>
      </c>
      <c r="N37" s="19"/>
    </row>
    <row r="38" ht="56.25" customHeight="1">
      <c r="A38" s="13" t="s">
        <v>2631</v>
      </c>
      <c r="B38" s="15" t="str">
        <f>IMAGE("https://imgur.com/zANOCJg.png")</f>
        <v/>
      </c>
      <c r="C38" s="17" t="str">
        <f>HYPERLINK("https://imgur.com/a/2O9o17s","No")</f>
        <v>No</v>
      </c>
      <c r="D38" s="25" t="s">
        <v>28</v>
      </c>
      <c r="E38" s="25" t="s">
        <v>28</v>
      </c>
      <c r="F38" s="25" t="s">
        <v>2493</v>
      </c>
      <c r="G38" s="15">
        <v>8000.0</v>
      </c>
      <c r="H38" s="57">
        <v>2000.0</v>
      </c>
      <c r="I38" s="19">
        <v>9762.0</v>
      </c>
      <c r="J38" s="19"/>
      <c r="K38" s="19" t="s">
        <v>38</v>
      </c>
      <c r="L38" s="19"/>
      <c r="M38" s="19" t="s">
        <v>516</v>
      </c>
      <c r="N38" s="19"/>
    </row>
    <row r="39" ht="56.25" customHeight="1">
      <c r="A39" s="13" t="s">
        <v>2635</v>
      </c>
      <c r="B39" s="15" t="str">
        <f>IMAGE("https://imgur.com/yoyX1Zl.png")</f>
        <v/>
      </c>
      <c r="C39" s="17" t="str">
        <f>HYPERLINK("https://imgur.com/a/5m7JF8N","No")</f>
        <v>No</v>
      </c>
      <c r="D39" s="25" t="s">
        <v>50</v>
      </c>
      <c r="E39" s="25" t="s">
        <v>28</v>
      </c>
      <c r="F39" s="25" t="s">
        <v>2493</v>
      </c>
      <c r="G39" s="25" t="s">
        <v>51</v>
      </c>
      <c r="H39" s="57">
        <v>1000.0</v>
      </c>
      <c r="I39" s="19">
        <v>5320.0</v>
      </c>
      <c r="J39" s="19"/>
      <c r="K39" s="19" t="s">
        <v>38</v>
      </c>
      <c r="L39" s="19"/>
      <c r="M39" s="19" t="s">
        <v>55</v>
      </c>
      <c r="N39" s="19"/>
    </row>
    <row r="40" ht="56.25" customHeight="1">
      <c r="A40" s="13" t="s">
        <v>2639</v>
      </c>
      <c r="B40" s="15" t="str">
        <f>IMAGE("https://imgur.com/Gfaz3PG.png")</f>
        <v/>
      </c>
      <c r="C40" s="17" t="str">
        <f>HYPERLINK("https://imgur.com/a/lMWmHnF","Yes")</f>
        <v>Yes</v>
      </c>
      <c r="D40" s="25" t="s">
        <v>28</v>
      </c>
      <c r="E40" s="25" t="s">
        <v>28</v>
      </c>
      <c r="F40" s="25">
        <v>30.0</v>
      </c>
      <c r="G40" s="15">
        <v>2500.0</v>
      </c>
      <c r="H40" s="57">
        <v>625.0</v>
      </c>
      <c r="I40" s="19">
        <v>8473.0</v>
      </c>
      <c r="J40" s="19" t="s">
        <v>2642</v>
      </c>
      <c r="K40" s="19" t="s">
        <v>38</v>
      </c>
      <c r="L40" s="19">
        <v>1.0</v>
      </c>
      <c r="M40" s="19" t="s">
        <v>44</v>
      </c>
      <c r="N40" s="19" t="s">
        <v>2512</v>
      </c>
    </row>
    <row r="41" ht="56.25" customHeight="1">
      <c r="A41" s="13" t="s">
        <v>2645</v>
      </c>
      <c r="B41" s="15" t="str">
        <f>IMAGE("https://imgur.com/8TGwEPN.png")</f>
        <v/>
      </c>
      <c r="C41" s="17" t="str">
        <f>HYPERLINK("https://imgur.com/a/MGEqBXv","Yes")</f>
        <v>Yes</v>
      </c>
      <c r="D41" s="25" t="s">
        <v>28</v>
      </c>
      <c r="E41" s="25" t="s">
        <v>28</v>
      </c>
      <c r="F41" s="25">
        <v>30.0</v>
      </c>
      <c r="G41" s="15">
        <v>2500.0</v>
      </c>
      <c r="H41" s="57">
        <v>625.0</v>
      </c>
      <c r="I41" s="19">
        <v>8178.0</v>
      </c>
      <c r="J41" s="19" t="s">
        <v>2642</v>
      </c>
      <c r="K41" s="19" t="s">
        <v>38</v>
      </c>
      <c r="L41" s="19">
        <v>1.0</v>
      </c>
      <c r="M41" s="19" t="s">
        <v>44</v>
      </c>
      <c r="N41" s="19" t="s">
        <v>2512</v>
      </c>
    </row>
    <row r="42" ht="56.25" customHeight="1">
      <c r="A42" s="13" t="s">
        <v>2649</v>
      </c>
      <c r="B42" s="15" t="str">
        <f>IMAGE("https://imgur.com/AtStqL5.png")</f>
        <v/>
      </c>
      <c r="C42" s="59" t="str">
        <f>HYPERLINK("https://imgur.com/a/ZrC27a6","Yes")</f>
        <v>Yes</v>
      </c>
      <c r="D42" s="25" t="s">
        <v>28</v>
      </c>
      <c r="E42" s="25" t="s">
        <v>28</v>
      </c>
      <c r="F42" s="15"/>
      <c r="G42" s="15">
        <v>2500.0</v>
      </c>
      <c r="H42" s="57">
        <v>625.0</v>
      </c>
      <c r="I42" s="19">
        <v>8575.0</v>
      </c>
      <c r="J42" s="19" t="s">
        <v>2642</v>
      </c>
      <c r="K42" s="19" t="s">
        <v>38</v>
      </c>
      <c r="L42" s="19">
        <v>1.0</v>
      </c>
      <c r="M42" s="19" t="s">
        <v>44</v>
      </c>
      <c r="N42" s="19" t="s">
        <v>2512</v>
      </c>
    </row>
    <row r="43" ht="56.25" customHeight="1">
      <c r="A43" s="13" t="s">
        <v>2652</v>
      </c>
      <c r="B43" s="15" t="str">
        <f>IMAGE("https://imgur.com/CVOanXZ.png")</f>
        <v/>
      </c>
      <c r="C43" s="17" t="str">
        <f>HYPERLINK("https://imgur.com/a/fBiWzlz","Yes")</f>
        <v>Yes</v>
      </c>
      <c r="D43" s="25" t="s">
        <v>28</v>
      </c>
      <c r="E43" s="25" t="s">
        <v>28</v>
      </c>
      <c r="F43" s="15"/>
      <c r="G43" s="15">
        <v>2500.0</v>
      </c>
      <c r="H43" s="57">
        <v>625.0</v>
      </c>
      <c r="I43" s="19">
        <v>8579.0</v>
      </c>
      <c r="J43" s="19" t="s">
        <v>2642</v>
      </c>
      <c r="K43" s="19" t="s">
        <v>38</v>
      </c>
      <c r="L43" s="19">
        <v>1.0</v>
      </c>
      <c r="M43" s="19" t="s">
        <v>44</v>
      </c>
      <c r="N43" s="19" t="s">
        <v>2512</v>
      </c>
    </row>
    <row r="44" ht="56.25" customHeight="1">
      <c r="A44" s="13" t="s">
        <v>2656</v>
      </c>
      <c r="B44" s="15" t="str">
        <f>IMAGE("https://imgur.com/aE4mXVW.png")</f>
        <v/>
      </c>
      <c r="C44" s="17" t="str">
        <f>HYPERLINK("https://imgur.com/a/AOpKOEW","Yes")</f>
        <v>Yes</v>
      </c>
      <c r="D44" s="25" t="s">
        <v>28</v>
      </c>
      <c r="E44" s="25" t="s">
        <v>28</v>
      </c>
      <c r="F44" s="15"/>
      <c r="G44" s="15">
        <v>2500.0</v>
      </c>
      <c r="H44" s="57">
        <v>625.0</v>
      </c>
      <c r="I44" s="19">
        <v>8536.0</v>
      </c>
      <c r="J44" s="19" t="s">
        <v>2642</v>
      </c>
      <c r="K44" s="19" t="s">
        <v>38</v>
      </c>
      <c r="L44" s="19">
        <v>1.0</v>
      </c>
      <c r="M44" s="19" t="s">
        <v>44</v>
      </c>
      <c r="N44" s="19" t="s">
        <v>2512</v>
      </c>
    </row>
    <row r="45" ht="56.25" customHeight="1">
      <c r="A45" s="13" t="s">
        <v>2661</v>
      </c>
      <c r="B45" s="15" t="str">
        <f>IMAGE("https://imgur.com/YJymhGS.png")</f>
        <v/>
      </c>
      <c r="C45" s="17" t="str">
        <f>HYPERLINK("https://imgur.com/a/5JhqiPg","No")</f>
        <v>No</v>
      </c>
      <c r="D45" s="25" t="s">
        <v>50</v>
      </c>
      <c r="E45" s="25" t="s">
        <v>28</v>
      </c>
      <c r="F45" s="25" t="s">
        <v>2493</v>
      </c>
      <c r="G45" s="25" t="s">
        <v>51</v>
      </c>
      <c r="H45" s="57">
        <v>2800.0</v>
      </c>
      <c r="I45" s="19">
        <v>5517.0</v>
      </c>
      <c r="J45" s="19"/>
      <c r="K45" s="19" t="s">
        <v>38</v>
      </c>
      <c r="L45" s="19"/>
      <c r="M45" s="19" t="s">
        <v>55</v>
      </c>
      <c r="N45" s="19" t="s">
        <v>172</v>
      </c>
    </row>
    <row r="46" ht="56.25" customHeight="1">
      <c r="A46" s="13" t="s">
        <v>2663</v>
      </c>
      <c r="B46" s="15" t="str">
        <f>IMAGE("https://imgur.com/mwv0iaS.png")</f>
        <v/>
      </c>
      <c r="C46" s="17" t="str">
        <f>HYPERLINK("https://imgur.com/a/mHglYgG","No")</f>
        <v>No</v>
      </c>
      <c r="D46" s="25" t="s">
        <v>50</v>
      </c>
      <c r="E46" s="25" t="s">
        <v>28</v>
      </c>
      <c r="F46" s="25" t="s">
        <v>2493</v>
      </c>
      <c r="G46" s="25" t="s">
        <v>51</v>
      </c>
      <c r="H46" s="57">
        <v>1580.0</v>
      </c>
      <c r="I46" s="19">
        <v>5091.0</v>
      </c>
      <c r="J46" s="19"/>
      <c r="K46" s="19" t="s">
        <v>38</v>
      </c>
      <c r="L46" s="19"/>
      <c r="M46" s="19" t="s">
        <v>55</v>
      </c>
      <c r="N46" s="19"/>
    </row>
    <row r="47" ht="56.25" customHeight="1">
      <c r="A47" s="13" t="s">
        <v>2667</v>
      </c>
      <c r="B47" s="15" t="str">
        <f>IMAGE("https://imgur.com/VeVkr19.png")</f>
        <v/>
      </c>
      <c r="C47" s="25" t="s">
        <v>40</v>
      </c>
      <c r="D47" s="25" t="s">
        <v>28</v>
      </c>
      <c r="E47" s="25" t="s">
        <v>28</v>
      </c>
      <c r="F47" s="25">
        <v>1.0</v>
      </c>
      <c r="G47" s="15">
        <v>100.0</v>
      </c>
      <c r="H47" s="57">
        <v>25.0</v>
      </c>
      <c r="I47" s="19">
        <v>2753.0</v>
      </c>
      <c r="J47" s="19"/>
      <c r="K47" s="19" t="s">
        <v>38</v>
      </c>
      <c r="L47" s="19"/>
      <c r="M47" s="19" t="s">
        <v>44</v>
      </c>
      <c r="N47" s="19" t="s">
        <v>2670</v>
      </c>
    </row>
    <row r="48" ht="56.25" customHeight="1">
      <c r="A48" s="13" t="s">
        <v>2672</v>
      </c>
      <c r="B48" s="15" t="str">
        <f>IMAGE("https://imgur.com/cOxfu7q.png")</f>
        <v/>
      </c>
      <c r="C48" s="17" t="str">
        <f>HYPERLINK("https://imgur.com/a/rUQnXQN","Yes")</f>
        <v>Yes</v>
      </c>
      <c r="D48" s="25" t="s">
        <v>28</v>
      </c>
      <c r="E48" s="25" t="s">
        <v>28</v>
      </c>
      <c r="F48" s="15"/>
      <c r="G48" s="15">
        <v>2500.0</v>
      </c>
      <c r="H48" s="57">
        <v>625.0</v>
      </c>
      <c r="I48" s="19">
        <v>8576.0</v>
      </c>
      <c r="J48" s="19"/>
      <c r="K48" s="19" t="s">
        <v>38</v>
      </c>
      <c r="L48" s="19">
        <v>1.0</v>
      </c>
      <c r="M48" s="19" t="s">
        <v>44</v>
      </c>
      <c r="N48" s="19" t="s">
        <v>2512</v>
      </c>
    </row>
    <row r="49" ht="56.25" customHeight="1">
      <c r="A49" s="13" t="s">
        <v>2676</v>
      </c>
      <c r="B49" s="15" t="str">
        <f>IMAGE("https://imgur.com/mJLx563.png")</f>
        <v/>
      </c>
      <c r="C49" s="25" t="s">
        <v>40</v>
      </c>
      <c r="D49" s="25" t="s">
        <v>50</v>
      </c>
      <c r="E49" s="25" t="s">
        <v>28</v>
      </c>
      <c r="F49" s="25" t="s">
        <v>2493</v>
      </c>
      <c r="G49" s="25" t="s">
        <v>51</v>
      </c>
      <c r="H49" s="57">
        <v>1580.0</v>
      </c>
      <c r="I49" s="19">
        <v>5093.0</v>
      </c>
      <c r="J49" s="19"/>
      <c r="K49" s="19" t="s">
        <v>38</v>
      </c>
      <c r="L49" s="19"/>
      <c r="M49" s="19" t="s">
        <v>55</v>
      </c>
      <c r="N49" s="19"/>
    </row>
    <row r="50" ht="56.25" customHeight="1">
      <c r="A50" s="13" t="s">
        <v>2680</v>
      </c>
      <c r="B50" s="15" t="str">
        <f>IMAGE("https://imgur.com/pBvEx0b.png")</f>
        <v/>
      </c>
      <c r="C50" s="25" t="s">
        <v>40</v>
      </c>
      <c r="D50" s="25" t="s">
        <v>50</v>
      </c>
      <c r="E50" s="25" t="s">
        <v>28</v>
      </c>
      <c r="F50" s="25" t="s">
        <v>2493</v>
      </c>
      <c r="G50" s="25" t="s">
        <v>51</v>
      </c>
      <c r="H50" s="57">
        <v>5100.0</v>
      </c>
      <c r="I50" s="19">
        <v>7586.0</v>
      </c>
      <c r="J50" s="19"/>
      <c r="K50" s="19" t="s">
        <v>38</v>
      </c>
      <c r="L50" s="19"/>
      <c r="M50" s="19" t="s">
        <v>55</v>
      </c>
      <c r="N50" s="19"/>
    </row>
    <row r="51" ht="56.25" customHeight="1">
      <c r="A51" s="13" t="s">
        <v>2683</v>
      </c>
      <c r="B51" s="15" t="str">
        <f>IMAGE("https://imgur.com/bcL5Gsn.png")</f>
        <v/>
      </c>
      <c r="C51" s="17" t="str">
        <f>HYPERLINK("https://imgur.com/a/mICRh9N","Yes")</f>
        <v>Yes</v>
      </c>
      <c r="D51" s="25" t="s">
        <v>50</v>
      </c>
      <c r="E51" s="25" t="s">
        <v>50</v>
      </c>
      <c r="F51" s="15"/>
      <c r="G51" s="15">
        <v>2400.0</v>
      </c>
      <c r="H51" s="57">
        <v>600.0</v>
      </c>
      <c r="I51" s="19">
        <v>2099.0</v>
      </c>
      <c r="J51" s="19"/>
      <c r="K51" s="19" t="s">
        <v>38</v>
      </c>
      <c r="L51" s="19">
        <v>1.0</v>
      </c>
      <c r="M51" s="19" t="s">
        <v>55</v>
      </c>
      <c r="N51" s="19"/>
    </row>
    <row r="52" ht="56.25" customHeight="1">
      <c r="A52" s="13" t="s">
        <v>2686</v>
      </c>
      <c r="B52" s="15" t="str">
        <f>IMAGE("https://imgur.com/yqkL4jg.png")</f>
        <v/>
      </c>
      <c r="C52" s="17" t="str">
        <f>HYPERLINK("https://imgur.com/a/iqit5vj","Yes")</f>
        <v>Yes</v>
      </c>
      <c r="D52" s="25" t="s">
        <v>50</v>
      </c>
      <c r="E52" s="25" t="s">
        <v>50</v>
      </c>
      <c r="F52" s="15"/>
      <c r="G52" s="15">
        <v>900.0</v>
      </c>
      <c r="H52" s="57">
        <v>225.0</v>
      </c>
      <c r="I52" s="19">
        <v>2822.0</v>
      </c>
      <c r="J52" s="19"/>
      <c r="K52" s="19" t="s">
        <v>38</v>
      </c>
      <c r="L52" s="19">
        <v>1.0</v>
      </c>
      <c r="M52" s="19" t="s">
        <v>2489</v>
      </c>
      <c r="N52" s="19" t="s">
        <v>202</v>
      </c>
    </row>
    <row r="53" ht="56.25" customHeight="1">
      <c r="A53" s="13" t="s">
        <v>2689</v>
      </c>
      <c r="B53" s="15" t="str">
        <f>IMAGE("https://imgur.com/7XCza4v.png")</f>
        <v/>
      </c>
      <c r="C53" s="17" t="str">
        <f>HYPERLINK("https://imgur.com/a/H0ZiuyR","Yes")</f>
        <v>Yes</v>
      </c>
      <c r="D53" s="15"/>
      <c r="E53" s="25" t="s">
        <v>28</v>
      </c>
      <c r="F53" s="15"/>
      <c r="G53" s="15">
        <v>2500.0</v>
      </c>
      <c r="H53" s="57">
        <v>625.0</v>
      </c>
      <c r="I53" s="19">
        <v>8176.0</v>
      </c>
      <c r="J53" s="19"/>
      <c r="K53" s="19" t="s">
        <v>38</v>
      </c>
      <c r="L53" s="19">
        <v>1.0</v>
      </c>
      <c r="M53" s="19" t="s">
        <v>44</v>
      </c>
      <c r="N53" s="19" t="s">
        <v>2512</v>
      </c>
    </row>
    <row r="54" ht="56.25" customHeight="1">
      <c r="A54" s="13" t="s">
        <v>2693</v>
      </c>
      <c r="B54" s="15" t="str">
        <f>IMAGE("https://imgur.com/be6257f.png")</f>
        <v/>
      </c>
      <c r="C54" s="17" t="str">
        <f>HYPERLINK("https://imgur.com/a/WUjSvno","No")</f>
        <v>No</v>
      </c>
      <c r="D54" s="25" t="s">
        <v>50</v>
      </c>
      <c r="E54" s="25" t="s">
        <v>28</v>
      </c>
      <c r="F54" s="15" t="s">
        <v>2493</v>
      </c>
      <c r="G54" s="25" t="s">
        <v>51</v>
      </c>
      <c r="H54" s="57">
        <v>6500.0</v>
      </c>
      <c r="I54" s="19">
        <v>2544.0</v>
      </c>
      <c r="J54" s="19"/>
      <c r="K54" s="19" t="s">
        <v>38</v>
      </c>
      <c r="L54" s="19"/>
      <c r="M54" s="19" t="s">
        <v>55</v>
      </c>
      <c r="N54" s="19"/>
    </row>
    <row r="55" ht="56.25" customHeight="1">
      <c r="A55" s="13" t="s">
        <v>2696</v>
      </c>
      <c r="B55" s="15" t="str">
        <f>IMAGE("https://imgur.com/9Qwi1YG.png")</f>
        <v/>
      </c>
      <c r="C55" s="17" t="str">
        <f>HYPERLINK("https://imgur.com/a/0SKlL0f","No")</f>
        <v>No</v>
      </c>
      <c r="D55" s="25" t="s">
        <v>50</v>
      </c>
      <c r="E55" s="25" t="s">
        <v>28</v>
      </c>
      <c r="F55" s="25">
        <v>100.0</v>
      </c>
      <c r="G55" s="25" t="s">
        <v>51</v>
      </c>
      <c r="H55" s="57">
        <v>560.0</v>
      </c>
      <c r="I55" s="19">
        <v>5856.0</v>
      </c>
      <c r="J55" s="19"/>
      <c r="K55" s="19" t="s">
        <v>38</v>
      </c>
      <c r="L55" s="19"/>
      <c r="M55" s="19" t="s">
        <v>55</v>
      </c>
      <c r="N55" s="19"/>
    </row>
    <row r="56" ht="56.25" customHeight="1">
      <c r="A56" s="13" t="s">
        <v>2699</v>
      </c>
      <c r="B56" s="15" t="str">
        <f>IMAGE("https://imgur.com/l7vpJIi.png")</f>
        <v/>
      </c>
      <c r="C56" s="25" t="s">
        <v>40</v>
      </c>
      <c r="D56" s="25" t="s">
        <v>28</v>
      </c>
      <c r="E56" s="25" t="s">
        <v>28</v>
      </c>
      <c r="F56" s="25" t="s">
        <v>2493</v>
      </c>
      <c r="G56" s="15">
        <v>1500.0</v>
      </c>
      <c r="H56" s="57">
        <v>375.0</v>
      </c>
      <c r="I56" s="19">
        <v>5430.0</v>
      </c>
      <c r="J56" s="19"/>
      <c r="K56" s="19" t="s">
        <v>38</v>
      </c>
      <c r="L56" s="19"/>
      <c r="M56" s="19" t="s">
        <v>44</v>
      </c>
      <c r="N56" s="19" t="s">
        <v>45</v>
      </c>
    </row>
    <row r="57" ht="56.25" customHeight="1">
      <c r="A57" s="13" t="s">
        <v>2704</v>
      </c>
      <c r="B57" s="15" t="str">
        <f>IMAGE("https://imgur.com/lHDLhlo.png")</f>
        <v/>
      </c>
      <c r="C57" s="25" t="s">
        <v>40</v>
      </c>
      <c r="D57" s="25" t="s">
        <v>28</v>
      </c>
      <c r="E57" s="25" t="s">
        <v>28</v>
      </c>
      <c r="F57" s="25" t="s">
        <v>2493</v>
      </c>
      <c r="G57" s="15">
        <v>840.0</v>
      </c>
      <c r="H57" s="57">
        <v>210.0</v>
      </c>
      <c r="I57" s="19">
        <v>3331.0</v>
      </c>
      <c r="J57" s="19"/>
      <c r="K57" s="19" t="s">
        <v>38</v>
      </c>
      <c r="L57" s="19"/>
      <c r="M57" s="19" t="s">
        <v>44</v>
      </c>
      <c r="N57" s="19"/>
    </row>
    <row r="58" ht="56.25" customHeight="1">
      <c r="A58" s="13" t="s">
        <v>2708</v>
      </c>
      <c r="B58" s="15" t="str">
        <f>IMAGE("https://imgur.com/46XIlip.png")</f>
        <v/>
      </c>
      <c r="C58" s="25" t="s">
        <v>40</v>
      </c>
      <c r="D58" s="25" t="s">
        <v>50</v>
      </c>
      <c r="E58" s="25" t="s">
        <v>28</v>
      </c>
      <c r="F58" s="25" t="s">
        <v>2493</v>
      </c>
      <c r="G58" s="25" t="s">
        <v>51</v>
      </c>
      <c r="H58" s="57">
        <v>1550.0</v>
      </c>
      <c r="I58" s="19">
        <v>7587.0</v>
      </c>
      <c r="J58" s="19"/>
      <c r="K58" s="19" t="s">
        <v>38</v>
      </c>
      <c r="L58" s="19"/>
      <c r="M58" s="19" t="s">
        <v>55</v>
      </c>
      <c r="N58" s="19"/>
    </row>
    <row r="59" ht="56.25" customHeight="1">
      <c r="A59" s="13" t="s">
        <v>2712</v>
      </c>
      <c r="B59" s="15" t="str">
        <f>IMAGE("https://imgur.com/DBdRN88.png")</f>
        <v/>
      </c>
      <c r="C59" s="25" t="s">
        <v>40</v>
      </c>
      <c r="D59" s="25" t="s">
        <v>50</v>
      </c>
      <c r="E59" s="25" t="s">
        <v>28</v>
      </c>
      <c r="F59" s="25" t="s">
        <v>2493</v>
      </c>
      <c r="G59" s="25" t="s">
        <v>51</v>
      </c>
      <c r="H59" s="57">
        <v>1580.0</v>
      </c>
      <c r="I59" s="19">
        <v>5085.0</v>
      </c>
      <c r="J59" s="19"/>
      <c r="K59" s="19" t="s">
        <v>38</v>
      </c>
      <c r="L59" s="19"/>
      <c r="M59" s="19" t="s">
        <v>55</v>
      </c>
      <c r="N59" s="19"/>
    </row>
    <row r="60" ht="56.25" customHeight="1">
      <c r="A60" s="13" t="s">
        <v>2714</v>
      </c>
      <c r="B60" s="15" t="str">
        <f>IMAGE("https://imgur.com/vcBsgry.png")</f>
        <v/>
      </c>
      <c r="C60" s="25" t="s">
        <v>40</v>
      </c>
      <c r="D60" s="25" t="s">
        <v>50</v>
      </c>
      <c r="E60" s="25" t="s">
        <v>28</v>
      </c>
      <c r="F60" s="25" t="s">
        <v>2493</v>
      </c>
      <c r="G60" s="25" t="s">
        <v>51</v>
      </c>
      <c r="H60" s="57">
        <v>600.0</v>
      </c>
      <c r="I60" s="19">
        <v>4703.0</v>
      </c>
      <c r="J60" s="19"/>
      <c r="K60" s="19" t="s">
        <v>38</v>
      </c>
      <c r="L60" s="19"/>
      <c r="M60" s="19" t="s">
        <v>55</v>
      </c>
      <c r="N60" s="19"/>
    </row>
    <row r="61" ht="56.25" customHeight="1">
      <c r="A61" s="13" t="s">
        <v>2718</v>
      </c>
      <c r="B61" s="15" t="str">
        <f>IMAGE("https://imgur.com/CPucdVg.png")</f>
        <v/>
      </c>
      <c r="C61" s="25" t="s">
        <v>40</v>
      </c>
      <c r="D61" s="25" t="s">
        <v>50</v>
      </c>
      <c r="E61" s="25" t="s">
        <v>28</v>
      </c>
      <c r="F61" s="25" t="s">
        <v>2493</v>
      </c>
      <c r="G61" s="25" t="s">
        <v>51</v>
      </c>
      <c r="H61" s="57">
        <v>1000.0</v>
      </c>
      <c r="I61" s="19">
        <v>7584.0</v>
      </c>
      <c r="J61" s="19"/>
      <c r="K61" s="19" t="s">
        <v>38</v>
      </c>
      <c r="L61" s="19"/>
      <c r="M61" s="19" t="s">
        <v>55</v>
      </c>
      <c r="N61" s="19"/>
    </row>
    <row r="62" ht="56.25" customHeight="1">
      <c r="A62" s="13" t="s">
        <v>2721</v>
      </c>
      <c r="B62" s="15" t="str">
        <f>IMAGE("https://imgur.com/KfWlj5D.png")</f>
        <v/>
      </c>
      <c r="C62" s="17" t="str">
        <f>HYPERLINK("https://imgur.com/a/t92Pka7","Yes")</f>
        <v>Yes</v>
      </c>
      <c r="D62" s="25" t="s">
        <v>50</v>
      </c>
      <c r="E62" s="25" t="s">
        <v>50</v>
      </c>
      <c r="F62" s="15"/>
      <c r="G62" s="15">
        <v>2400.0</v>
      </c>
      <c r="H62" s="57">
        <v>600.0</v>
      </c>
      <c r="I62" s="19">
        <v>2379.0</v>
      </c>
      <c r="J62" s="19"/>
      <c r="K62" s="19" t="s">
        <v>38</v>
      </c>
      <c r="L62" s="19">
        <v>1.0</v>
      </c>
      <c r="M62" s="19" t="s">
        <v>55</v>
      </c>
      <c r="N62" s="19"/>
    </row>
    <row r="63" ht="56.25" customHeight="1">
      <c r="A63" s="13" t="s">
        <v>2724</v>
      </c>
      <c r="B63" s="15" t="str">
        <f>IMAGE("https://imgur.com/ruvu0t4.png")</f>
        <v/>
      </c>
      <c r="C63" s="25" t="s">
        <v>40</v>
      </c>
      <c r="D63" s="25" t="s">
        <v>50</v>
      </c>
      <c r="E63" s="25" t="s">
        <v>28</v>
      </c>
      <c r="F63" s="25" t="s">
        <v>2493</v>
      </c>
      <c r="G63" s="25" t="s">
        <v>51</v>
      </c>
      <c r="H63" s="57">
        <v>1580.0</v>
      </c>
      <c r="I63" s="19">
        <v>5084.0</v>
      </c>
      <c r="J63" s="19"/>
      <c r="K63" s="19" t="s">
        <v>38</v>
      </c>
      <c r="L63" s="19"/>
      <c r="M63" s="19" t="s">
        <v>55</v>
      </c>
      <c r="N63" s="19"/>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71"/>
    <col customWidth="1" min="2" max="2" width="10.86"/>
    <col customWidth="1" min="3" max="3" width="9.29"/>
    <col customWidth="1" min="4" max="4" width="4.29"/>
    <col customWidth="1" min="5" max="5" width="8.29"/>
    <col customWidth="1" min="6" max="6" width="6.14"/>
    <col customWidth="1" min="7" max="7" width="5.71"/>
    <col customWidth="1" min="8" max="8" width="10.57"/>
    <col customWidth="1" min="9" max="9" width="5.14"/>
    <col customWidth="1" min="10" max="10" width="12.57"/>
    <col customWidth="1" min="11" max="11" width="20.57"/>
    <col customWidth="1" min="12" max="12" width="26.43"/>
    <col customWidth="1" min="13" max="13" width="9.14"/>
  </cols>
  <sheetData>
    <row r="1" ht="21.0" customHeight="1">
      <c r="A1" s="1" t="s">
        <v>0</v>
      </c>
      <c r="B1" s="3" t="s">
        <v>1</v>
      </c>
      <c r="C1" s="54" t="s">
        <v>3</v>
      </c>
      <c r="D1" s="55" t="s">
        <v>4</v>
      </c>
      <c r="E1" s="55" t="s">
        <v>2111</v>
      </c>
      <c r="F1" s="3" t="s">
        <v>6</v>
      </c>
      <c r="G1" s="1" t="s">
        <v>7</v>
      </c>
      <c r="H1" s="7" t="s">
        <v>8</v>
      </c>
      <c r="I1" s="7" t="s">
        <v>12</v>
      </c>
      <c r="J1" s="7" t="s">
        <v>18</v>
      </c>
      <c r="K1" s="7" t="s">
        <v>19</v>
      </c>
      <c r="L1" s="7" t="s">
        <v>20</v>
      </c>
      <c r="M1" s="7" t="s">
        <v>2739</v>
      </c>
    </row>
    <row r="2" ht="56.25" customHeight="1">
      <c r="A2" s="13" t="s">
        <v>2740</v>
      </c>
      <c r="B2" s="15" t="str">
        <f>image("https://i.imgur.com/6No0Q5n.png",1)</f>
        <v/>
      </c>
      <c r="C2" s="15" t="s">
        <v>40</v>
      </c>
      <c r="D2" s="25" t="s">
        <v>28</v>
      </c>
      <c r="E2" s="15" t="s">
        <v>50</v>
      </c>
      <c r="F2" s="15">
        <v>560.0</v>
      </c>
      <c r="G2" s="13">
        <v>140.0</v>
      </c>
      <c r="H2" s="19">
        <v>8532.0</v>
      </c>
      <c r="I2" s="19" t="s">
        <v>38</v>
      </c>
      <c r="J2" s="19" t="s">
        <v>43</v>
      </c>
      <c r="K2" s="19" t="s">
        <v>2743</v>
      </c>
      <c r="L2" s="19"/>
      <c r="M2" s="19" t="s">
        <v>2744</v>
      </c>
    </row>
    <row r="3" ht="56.25" customHeight="1">
      <c r="A3" s="13" t="s">
        <v>2745</v>
      </c>
      <c r="B3" s="60" t="str">
        <f>image("https://i.imgur.com/Ji1SOY1.png",1)</f>
        <v/>
      </c>
      <c r="C3" s="17" t="str">
        <f>HYPERLINK("https://imgur.com/a/Seq1Jp3","Yes")</f>
        <v>Yes</v>
      </c>
      <c r="D3" s="25" t="s">
        <v>28</v>
      </c>
      <c r="E3" s="15" t="s">
        <v>50</v>
      </c>
      <c r="F3" s="15">
        <v>1680.0</v>
      </c>
      <c r="G3" s="13">
        <v>420.0</v>
      </c>
      <c r="H3" s="19">
        <v>5289.0</v>
      </c>
      <c r="I3" s="19" t="s">
        <v>38</v>
      </c>
      <c r="J3" s="19" t="s">
        <v>43</v>
      </c>
      <c r="K3" s="19" t="s">
        <v>2749</v>
      </c>
      <c r="L3" s="19" t="s">
        <v>2751</v>
      </c>
      <c r="M3" s="19" t="s">
        <v>2744</v>
      </c>
    </row>
    <row r="4" ht="56.25" customHeight="1">
      <c r="A4" s="13" t="s">
        <v>2752</v>
      </c>
      <c r="B4" s="60" t="str">
        <f>image("https://i.imgur.com/4d108o6.png",1)</f>
        <v/>
      </c>
      <c r="C4" s="17" t="str">
        <f>HYPERLINK("https://imgur.com/a/3G4D6MM","Yes")</f>
        <v>Yes</v>
      </c>
      <c r="D4" s="25" t="s">
        <v>28</v>
      </c>
      <c r="E4" s="15" t="s">
        <v>50</v>
      </c>
      <c r="F4" s="15">
        <v>1050.0</v>
      </c>
      <c r="G4" s="13">
        <v>262.0</v>
      </c>
      <c r="H4" s="19">
        <v>4366.0</v>
      </c>
      <c r="I4" s="19" t="s">
        <v>38</v>
      </c>
      <c r="J4" s="19" t="s">
        <v>43</v>
      </c>
      <c r="K4" s="19" t="s">
        <v>2749</v>
      </c>
      <c r="L4" s="19" t="s">
        <v>2751</v>
      </c>
      <c r="M4" s="19" t="s">
        <v>2756</v>
      </c>
    </row>
    <row r="5" ht="56.25" customHeight="1">
      <c r="A5" s="13" t="s">
        <v>2757</v>
      </c>
      <c r="B5" s="60" t="str">
        <f>image("https://i.imgur.com/CW6xjOx.png",1)</f>
        <v/>
      </c>
      <c r="C5" s="17" t="str">
        <f>HYPERLINK("https://imgur.com/a/1XKjd3F","Yes")</f>
        <v>Yes</v>
      </c>
      <c r="D5" s="25" t="s">
        <v>28</v>
      </c>
      <c r="E5" s="15" t="s">
        <v>50</v>
      </c>
      <c r="F5" s="15">
        <v>2320.0</v>
      </c>
      <c r="G5" s="13">
        <v>580.0</v>
      </c>
      <c r="H5" s="19">
        <v>4465.0</v>
      </c>
      <c r="I5" s="19" t="s">
        <v>38</v>
      </c>
      <c r="J5" s="19" t="s">
        <v>43</v>
      </c>
      <c r="K5" s="19" t="s">
        <v>2749</v>
      </c>
      <c r="L5" s="19" t="s">
        <v>2751</v>
      </c>
      <c r="M5" s="19" t="s">
        <v>384</v>
      </c>
    </row>
    <row r="6" ht="56.25" customHeight="1">
      <c r="A6" s="13" t="s">
        <v>2761</v>
      </c>
      <c r="B6" s="60" t="str">
        <f>image("https://i.imgur.com/3OrhDXK.png",1)</f>
        <v/>
      </c>
      <c r="C6" s="17" t="str">
        <f>HYPERLINK("https://imgur.com/a/uQkhYBi","Yes")</f>
        <v>Yes</v>
      </c>
      <c r="D6" s="25" t="s">
        <v>28</v>
      </c>
      <c r="E6" s="15" t="s">
        <v>50</v>
      </c>
      <c r="F6" s="15">
        <v>960.0</v>
      </c>
      <c r="G6" s="13">
        <v>240.0</v>
      </c>
      <c r="H6" s="19">
        <v>8198.0</v>
      </c>
      <c r="I6" s="19" t="s">
        <v>38</v>
      </c>
      <c r="J6" s="19" t="s">
        <v>43</v>
      </c>
      <c r="K6" s="19" t="s">
        <v>2749</v>
      </c>
      <c r="L6" s="19" t="s">
        <v>2764</v>
      </c>
      <c r="M6" s="19" t="s">
        <v>2756</v>
      </c>
    </row>
    <row r="7" ht="56.25" customHeight="1">
      <c r="A7" s="13" t="s">
        <v>2765</v>
      </c>
      <c r="B7" s="60" t="str">
        <f>image("https://i.imgur.com/oh4SwuK.png",1)</f>
        <v/>
      </c>
      <c r="C7" s="15" t="s">
        <v>40</v>
      </c>
      <c r="D7" s="25" t="s">
        <v>28</v>
      </c>
      <c r="E7" s="15" t="s">
        <v>50</v>
      </c>
      <c r="F7" s="15">
        <v>640.0</v>
      </c>
      <c r="G7" s="13">
        <v>160.0</v>
      </c>
      <c r="H7" s="19">
        <v>12117.0</v>
      </c>
      <c r="I7" s="19" t="s">
        <v>38</v>
      </c>
      <c r="J7" s="19" t="s">
        <v>43</v>
      </c>
      <c r="K7" s="19" t="s">
        <v>2743</v>
      </c>
      <c r="L7" s="19"/>
      <c r="M7" s="19" t="s">
        <v>2744</v>
      </c>
    </row>
    <row r="8" ht="56.25" customHeight="1">
      <c r="A8" s="13" t="s">
        <v>2769</v>
      </c>
      <c r="B8" s="60" t="str">
        <f>image("https://i.imgur.com/57pj3BY.png",1)</f>
        <v/>
      </c>
      <c r="C8" s="17" t="str">
        <f>HYPERLINK("https://imgur.com/a/Jqqx7T5","Yes")</f>
        <v>Yes</v>
      </c>
      <c r="D8" s="25" t="s">
        <v>28</v>
      </c>
      <c r="E8" s="15" t="s">
        <v>50</v>
      </c>
      <c r="F8" s="15">
        <v>1400.0</v>
      </c>
      <c r="G8" s="13">
        <v>350.0</v>
      </c>
      <c r="H8" s="19">
        <v>4793.0</v>
      </c>
      <c r="I8" s="19" t="s">
        <v>38</v>
      </c>
      <c r="J8" s="19" t="s">
        <v>43</v>
      </c>
      <c r="K8" s="19" t="s">
        <v>2749</v>
      </c>
      <c r="L8" s="19" t="s">
        <v>2764</v>
      </c>
      <c r="M8" s="19" t="s">
        <v>2744</v>
      </c>
    </row>
    <row r="9" ht="56.25" customHeight="1">
      <c r="A9" s="13" t="s">
        <v>2771</v>
      </c>
      <c r="B9" s="60" t="str">
        <f>image("https://i.imgur.com/aRARBKH.png",1)</f>
        <v/>
      </c>
      <c r="C9" s="17" t="str">
        <f>HYPERLINK("https://imgur.com/a/YSnAI6M","Yes")</f>
        <v>Yes</v>
      </c>
      <c r="D9" s="25" t="s">
        <v>28</v>
      </c>
      <c r="E9" s="15" t="s">
        <v>50</v>
      </c>
      <c r="F9" s="15">
        <v>840.0</v>
      </c>
      <c r="G9" s="13">
        <v>210.0</v>
      </c>
      <c r="H9" s="19">
        <v>3228.0</v>
      </c>
      <c r="I9" s="19" t="s">
        <v>38</v>
      </c>
      <c r="J9" s="19" t="s">
        <v>43</v>
      </c>
      <c r="K9" s="19" t="s">
        <v>2749</v>
      </c>
      <c r="L9" s="19" t="s">
        <v>2751</v>
      </c>
      <c r="M9" s="19" t="s">
        <v>2744</v>
      </c>
    </row>
    <row r="10" ht="56.25" customHeight="1">
      <c r="A10" s="13" t="s">
        <v>2775</v>
      </c>
      <c r="B10" s="60" t="str">
        <f>image("https://i.imgur.com/7ZXw9nv.png",1)</f>
        <v/>
      </c>
      <c r="C10" s="17" t="str">
        <f>HYPERLINK("https://imgur.com/a/TZuX55A","Yes")</f>
        <v>Yes</v>
      </c>
      <c r="D10" s="25" t="s">
        <v>28</v>
      </c>
      <c r="E10" s="15" t="s">
        <v>50</v>
      </c>
      <c r="F10" s="15">
        <v>1300.0</v>
      </c>
      <c r="G10" s="13">
        <v>325.0</v>
      </c>
      <c r="H10" s="19">
        <v>3643.0</v>
      </c>
      <c r="I10" s="19" t="s">
        <v>38</v>
      </c>
      <c r="J10" s="19" t="s">
        <v>43</v>
      </c>
      <c r="K10" s="19" t="s">
        <v>2749</v>
      </c>
      <c r="L10" s="19" t="s">
        <v>2764</v>
      </c>
      <c r="M10" s="19" t="s">
        <v>2744</v>
      </c>
    </row>
    <row r="11" ht="56.25" customHeight="1">
      <c r="A11" s="13" t="s">
        <v>2779</v>
      </c>
      <c r="B11" s="60" t="str">
        <f>image("https://i.imgur.com/sP6uvVd.png",1)</f>
        <v/>
      </c>
      <c r="C11" s="17" t="str">
        <f>HYPERLINK("https://imgur.com/a/mQkVH9X","Yes")</f>
        <v>Yes</v>
      </c>
      <c r="D11" s="25" t="s">
        <v>28</v>
      </c>
      <c r="E11" s="15" t="s">
        <v>50</v>
      </c>
      <c r="F11" s="15">
        <v>1200.0</v>
      </c>
      <c r="G11" s="13">
        <v>300.0</v>
      </c>
      <c r="H11" s="19">
        <v>3633.0</v>
      </c>
      <c r="I11" s="19" t="s">
        <v>38</v>
      </c>
      <c r="J11" s="19" t="s">
        <v>43</v>
      </c>
      <c r="K11" s="19" t="s">
        <v>2749</v>
      </c>
      <c r="L11" s="19" t="s">
        <v>2764</v>
      </c>
      <c r="M11" s="19" t="s">
        <v>2744</v>
      </c>
    </row>
    <row r="12" ht="56.25" customHeight="1">
      <c r="A12" s="13" t="s">
        <v>2782</v>
      </c>
      <c r="B12" s="60" t="str">
        <f>image("https://i.imgur.com/TkKvs4r.png",1)</f>
        <v/>
      </c>
      <c r="C12" s="17" t="str">
        <f>HYPERLINK("https://imgur.com/a/uOcbcoH","Yes")</f>
        <v>Yes</v>
      </c>
      <c r="D12" s="25" t="s">
        <v>28</v>
      </c>
      <c r="E12" s="15" t="s">
        <v>50</v>
      </c>
      <c r="F12" s="15">
        <v>1200.0</v>
      </c>
      <c r="G12" s="13">
        <v>300.0</v>
      </c>
      <c r="H12" s="19">
        <v>3579.0</v>
      </c>
      <c r="I12" s="19" t="s">
        <v>38</v>
      </c>
      <c r="J12" s="19" t="s">
        <v>43</v>
      </c>
      <c r="K12" s="19" t="s">
        <v>2749</v>
      </c>
      <c r="L12" s="19" t="s">
        <v>2764</v>
      </c>
      <c r="M12" s="19" t="s">
        <v>2744</v>
      </c>
    </row>
    <row r="13" ht="56.25" customHeight="1">
      <c r="A13" s="13" t="s">
        <v>2785</v>
      </c>
      <c r="B13" s="60" t="str">
        <f>image("https://i.imgur.com/MXs7atT.png",1)</f>
        <v/>
      </c>
      <c r="C13" s="17" t="str">
        <f>HYPERLINK("https://imgur.com/a/4zYuS65","Yes")</f>
        <v>Yes</v>
      </c>
      <c r="D13" s="25" t="s">
        <v>28</v>
      </c>
      <c r="E13" s="15" t="s">
        <v>50</v>
      </c>
      <c r="F13" s="15">
        <v>1440.0</v>
      </c>
      <c r="G13" s="13">
        <v>360.0</v>
      </c>
      <c r="H13" s="19">
        <v>3262.0</v>
      </c>
      <c r="I13" s="19" t="s">
        <v>38</v>
      </c>
      <c r="J13" s="19" t="s">
        <v>43</v>
      </c>
      <c r="K13" s="19" t="s">
        <v>2749</v>
      </c>
      <c r="L13" s="19" t="s">
        <v>2764</v>
      </c>
      <c r="M13" s="19" t="s">
        <v>2744</v>
      </c>
    </row>
    <row r="14" ht="56.25" customHeight="1">
      <c r="A14" s="13" t="s">
        <v>2789</v>
      </c>
      <c r="B14" s="60" t="str">
        <f>image("https://i.imgur.com/tZFS9vH.png",1)</f>
        <v/>
      </c>
      <c r="C14" s="17" t="str">
        <f>HYPERLINK("https://imgur.com/a/rSJa5KM","Yes")</f>
        <v>Yes</v>
      </c>
      <c r="D14" s="25" t="s">
        <v>28</v>
      </c>
      <c r="E14" s="15" t="s">
        <v>50</v>
      </c>
      <c r="F14" s="15">
        <v>960.0</v>
      </c>
      <c r="G14" s="13">
        <v>240.0</v>
      </c>
      <c r="H14" s="19">
        <v>3244.0</v>
      </c>
      <c r="I14" s="19" t="s">
        <v>38</v>
      </c>
      <c r="J14" s="19" t="s">
        <v>43</v>
      </c>
      <c r="K14" s="19" t="s">
        <v>2749</v>
      </c>
      <c r="L14" s="19" t="s">
        <v>2764</v>
      </c>
      <c r="M14" s="19" t="s">
        <v>2793</v>
      </c>
    </row>
    <row r="15" ht="56.25" customHeight="1">
      <c r="A15" s="13" t="s">
        <v>2794</v>
      </c>
      <c r="B15" s="60" t="str">
        <f>image("https://i.imgur.com/PDOWzCt.png",1)</f>
        <v/>
      </c>
      <c r="C15" s="17" t="str">
        <f>HYPERLINK("https://imgur.com/a/cuI9AWH","Yes")</f>
        <v>Yes</v>
      </c>
      <c r="D15" s="25" t="s">
        <v>28</v>
      </c>
      <c r="E15" s="15" t="s">
        <v>28</v>
      </c>
      <c r="F15" s="25" t="s">
        <v>51</v>
      </c>
      <c r="G15" s="13">
        <v>10.0</v>
      </c>
      <c r="H15" s="19">
        <v>4710.0</v>
      </c>
      <c r="I15" s="19" t="s">
        <v>38</v>
      </c>
      <c r="J15" s="19" t="s">
        <v>54</v>
      </c>
      <c r="K15" s="19" t="s">
        <v>2797</v>
      </c>
      <c r="L15" s="19"/>
      <c r="M15" s="19" t="s">
        <v>2744</v>
      </c>
    </row>
    <row r="16" ht="56.25" customHeight="1">
      <c r="A16" s="13" t="s">
        <v>2798</v>
      </c>
      <c r="B16" s="60" t="str">
        <f>image("https://i.imgur.com/fmZ9Et4.png",1)</f>
        <v/>
      </c>
      <c r="C16" s="17" t="str">
        <f>HYPERLINK("https://imgur.com/a/1RWHwFI","Yes")</f>
        <v>Yes</v>
      </c>
      <c r="D16" s="25" t="s">
        <v>28</v>
      </c>
      <c r="E16" s="15" t="s">
        <v>50</v>
      </c>
      <c r="F16" s="15">
        <v>1120.0</v>
      </c>
      <c r="G16" s="13">
        <v>280.0</v>
      </c>
      <c r="H16" s="19">
        <v>4419.0</v>
      </c>
      <c r="I16" s="19" t="s">
        <v>38</v>
      </c>
      <c r="J16" s="19" t="s">
        <v>43</v>
      </c>
      <c r="K16" s="19" t="s">
        <v>2749</v>
      </c>
      <c r="L16" s="19" t="s">
        <v>2764</v>
      </c>
      <c r="M16" s="19" t="s">
        <v>2793</v>
      </c>
    </row>
    <row r="17" ht="56.25" customHeight="1">
      <c r="A17" s="13" t="s">
        <v>2802</v>
      </c>
      <c r="B17" s="60" t="str">
        <f>image("https://i.imgur.com/nw3PUMJ.png",1)</f>
        <v/>
      </c>
      <c r="C17" s="17" t="str">
        <f>HYPERLINK("https://imgur.com/a/ulY8Jd6","Yes")</f>
        <v>Yes</v>
      </c>
      <c r="D17" s="25" t="s">
        <v>28</v>
      </c>
      <c r="E17" s="15" t="s">
        <v>50</v>
      </c>
      <c r="F17" s="15">
        <v>1120.0</v>
      </c>
      <c r="G17" s="13">
        <v>280.0</v>
      </c>
      <c r="H17" s="19">
        <v>2727.0</v>
      </c>
      <c r="I17" s="19" t="s">
        <v>38</v>
      </c>
      <c r="J17" s="19" t="s">
        <v>43</v>
      </c>
      <c r="K17" s="19" t="s">
        <v>2749</v>
      </c>
      <c r="L17" s="19" t="s">
        <v>2764</v>
      </c>
      <c r="M17" s="19" t="s">
        <v>2793</v>
      </c>
    </row>
    <row r="18" ht="56.25" customHeight="1">
      <c r="A18" s="13" t="s">
        <v>2806</v>
      </c>
      <c r="B18" s="60" t="str">
        <f>image("https://i.imgur.com/uhKswN7.png",1)</f>
        <v/>
      </c>
      <c r="C18" s="15" t="s">
        <v>40</v>
      </c>
      <c r="D18" s="25" t="s">
        <v>28</v>
      </c>
      <c r="E18" s="15" t="s">
        <v>50</v>
      </c>
      <c r="F18" s="15">
        <v>800.0</v>
      </c>
      <c r="G18" s="13">
        <v>200.0</v>
      </c>
      <c r="H18" s="19">
        <v>8196.0</v>
      </c>
      <c r="I18" s="19" t="s">
        <v>38</v>
      </c>
      <c r="J18" s="19" t="s">
        <v>43</v>
      </c>
      <c r="K18" s="19" t="s">
        <v>2743</v>
      </c>
      <c r="L18" s="19"/>
      <c r="M18" s="19" t="s">
        <v>2793</v>
      </c>
    </row>
    <row r="19" ht="56.25" customHeight="1">
      <c r="A19" s="13" t="s">
        <v>2809</v>
      </c>
      <c r="B19" s="60" t="str">
        <f>image("https://i.imgur.com/yFLiLrx.png",1)</f>
        <v/>
      </c>
      <c r="C19" s="15" t="s">
        <v>40</v>
      </c>
      <c r="D19" s="25" t="s">
        <v>28</v>
      </c>
      <c r="E19" s="15" t="s">
        <v>50</v>
      </c>
      <c r="F19" s="15">
        <v>560.0</v>
      </c>
      <c r="G19" s="13">
        <v>140.0</v>
      </c>
      <c r="H19" s="19">
        <v>6822.0</v>
      </c>
      <c r="I19" s="19" t="s">
        <v>38</v>
      </c>
      <c r="J19" s="19" t="s">
        <v>43</v>
      </c>
      <c r="K19" s="19" t="s">
        <v>2743</v>
      </c>
      <c r="L19" s="19"/>
      <c r="M19" s="19" t="s">
        <v>2744</v>
      </c>
    </row>
    <row r="20" ht="56.25" customHeight="1">
      <c r="A20" s="13" t="s">
        <v>2812</v>
      </c>
      <c r="B20" s="60" t="str">
        <f>image("https://i.imgur.com/Cqqj2OV.png",1)</f>
        <v/>
      </c>
      <c r="C20" s="17" t="str">
        <f>HYPERLINK("https://imgur.com/a/poVkA1N","Yes")</f>
        <v>Yes</v>
      </c>
      <c r="D20" s="25" t="s">
        <v>28</v>
      </c>
      <c r="E20" s="15" t="s">
        <v>50</v>
      </c>
      <c r="F20" s="15">
        <v>1750.0</v>
      </c>
      <c r="G20" s="13">
        <v>437.0</v>
      </c>
      <c r="H20" s="19">
        <v>3198.0</v>
      </c>
      <c r="I20" s="19" t="s">
        <v>38</v>
      </c>
      <c r="J20" s="19" t="s">
        <v>43</v>
      </c>
      <c r="K20" s="19" t="s">
        <v>2749</v>
      </c>
      <c r="L20" s="19" t="s">
        <v>2751</v>
      </c>
      <c r="M20" s="19" t="s">
        <v>2756</v>
      </c>
    </row>
    <row r="21" ht="56.25" customHeight="1">
      <c r="A21" s="13" t="s">
        <v>2815</v>
      </c>
      <c r="B21" s="60" t="str">
        <f>image("https://i.imgur.com/1kt2ALR.png",1)</f>
        <v/>
      </c>
      <c r="C21" s="17" t="str">
        <f>HYPERLINK("https://imgur.com/a/EhKpjt3","Yes")</f>
        <v>Yes</v>
      </c>
      <c r="D21" s="25" t="s">
        <v>28</v>
      </c>
      <c r="E21" s="15" t="s">
        <v>50</v>
      </c>
      <c r="F21" s="15">
        <v>800.0</v>
      </c>
      <c r="G21" s="13">
        <v>200.0</v>
      </c>
      <c r="H21" s="19">
        <v>8205.0</v>
      </c>
      <c r="I21" s="19" t="s">
        <v>38</v>
      </c>
      <c r="J21" s="19" t="s">
        <v>43</v>
      </c>
      <c r="K21" s="19" t="s">
        <v>2749</v>
      </c>
      <c r="L21" s="19" t="s">
        <v>2764</v>
      </c>
      <c r="M21" s="19" t="s">
        <v>384</v>
      </c>
    </row>
    <row r="22" ht="56.25" customHeight="1">
      <c r="A22" s="13" t="s">
        <v>2818</v>
      </c>
      <c r="B22" s="60" t="str">
        <f>image("https://i.imgur.com/zSLgpJG.png",1)</f>
        <v/>
      </c>
      <c r="C22" s="17" t="str">
        <f>HYPERLINK("https://imgur.com/a/Nl3AAjo","Yes")</f>
        <v>Yes</v>
      </c>
      <c r="D22" s="25" t="s">
        <v>28</v>
      </c>
      <c r="E22" s="15" t="s">
        <v>50</v>
      </c>
      <c r="F22" s="15">
        <v>1680.0</v>
      </c>
      <c r="G22" s="13">
        <v>420.0</v>
      </c>
      <c r="H22" s="19">
        <v>4598.0</v>
      </c>
      <c r="I22" s="19" t="s">
        <v>38</v>
      </c>
      <c r="J22" s="19" t="s">
        <v>43</v>
      </c>
      <c r="K22" s="19" t="s">
        <v>2749</v>
      </c>
      <c r="L22" s="19" t="s">
        <v>2764</v>
      </c>
      <c r="M22" s="19" t="s">
        <v>384</v>
      </c>
    </row>
    <row r="23" ht="56.25" customHeight="1">
      <c r="A23" s="13" t="s">
        <v>2822</v>
      </c>
      <c r="B23" s="60" t="str">
        <f>image("https://i.imgur.com/QgYb0gj.png",1)</f>
        <v/>
      </c>
      <c r="C23" s="17" t="str">
        <f>HYPERLINK("https://imgur.com/a/aeiXWPF","Yes")</f>
        <v>Yes</v>
      </c>
      <c r="D23" s="25" t="s">
        <v>28</v>
      </c>
      <c r="E23" s="15" t="s">
        <v>50</v>
      </c>
      <c r="F23" s="15">
        <v>1400.0</v>
      </c>
      <c r="G23" s="13">
        <v>350.0</v>
      </c>
      <c r="H23" s="19">
        <v>3705.0</v>
      </c>
      <c r="I23" s="19" t="s">
        <v>38</v>
      </c>
      <c r="J23" s="19" t="s">
        <v>43</v>
      </c>
      <c r="K23" s="19" t="s">
        <v>2749</v>
      </c>
      <c r="L23" s="19" t="s">
        <v>2764</v>
      </c>
      <c r="M23" s="19" t="s">
        <v>2793</v>
      </c>
    </row>
    <row r="24" ht="56.25" customHeight="1">
      <c r="A24" s="13" t="s">
        <v>2826</v>
      </c>
      <c r="B24" s="60" t="str">
        <f>image("https://i.imgur.com/MOQ61i1.png",1)</f>
        <v/>
      </c>
      <c r="C24" s="17" t="str">
        <f>HYPERLINK("https://imgur.com/a/5Uy0V7Z","Yes")</f>
        <v>Yes</v>
      </c>
      <c r="D24" s="25" t="s">
        <v>28</v>
      </c>
      <c r="E24" s="15" t="s">
        <v>50</v>
      </c>
      <c r="F24" s="15">
        <v>960.0</v>
      </c>
      <c r="G24" s="13">
        <v>240.0</v>
      </c>
      <c r="H24" s="19">
        <v>8206.0</v>
      </c>
      <c r="I24" s="19" t="s">
        <v>38</v>
      </c>
      <c r="J24" s="19" t="s">
        <v>43</v>
      </c>
      <c r="K24" s="19" t="s">
        <v>2749</v>
      </c>
      <c r="L24" s="19" t="s">
        <v>2764</v>
      </c>
      <c r="M24" s="19" t="s">
        <v>2793</v>
      </c>
    </row>
    <row r="25" ht="56.25" customHeight="1">
      <c r="A25" s="13" t="s">
        <v>2830</v>
      </c>
      <c r="B25" s="60" t="str">
        <f>image("https://i.imgur.com/yrFIERk.png",1)</f>
        <v/>
      </c>
      <c r="C25" s="17" t="str">
        <f>HYPERLINK("https://imgur.com/a/z9NXUr0","Yes")</f>
        <v>Yes</v>
      </c>
      <c r="D25" s="25" t="s">
        <v>28</v>
      </c>
      <c r="E25" s="15" t="s">
        <v>50</v>
      </c>
      <c r="F25" s="15">
        <v>1440.0</v>
      </c>
      <c r="G25" s="13">
        <v>360.0</v>
      </c>
      <c r="H25" s="19">
        <v>4401.0</v>
      </c>
      <c r="I25" s="19" t="s">
        <v>38</v>
      </c>
      <c r="J25" s="19" t="s">
        <v>43</v>
      </c>
      <c r="K25" s="19" t="s">
        <v>2749</v>
      </c>
      <c r="L25" s="19" t="s">
        <v>2764</v>
      </c>
      <c r="M25" s="19" t="s">
        <v>2756</v>
      </c>
    </row>
    <row r="26" ht="56.25" customHeight="1">
      <c r="A26" s="13" t="s">
        <v>2833</v>
      </c>
      <c r="B26" s="60" t="str">
        <f>image("https://i.imgur.com/gEuqlfO.png",1)</f>
        <v/>
      </c>
      <c r="C26" s="15" t="s">
        <v>40</v>
      </c>
      <c r="D26" s="25" t="s">
        <v>28</v>
      </c>
      <c r="E26" s="15" t="s">
        <v>50</v>
      </c>
      <c r="F26" s="15">
        <v>640.0</v>
      </c>
      <c r="G26" s="13">
        <v>160.0</v>
      </c>
      <c r="H26" s="19">
        <v>8200.0</v>
      </c>
      <c r="I26" s="19" t="s">
        <v>38</v>
      </c>
      <c r="J26" s="19" t="s">
        <v>43</v>
      </c>
      <c r="K26" s="19" t="s">
        <v>2749</v>
      </c>
      <c r="L26" s="19" t="s">
        <v>2764</v>
      </c>
      <c r="M26" s="19" t="s">
        <v>2744</v>
      </c>
    </row>
    <row r="27" ht="56.25" customHeight="1">
      <c r="A27" s="13" t="s">
        <v>2838</v>
      </c>
      <c r="B27" s="60" t="str">
        <f>image("https://i.imgur.com/QbVZsIe.png",1)</f>
        <v/>
      </c>
      <c r="C27" s="15" t="s">
        <v>40</v>
      </c>
      <c r="D27" s="25" t="s">
        <v>28</v>
      </c>
      <c r="E27" s="15" t="s">
        <v>50</v>
      </c>
      <c r="F27" s="15">
        <v>640.0</v>
      </c>
      <c r="G27" s="13">
        <v>160.0</v>
      </c>
      <c r="H27" s="19">
        <v>12115.0</v>
      </c>
      <c r="I27" s="19" t="s">
        <v>38</v>
      </c>
      <c r="J27" s="19" t="s">
        <v>43</v>
      </c>
      <c r="K27" s="19" t="s">
        <v>2743</v>
      </c>
      <c r="L27" s="19"/>
      <c r="M27" s="19" t="s">
        <v>2744</v>
      </c>
    </row>
    <row r="28" ht="56.25" customHeight="1">
      <c r="A28" s="13" t="s">
        <v>2840</v>
      </c>
      <c r="B28" s="60" t="str">
        <f>image("https://i.imgur.com/iO2Vers.png",1)</f>
        <v/>
      </c>
      <c r="C28" s="17" t="str">
        <f>HYPERLINK("https://imgur.com/a/SL7oJkk","Yes")</f>
        <v>Yes</v>
      </c>
      <c r="D28" s="25" t="s">
        <v>28</v>
      </c>
      <c r="E28" s="15" t="s">
        <v>50</v>
      </c>
      <c r="F28" s="15">
        <v>800.0</v>
      </c>
      <c r="G28" s="13">
        <v>200.0</v>
      </c>
      <c r="H28" s="19">
        <v>9831.0</v>
      </c>
      <c r="I28" s="19" t="s">
        <v>38</v>
      </c>
      <c r="J28" s="19" t="s">
        <v>43</v>
      </c>
      <c r="K28" s="19" t="s">
        <v>2749</v>
      </c>
      <c r="L28" s="19" t="s">
        <v>2764</v>
      </c>
      <c r="M28" s="19" t="s">
        <v>2756</v>
      </c>
    </row>
    <row r="29" ht="56.25" customHeight="1">
      <c r="A29" s="13" t="s">
        <v>2844</v>
      </c>
      <c r="B29" s="60" t="str">
        <f>image("https://i.imgur.com/VFix6Pr.png",1)</f>
        <v/>
      </c>
      <c r="C29" s="17" t="str">
        <f>HYPERLINK("https://imgur.com/a/5Sk0W9r","Yes")</f>
        <v>Yes</v>
      </c>
      <c r="D29" s="25" t="s">
        <v>28</v>
      </c>
      <c r="E29" s="15" t="s">
        <v>50</v>
      </c>
      <c r="F29" s="15">
        <v>1260.0</v>
      </c>
      <c r="G29" s="13">
        <v>315.0</v>
      </c>
      <c r="H29" s="19">
        <v>3698.0</v>
      </c>
      <c r="I29" s="19" t="s">
        <v>38</v>
      </c>
      <c r="J29" s="19" t="s">
        <v>43</v>
      </c>
      <c r="K29" s="19" t="s">
        <v>2749</v>
      </c>
      <c r="L29" s="19" t="s">
        <v>2751</v>
      </c>
      <c r="M29" s="19" t="s">
        <v>2756</v>
      </c>
    </row>
    <row r="30" ht="56.25" customHeight="1">
      <c r="A30" s="13" t="s">
        <v>2847</v>
      </c>
      <c r="B30" s="60" t="str">
        <f>image("https://i.imgur.com/k6hqDS3.png",1)</f>
        <v/>
      </c>
      <c r="C30" s="15" t="s">
        <v>40</v>
      </c>
      <c r="D30" s="25" t="s">
        <v>28</v>
      </c>
      <c r="E30" s="25" t="s">
        <v>28</v>
      </c>
      <c r="F30" s="25" t="s">
        <v>51</v>
      </c>
      <c r="G30" s="13">
        <v>240.0</v>
      </c>
      <c r="H30" s="19">
        <v>8764.0</v>
      </c>
      <c r="I30" s="19" t="s">
        <v>38</v>
      </c>
      <c r="J30" s="19" t="s">
        <v>54</v>
      </c>
      <c r="K30" s="19" t="s">
        <v>264</v>
      </c>
      <c r="L30" s="19"/>
      <c r="M30" s="19" t="s">
        <v>2756</v>
      </c>
    </row>
    <row r="31" ht="56.25" customHeight="1">
      <c r="A31" s="13" t="s">
        <v>2850</v>
      </c>
      <c r="B31" s="60" t="str">
        <f>image("https://i.imgur.com/iesptRp.png",1)</f>
        <v/>
      </c>
      <c r="C31" s="17" t="str">
        <f>HYPERLINK("https://imgur.com/a/NmezuNL","Yes")</f>
        <v>Yes</v>
      </c>
      <c r="D31" s="25" t="s">
        <v>28</v>
      </c>
      <c r="E31" s="15" t="s">
        <v>50</v>
      </c>
      <c r="F31" s="15">
        <v>1440.0</v>
      </c>
      <c r="G31" s="13">
        <v>360.0</v>
      </c>
      <c r="H31" s="19">
        <v>5980.0</v>
      </c>
      <c r="I31" s="19" t="s">
        <v>38</v>
      </c>
      <c r="J31" s="19" t="s">
        <v>43</v>
      </c>
      <c r="K31" s="19" t="s">
        <v>2749</v>
      </c>
      <c r="L31" s="19" t="s">
        <v>2764</v>
      </c>
      <c r="M31" s="19" t="s">
        <v>2756</v>
      </c>
    </row>
    <row r="32" ht="56.25" customHeight="1">
      <c r="A32" s="13" t="s">
        <v>2855</v>
      </c>
      <c r="B32" s="60" t="str">
        <f>image("https://i.imgur.com/HBsD0gf.png",1)</f>
        <v/>
      </c>
      <c r="C32" s="17" t="str">
        <f>HYPERLINK("https://imgur.com/a/Dc0vtZA","Yes")</f>
        <v>Yes</v>
      </c>
      <c r="D32" s="25" t="s">
        <v>28</v>
      </c>
      <c r="E32" s="15" t="s">
        <v>50</v>
      </c>
      <c r="F32" s="15">
        <v>1960.0</v>
      </c>
      <c r="G32" s="13">
        <v>490.0</v>
      </c>
      <c r="H32" s="19">
        <v>4363.0</v>
      </c>
      <c r="I32" s="19" t="s">
        <v>38</v>
      </c>
      <c r="J32" s="19" t="s">
        <v>43</v>
      </c>
      <c r="K32" s="19" t="s">
        <v>2749</v>
      </c>
      <c r="L32" s="19" t="s">
        <v>2751</v>
      </c>
      <c r="M32" s="19" t="s">
        <v>2756</v>
      </c>
    </row>
    <row r="33" ht="56.25" customHeight="1">
      <c r="A33" s="13" t="s">
        <v>2859</v>
      </c>
      <c r="B33" s="60" t="str">
        <f>image("https://i.imgur.com/lMTAGpp.png",1)</f>
        <v/>
      </c>
      <c r="C33" s="17" t="str">
        <f>HYPERLINK("https://imgur.com/a/tK5Umo3","Yes")</f>
        <v>Yes</v>
      </c>
      <c r="D33" s="25" t="s">
        <v>28</v>
      </c>
      <c r="E33" s="15" t="s">
        <v>50</v>
      </c>
      <c r="F33" s="15">
        <v>1500.0</v>
      </c>
      <c r="G33" s="13">
        <v>375.0</v>
      </c>
      <c r="H33" s="19">
        <v>3178.0</v>
      </c>
      <c r="I33" s="19" t="s">
        <v>38</v>
      </c>
      <c r="J33" s="19" t="s">
        <v>43</v>
      </c>
      <c r="K33" s="19" t="s">
        <v>2749</v>
      </c>
      <c r="L33" s="19" t="s">
        <v>2751</v>
      </c>
      <c r="M33" s="19" t="s">
        <v>2863</v>
      </c>
    </row>
    <row r="34" ht="56.25" customHeight="1">
      <c r="A34" s="13" t="s">
        <v>2864</v>
      </c>
      <c r="B34" s="60" t="str">
        <f>image("https://i.imgur.com/p6XY2Fb.png",1)</f>
        <v/>
      </c>
      <c r="C34" s="17" t="str">
        <f>HYPERLINK("https://imgur.com/a/oIurIPq","Yes")</f>
        <v>Yes</v>
      </c>
      <c r="D34" s="25" t="s">
        <v>28</v>
      </c>
      <c r="E34" s="15" t="s">
        <v>50</v>
      </c>
      <c r="F34" s="15">
        <v>1400.0</v>
      </c>
      <c r="G34" s="13">
        <v>350.0</v>
      </c>
      <c r="H34" s="19">
        <v>4402.0</v>
      </c>
      <c r="I34" s="19" t="s">
        <v>38</v>
      </c>
      <c r="J34" s="19" t="s">
        <v>43</v>
      </c>
      <c r="K34" s="19" t="s">
        <v>2749</v>
      </c>
      <c r="L34" s="19" t="s">
        <v>2764</v>
      </c>
      <c r="M34" s="19" t="s">
        <v>2756</v>
      </c>
    </row>
    <row r="35" ht="56.25" customHeight="1">
      <c r="A35" s="13" t="s">
        <v>2868</v>
      </c>
      <c r="B35" s="60" t="str">
        <f>image("https://i.imgur.com/PLPGT2f.png",1)</f>
        <v/>
      </c>
      <c r="C35" s="17" t="str">
        <f>HYPERLINK("https://imgur.com/a/3bHoO9v","Yes")</f>
        <v>Yes</v>
      </c>
      <c r="D35" s="25" t="s">
        <v>28</v>
      </c>
      <c r="E35" s="15" t="s">
        <v>50</v>
      </c>
      <c r="F35" s="15">
        <v>960.0</v>
      </c>
      <c r="G35" s="13">
        <v>240.0</v>
      </c>
      <c r="H35" s="19">
        <v>3257.0</v>
      </c>
      <c r="I35" s="19" t="s">
        <v>38</v>
      </c>
      <c r="J35" s="19" t="s">
        <v>43</v>
      </c>
      <c r="K35" s="19" t="s">
        <v>2749</v>
      </c>
      <c r="L35" s="19" t="s">
        <v>2764</v>
      </c>
      <c r="M35" s="19" t="s">
        <v>2756</v>
      </c>
    </row>
    <row r="36" ht="56.25" customHeight="1">
      <c r="A36" s="13" t="s">
        <v>2874</v>
      </c>
      <c r="B36" s="60" t="str">
        <f>image("https://i.imgur.com/COnjylY.png",1)</f>
        <v/>
      </c>
      <c r="C36" s="15" t="s">
        <v>40</v>
      </c>
      <c r="D36" s="25" t="s">
        <v>28</v>
      </c>
      <c r="E36" s="15" t="s">
        <v>50</v>
      </c>
      <c r="F36" s="15">
        <v>840.0</v>
      </c>
      <c r="G36" s="21">
        <v>210.0</v>
      </c>
      <c r="H36" s="19"/>
      <c r="I36" s="19" t="s">
        <v>38</v>
      </c>
      <c r="J36" s="19" t="s">
        <v>496</v>
      </c>
      <c r="K36" s="19" t="s">
        <v>497</v>
      </c>
      <c r="L36" s="19"/>
      <c r="M36" s="19"/>
    </row>
    <row r="37" ht="56.25" customHeight="1">
      <c r="A37" s="13" t="s">
        <v>2877</v>
      </c>
      <c r="B37" s="60" t="str">
        <f>image("https://i.imgur.com/1z6UcIf.png",1)</f>
        <v/>
      </c>
      <c r="C37" s="17" t="str">
        <f>HYPERLINK("https://imgur.com/a/OuIq4xR","Yes")</f>
        <v>Yes</v>
      </c>
      <c r="D37" s="25" t="s">
        <v>28</v>
      </c>
      <c r="E37" s="15" t="s">
        <v>50</v>
      </c>
      <c r="F37" s="15">
        <v>840.0</v>
      </c>
      <c r="G37" s="13">
        <v>210.0</v>
      </c>
      <c r="H37" s="19">
        <v>3578.0</v>
      </c>
      <c r="I37" s="19" t="s">
        <v>38</v>
      </c>
      <c r="J37" s="19" t="s">
        <v>43</v>
      </c>
      <c r="K37" s="19" t="s">
        <v>2749</v>
      </c>
      <c r="L37" s="19" t="s">
        <v>2764</v>
      </c>
      <c r="M37" s="19" t="s">
        <v>2744</v>
      </c>
    </row>
    <row r="38" ht="56.25" customHeight="1">
      <c r="A38" s="13" t="s">
        <v>2882</v>
      </c>
      <c r="B38" s="60" t="str">
        <f>image("https://i.imgur.com/VsU9moT.png",1)</f>
        <v/>
      </c>
      <c r="C38" s="17" t="str">
        <f>HYPERLINK("https://imgur.com/a/JJhLvQi","Yes")</f>
        <v>Yes</v>
      </c>
      <c r="D38" s="25" t="s">
        <v>28</v>
      </c>
      <c r="E38" s="15" t="s">
        <v>50</v>
      </c>
      <c r="F38" s="15">
        <v>1680.0</v>
      </c>
      <c r="G38" s="13">
        <v>420.0</v>
      </c>
      <c r="H38" s="19">
        <v>4503.0</v>
      </c>
      <c r="I38" s="19" t="s">
        <v>38</v>
      </c>
      <c r="J38" s="19" t="s">
        <v>43</v>
      </c>
      <c r="K38" s="19" t="s">
        <v>2749</v>
      </c>
      <c r="L38" s="19" t="s">
        <v>2751</v>
      </c>
      <c r="M38" s="19" t="s">
        <v>2744</v>
      </c>
    </row>
    <row r="39" ht="56.25" customHeight="1">
      <c r="A39" s="13" t="s">
        <v>2886</v>
      </c>
      <c r="B39" s="60" t="str">
        <f>image("https://i.imgur.com/waqe5TA.png",1)</f>
        <v/>
      </c>
      <c r="C39" s="17" t="str">
        <f>HYPERLINK("https://imgur.com/a/4um1Phv","Yes")</f>
        <v>Yes</v>
      </c>
      <c r="D39" s="25" t="s">
        <v>28</v>
      </c>
      <c r="E39" s="15" t="s">
        <v>50</v>
      </c>
      <c r="F39" s="15">
        <v>2080.0</v>
      </c>
      <c r="G39" s="13">
        <v>520.0</v>
      </c>
      <c r="H39" s="19">
        <v>3233.0</v>
      </c>
      <c r="I39" s="19" t="s">
        <v>38</v>
      </c>
      <c r="J39" s="19" t="s">
        <v>43</v>
      </c>
      <c r="K39" s="19" t="s">
        <v>2749</v>
      </c>
      <c r="L39" s="19" t="s">
        <v>2751</v>
      </c>
      <c r="M39" s="19" t="s">
        <v>2863</v>
      </c>
    </row>
    <row r="40" ht="56.25" customHeight="1">
      <c r="A40" s="13" t="s">
        <v>2890</v>
      </c>
      <c r="B40" s="60" t="str">
        <f>image("https://i.imgur.com/L1dal7n.png",1)</f>
        <v/>
      </c>
      <c r="C40" s="17" t="str">
        <f>HYPERLINK("https://imgur.com/a/as3aOeg","Yes")</f>
        <v>Yes</v>
      </c>
      <c r="D40" s="25" t="s">
        <v>28</v>
      </c>
      <c r="E40" s="15" t="s">
        <v>50</v>
      </c>
      <c r="F40" s="15">
        <v>2380.0</v>
      </c>
      <c r="G40" s="13">
        <v>595.0</v>
      </c>
      <c r="H40" s="19">
        <v>3941.0</v>
      </c>
      <c r="I40" s="19" t="s">
        <v>38</v>
      </c>
      <c r="J40" s="19" t="s">
        <v>43</v>
      </c>
      <c r="K40" s="19" t="s">
        <v>2749</v>
      </c>
      <c r="L40" s="19" t="s">
        <v>2751</v>
      </c>
      <c r="M40" s="19" t="s">
        <v>2863</v>
      </c>
    </row>
    <row r="41" ht="56.25" customHeight="1">
      <c r="A41" s="13" t="s">
        <v>2896</v>
      </c>
      <c r="B41" s="60" t="str">
        <f>image("https://i.imgur.com/7qbLfgt.png",1)</f>
        <v/>
      </c>
      <c r="C41" s="17" t="str">
        <f>HYPERLINK("https://imgur.com/a/5Bc8urw","Yes")</f>
        <v>Yes</v>
      </c>
      <c r="D41" s="25" t="s">
        <v>28</v>
      </c>
      <c r="E41" s="15" t="s">
        <v>50</v>
      </c>
      <c r="F41" s="15">
        <v>1440.0</v>
      </c>
      <c r="G41" s="13">
        <v>360.0</v>
      </c>
      <c r="H41" s="19">
        <v>4553.0</v>
      </c>
      <c r="I41" s="19" t="s">
        <v>38</v>
      </c>
      <c r="J41" s="19" t="s">
        <v>43</v>
      </c>
      <c r="K41" s="19" t="s">
        <v>2749</v>
      </c>
      <c r="L41" s="19" t="s">
        <v>2764</v>
      </c>
      <c r="M41" s="19" t="s">
        <v>2744</v>
      </c>
    </row>
    <row r="42" ht="56.25" customHeight="1">
      <c r="A42" s="13" t="s">
        <v>2899</v>
      </c>
      <c r="B42" s="60" t="str">
        <f>image("https://i.imgur.com/Sa79XZm.png",1)</f>
        <v/>
      </c>
      <c r="C42" s="17" t="str">
        <f>HYPERLINK("https://imgur.com/a/05LtwO6","Yes")</f>
        <v>Yes</v>
      </c>
      <c r="D42" s="25" t="s">
        <v>28</v>
      </c>
      <c r="E42" s="15" t="s">
        <v>50</v>
      </c>
      <c r="F42" s="15">
        <v>1680.0</v>
      </c>
      <c r="G42" s="13">
        <v>420.0</v>
      </c>
      <c r="H42" s="19">
        <v>3177.0</v>
      </c>
      <c r="I42" s="19" t="s">
        <v>38</v>
      </c>
      <c r="J42" s="19" t="s">
        <v>43</v>
      </c>
      <c r="K42" s="19" t="s">
        <v>2749</v>
      </c>
      <c r="L42" s="19" t="s">
        <v>2751</v>
      </c>
      <c r="M42" s="19" t="s">
        <v>2744</v>
      </c>
    </row>
    <row r="43" ht="56.25" customHeight="1">
      <c r="A43" s="13" t="s">
        <v>2903</v>
      </c>
      <c r="B43" s="60" t="str">
        <f>image("https://i.imgur.com/wYO87NA.png",1)</f>
        <v/>
      </c>
      <c r="C43" s="17" t="str">
        <f>HYPERLINK("https://imgur.com/a/mkXeYjq","Yes")</f>
        <v>Yes</v>
      </c>
      <c r="D43" s="25" t="s">
        <v>28</v>
      </c>
      <c r="E43" s="15" t="s">
        <v>50</v>
      </c>
      <c r="F43" s="15">
        <v>2320.0</v>
      </c>
      <c r="G43" s="13">
        <v>580.0</v>
      </c>
      <c r="H43" s="19">
        <v>3939.0</v>
      </c>
      <c r="I43" s="19" t="s">
        <v>38</v>
      </c>
      <c r="J43" s="19" t="s">
        <v>43</v>
      </c>
      <c r="K43" s="19" t="s">
        <v>2749</v>
      </c>
      <c r="L43" s="19" t="s">
        <v>2751</v>
      </c>
      <c r="M43" s="19" t="s">
        <v>2756</v>
      </c>
    </row>
    <row r="44" ht="56.25" customHeight="1">
      <c r="A44" s="13" t="s">
        <v>2906</v>
      </c>
      <c r="B44" s="60" t="str">
        <f>image("https://i.imgur.com/YTfEhK8.png",1)</f>
        <v/>
      </c>
      <c r="C44" s="15" t="s">
        <v>40</v>
      </c>
      <c r="D44" s="25" t="s">
        <v>28</v>
      </c>
      <c r="E44" s="15" t="s">
        <v>50</v>
      </c>
      <c r="F44" s="15">
        <v>800.0</v>
      </c>
      <c r="G44" s="13">
        <v>200.0</v>
      </c>
      <c r="H44" s="19">
        <v>3259.0</v>
      </c>
      <c r="I44" s="19" t="s">
        <v>38</v>
      </c>
      <c r="J44" s="19" t="s">
        <v>43</v>
      </c>
      <c r="K44" s="19" t="s">
        <v>2749</v>
      </c>
      <c r="L44" s="19" t="s">
        <v>2764</v>
      </c>
      <c r="M44" s="19" t="s">
        <v>2744</v>
      </c>
    </row>
    <row r="45" ht="56.25" customHeight="1">
      <c r="A45" s="13" t="s">
        <v>2909</v>
      </c>
      <c r="B45" s="60" t="str">
        <f>image("https://i.imgur.com/EBd77nU.png",1)</f>
        <v/>
      </c>
      <c r="C45" s="17" t="str">
        <f>HYPERLINK("https://imgur.com/a/cHA8Nig","Yes")</f>
        <v>Yes</v>
      </c>
      <c r="D45" s="25" t="s">
        <v>28</v>
      </c>
      <c r="E45" s="15" t="s">
        <v>50</v>
      </c>
      <c r="F45" s="15">
        <v>1120.0</v>
      </c>
      <c r="G45" s="13">
        <v>280.0</v>
      </c>
      <c r="H45" s="19">
        <v>4507.0</v>
      </c>
      <c r="I45" s="19" t="s">
        <v>38</v>
      </c>
      <c r="J45" s="19" t="s">
        <v>43</v>
      </c>
      <c r="K45" s="19" t="s">
        <v>2749</v>
      </c>
      <c r="L45" s="19" t="s">
        <v>2764</v>
      </c>
      <c r="M45" s="19" t="s">
        <v>2863</v>
      </c>
    </row>
    <row r="46" ht="56.25" customHeight="1">
      <c r="A46" s="13" t="s">
        <v>2913</v>
      </c>
      <c r="B46" s="60" t="str">
        <f>image("https://i.imgur.com/kFY2qWH.png",1)</f>
        <v/>
      </c>
      <c r="C46" s="15" t="s">
        <v>40</v>
      </c>
      <c r="D46" s="25" t="s">
        <v>28</v>
      </c>
      <c r="E46" s="15" t="s">
        <v>50</v>
      </c>
      <c r="F46" s="15">
        <v>640.0</v>
      </c>
      <c r="G46" s="13">
        <v>160.0</v>
      </c>
      <c r="H46" s="19">
        <v>12120.0</v>
      </c>
      <c r="I46" s="19" t="s">
        <v>38</v>
      </c>
      <c r="J46" s="19" t="s">
        <v>43</v>
      </c>
      <c r="K46" s="19" t="s">
        <v>2743</v>
      </c>
      <c r="L46" s="19"/>
      <c r="M46" s="19" t="s">
        <v>2744</v>
      </c>
    </row>
    <row r="47" ht="56.25" customHeight="1">
      <c r="A47" s="13" t="s">
        <v>2915</v>
      </c>
      <c r="B47" s="60" t="str">
        <f>image("https://i.imgur.com/HjYgFEh.png",1)</f>
        <v/>
      </c>
      <c r="C47" s="17" t="str">
        <f>HYPERLINK("https://imgur.com/a/OhHCdSl","Yes")</f>
        <v>Yes</v>
      </c>
      <c r="D47" s="25" t="s">
        <v>28</v>
      </c>
      <c r="E47" s="15" t="s">
        <v>50</v>
      </c>
      <c r="F47" s="15">
        <v>2380.0</v>
      </c>
      <c r="G47" s="13">
        <v>595.0</v>
      </c>
      <c r="H47" s="19">
        <v>4601.0</v>
      </c>
      <c r="I47" s="19" t="s">
        <v>38</v>
      </c>
      <c r="J47" s="19" t="s">
        <v>43</v>
      </c>
      <c r="K47" s="19" t="s">
        <v>2749</v>
      </c>
      <c r="L47" s="19" t="s">
        <v>2751</v>
      </c>
      <c r="M47" s="19" t="s">
        <v>2863</v>
      </c>
    </row>
    <row r="48" ht="56.25" customHeight="1">
      <c r="A48" s="13" t="s">
        <v>2919</v>
      </c>
      <c r="B48" s="60" t="str">
        <f>image("https://i.imgur.com/iT8SSLp.png",1)</f>
        <v/>
      </c>
      <c r="C48" s="17" t="str">
        <f>HYPERLINK("https://imgur.com/a/H2QjWfS","Yes")</f>
        <v>Yes</v>
      </c>
      <c r="D48" s="25" t="s">
        <v>28</v>
      </c>
      <c r="E48" s="15" t="s">
        <v>50</v>
      </c>
      <c r="F48" s="15">
        <v>2000.0</v>
      </c>
      <c r="G48" s="13">
        <v>500.0</v>
      </c>
      <c r="H48" s="19">
        <v>3663.0</v>
      </c>
      <c r="I48" s="19" t="s">
        <v>38</v>
      </c>
      <c r="J48" s="19" t="s">
        <v>43</v>
      </c>
      <c r="K48" s="19" t="s">
        <v>2749</v>
      </c>
      <c r="L48" s="19" t="s">
        <v>2764</v>
      </c>
      <c r="M48" s="19" t="s">
        <v>2744</v>
      </c>
    </row>
    <row r="49" ht="56.25" customHeight="1">
      <c r="A49" s="13" t="s">
        <v>2922</v>
      </c>
      <c r="B49" s="60" t="str">
        <f>image("https://i.imgur.com/UWEczIX.png",1)</f>
        <v/>
      </c>
      <c r="C49" s="17" t="str">
        <f>HYPERLINK("https://imgur.com/a/2GUFidV","Yes")</f>
        <v>Yes</v>
      </c>
      <c r="D49" s="25" t="s">
        <v>28</v>
      </c>
      <c r="E49" s="15" t="s">
        <v>50</v>
      </c>
      <c r="F49" s="15">
        <v>960.0</v>
      </c>
      <c r="G49" s="13">
        <v>240.0</v>
      </c>
      <c r="H49" s="19">
        <v>3690.0</v>
      </c>
      <c r="I49" s="19" t="s">
        <v>38</v>
      </c>
      <c r="J49" s="19" t="s">
        <v>43</v>
      </c>
      <c r="K49" s="19" t="s">
        <v>2749</v>
      </c>
      <c r="L49" s="19" t="s">
        <v>2764</v>
      </c>
      <c r="M49" s="19" t="s">
        <v>2744</v>
      </c>
    </row>
    <row r="50" ht="56.25" customHeight="1">
      <c r="A50" s="13" t="s">
        <v>2927</v>
      </c>
      <c r="B50" s="60" t="str">
        <f>image("https://i.imgur.com/MU97t55.png",1)</f>
        <v/>
      </c>
      <c r="C50" s="17" t="str">
        <f>HYPERLINK("https://imgur.com/a/n4F5WVb","Yes")</f>
        <v>Yes</v>
      </c>
      <c r="D50" s="25" t="s">
        <v>28</v>
      </c>
      <c r="E50" s="15" t="s">
        <v>50</v>
      </c>
      <c r="F50" s="15">
        <v>1200.0</v>
      </c>
      <c r="G50" s="13">
        <v>300.0</v>
      </c>
      <c r="H50" s="19">
        <v>4306.0</v>
      </c>
      <c r="I50" s="19" t="s">
        <v>38</v>
      </c>
      <c r="J50" s="19" t="s">
        <v>43</v>
      </c>
      <c r="K50" s="19" t="s">
        <v>2749</v>
      </c>
      <c r="L50" s="19" t="s">
        <v>2764</v>
      </c>
      <c r="M50" s="19" t="s">
        <v>2744</v>
      </c>
    </row>
    <row r="51" ht="56.25" customHeight="1">
      <c r="A51" s="13" t="s">
        <v>2930</v>
      </c>
      <c r="B51" s="60" t="str">
        <f>image("https://i.imgur.com/66F9mFH.png",1)</f>
        <v/>
      </c>
      <c r="C51" s="17" t="str">
        <f>HYPERLINK("https://imgur.com/a/gwPuANq","Yes")</f>
        <v>Yes</v>
      </c>
      <c r="D51" s="25" t="s">
        <v>28</v>
      </c>
      <c r="E51" s="15" t="s">
        <v>50</v>
      </c>
      <c r="F51" s="15">
        <v>960.0</v>
      </c>
      <c r="G51" s="13">
        <v>240.0</v>
      </c>
      <c r="H51" s="19">
        <v>3316.0</v>
      </c>
      <c r="I51" s="19" t="s">
        <v>38</v>
      </c>
      <c r="J51" s="19" t="s">
        <v>43</v>
      </c>
      <c r="K51" s="19" t="s">
        <v>2749</v>
      </c>
      <c r="L51" s="19" t="s">
        <v>2751</v>
      </c>
      <c r="M51" s="19" t="s">
        <v>2744</v>
      </c>
    </row>
    <row r="52" ht="56.25" customHeight="1">
      <c r="A52" s="13" t="s">
        <v>2933</v>
      </c>
      <c r="B52" s="60" t="str">
        <f>image("https://i.imgur.com/lQghPVK.png",1)</f>
        <v/>
      </c>
      <c r="C52" s="17" t="str">
        <f>HYPERLINK("https://imgur.com/a/F8CUg6C","Yes")</f>
        <v>Yes</v>
      </c>
      <c r="D52" s="25" t="s">
        <v>28</v>
      </c>
      <c r="E52" s="15" t="s">
        <v>50</v>
      </c>
      <c r="F52" s="15">
        <v>1200.0</v>
      </c>
      <c r="G52" s="13">
        <v>300.0</v>
      </c>
      <c r="H52" s="19">
        <v>4613.0</v>
      </c>
      <c r="I52" s="19" t="s">
        <v>38</v>
      </c>
      <c r="J52" s="19" t="s">
        <v>43</v>
      </c>
      <c r="K52" s="19" t="s">
        <v>2749</v>
      </c>
      <c r="L52" s="19" t="s">
        <v>2764</v>
      </c>
      <c r="M52" s="19" t="s">
        <v>2863</v>
      </c>
    </row>
    <row r="53" ht="56.25" customHeight="1">
      <c r="A53" s="13" t="s">
        <v>2936</v>
      </c>
      <c r="B53" s="60" t="str">
        <f>image("https://i.imgur.com/OYfrIo3.png",1)</f>
        <v/>
      </c>
      <c r="C53" s="17" t="str">
        <f>HYPERLINK("https://imgur.com/a/9BZPw6E","Yes")</f>
        <v>Yes</v>
      </c>
      <c r="D53" s="25" t="s">
        <v>28</v>
      </c>
      <c r="E53" s="15" t="s">
        <v>50</v>
      </c>
      <c r="F53" s="15">
        <v>2500.0</v>
      </c>
      <c r="G53" s="13">
        <v>625.0</v>
      </c>
      <c r="H53" s="19">
        <v>3197.0</v>
      </c>
      <c r="I53" s="19" t="s">
        <v>38</v>
      </c>
      <c r="J53" s="19" t="s">
        <v>43</v>
      </c>
      <c r="K53" s="19" t="s">
        <v>2749</v>
      </c>
      <c r="L53" s="19" t="s">
        <v>2751</v>
      </c>
      <c r="M53" s="19" t="s">
        <v>852</v>
      </c>
    </row>
    <row r="54" ht="56.25" customHeight="1">
      <c r="A54" s="13" t="s">
        <v>2939</v>
      </c>
      <c r="B54" s="60" t="str">
        <f>image("https://i.imgur.com/PGapJyE.png",1)</f>
        <v/>
      </c>
      <c r="C54" s="17" t="str">
        <f>HYPERLINK("https://imgur.com/a/T0ETuaz","Yes")</f>
        <v>Yes</v>
      </c>
      <c r="D54" s="25" t="s">
        <v>28</v>
      </c>
      <c r="E54" s="15" t="s">
        <v>50</v>
      </c>
      <c r="F54" s="15">
        <v>1120.0</v>
      </c>
      <c r="G54" s="13">
        <v>280.0</v>
      </c>
      <c r="H54" s="19">
        <v>3680.0</v>
      </c>
      <c r="I54" s="19" t="s">
        <v>38</v>
      </c>
      <c r="J54" s="19" t="s">
        <v>43</v>
      </c>
      <c r="K54" s="19" t="s">
        <v>2749</v>
      </c>
      <c r="L54" s="19" t="s">
        <v>2764</v>
      </c>
      <c r="M54" s="19" t="s">
        <v>2744</v>
      </c>
    </row>
    <row r="55" ht="56.25" customHeight="1">
      <c r="A55" s="13" t="s">
        <v>2944</v>
      </c>
      <c r="B55" s="60" t="str">
        <f>image("https://i.imgur.com/eNyfTJ5.png",1)</f>
        <v/>
      </c>
      <c r="C55" s="17" t="str">
        <f>HYPERLINK("https://imgur.com/a/oba3XNp","Yes")</f>
        <v>Yes</v>
      </c>
      <c r="D55" s="25" t="s">
        <v>28</v>
      </c>
      <c r="E55" s="15" t="s">
        <v>50</v>
      </c>
      <c r="F55" s="15">
        <v>2100.0</v>
      </c>
      <c r="G55" s="13">
        <v>525.0</v>
      </c>
      <c r="H55" s="19">
        <v>4576.0</v>
      </c>
      <c r="I55" s="19" t="s">
        <v>38</v>
      </c>
      <c r="J55" s="19" t="s">
        <v>43</v>
      </c>
      <c r="K55" s="19" t="s">
        <v>2749</v>
      </c>
      <c r="L55" s="19" t="s">
        <v>2751</v>
      </c>
      <c r="M55" s="19" t="s">
        <v>2744</v>
      </c>
    </row>
    <row r="56" ht="56.25" customHeight="1">
      <c r="A56" s="13" t="s">
        <v>2947</v>
      </c>
      <c r="B56" s="60" t="str">
        <f>image("https://i.imgur.com/8tyGBHe.png",1)</f>
        <v/>
      </c>
      <c r="C56" s="17" t="str">
        <f>HYPERLINK("https://imgur.com/a/2vfGNy1","Yes")</f>
        <v>Yes</v>
      </c>
      <c r="D56" s="25" t="s">
        <v>28</v>
      </c>
      <c r="E56" s="15" t="s">
        <v>50</v>
      </c>
      <c r="F56" s="15">
        <v>1200.0</v>
      </c>
      <c r="G56" s="13">
        <v>300.0</v>
      </c>
      <c r="H56" s="19">
        <v>3258.0</v>
      </c>
      <c r="I56" s="19" t="s">
        <v>38</v>
      </c>
      <c r="J56" s="19" t="s">
        <v>43</v>
      </c>
      <c r="K56" s="19" t="s">
        <v>2749</v>
      </c>
      <c r="L56" s="19" t="s">
        <v>2751</v>
      </c>
      <c r="M56" s="19" t="s">
        <v>2793</v>
      </c>
    </row>
    <row r="57" ht="56.25" customHeight="1">
      <c r="A57" s="13" t="s">
        <v>2949</v>
      </c>
      <c r="B57" s="60" t="str">
        <f>image("https://i.imgur.com/HwNQht0.png",1)</f>
        <v/>
      </c>
      <c r="C57" s="15" t="s">
        <v>40</v>
      </c>
      <c r="D57" s="15"/>
      <c r="E57" s="25" t="s">
        <v>28</v>
      </c>
      <c r="F57" s="25" t="s">
        <v>51</v>
      </c>
      <c r="G57" s="13">
        <v>1010.0</v>
      </c>
      <c r="H57" s="19">
        <v>12126.0</v>
      </c>
      <c r="I57" s="19" t="s">
        <v>38</v>
      </c>
      <c r="J57" s="19" t="s">
        <v>54</v>
      </c>
      <c r="K57" s="19" t="s">
        <v>563</v>
      </c>
      <c r="L57" s="19" t="s">
        <v>565</v>
      </c>
      <c r="M57" s="19" t="s">
        <v>2744</v>
      </c>
    </row>
    <row r="58" ht="56.25" customHeight="1">
      <c r="A58" s="13" t="s">
        <v>2952</v>
      </c>
      <c r="B58" s="60" t="str">
        <f>image("https://i.imgur.com/Eu7SdDk.png",1)</f>
        <v/>
      </c>
      <c r="C58" s="15" t="s">
        <v>40</v>
      </c>
      <c r="D58" s="15"/>
      <c r="E58" s="25" t="s">
        <v>28</v>
      </c>
      <c r="F58" s="25" t="s">
        <v>51</v>
      </c>
      <c r="G58" s="13">
        <v>1010.0</v>
      </c>
      <c r="H58" s="19">
        <v>12127.0</v>
      </c>
      <c r="I58" s="19" t="s">
        <v>38</v>
      </c>
      <c r="J58" s="19" t="s">
        <v>54</v>
      </c>
      <c r="K58" s="19" t="s">
        <v>563</v>
      </c>
      <c r="L58" s="19" t="s">
        <v>565</v>
      </c>
      <c r="M58" s="19" t="s">
        <v>2756</v>
      </c>
    </row>
    <row r="59" ht="56.25" customHeight="1">
      <c r="A59" s="13" t="s">
        <v>2957</v>
      </c>
      <c r="B59" s="60" t="str">
        <f>image("https://i.imgur.com/XDLrVdF.png",1)</f>
        <v/>
      </c>
      <c r="C59" s="15" t="s">
        <v>40</v>
      </c>
      <c r="D59" s="15" t="s">
        <v>28</v>
      </c>
      <c r="E59" s="25" t="s">
        <v>28</v>
      </c>
      <c r="F59" s="25" t="s">
        <v>51</v>
      </c>
      <c r="G59" s="13">
        <v>1010.0</v>
      </c>
      <c r="H59" s="19">
        <v>12125.0</v>
      </c>
      <c r="I59" s="19" t="s">
        <v>38</v>
      </c>
      <c r="J59" s="19" t="s">
        <v>54</v>
      </c>
      <c r="K59" s="19" t="s">
        <v>563</v>
      </c>
      <c r="L59" s="19" t="s">
        <v>565</v>
      </c>
      <c r="M59" s="19" t="s">
        <v>2744</v>
      </c>
    </row>
    <row r="60" ht="56.25" customHeight="1">
      <c r="A60" s="13" t="s">
        <v>2960</v>
      </c>
      <c r="B60" s="60" t="str">
        <f>image("https://i.imgur.com/pobIng5.png",1)</f>
        <v/>
      </c>
      <c r="C60" s="17" t="str">
        <f>HYPERLINK("https://imgur.com/a/lGjlAIX","Yes")</f>
        <v>Yes</v>
      </c>
      <c r="D60" s="25" t="s">
        <v>28</v>
      </c>
      <c r="E60" s="15" t="s">
        <v>50</v>
      </c>
      <c r="F60" s="15">
        <v>1680.0</v>
      </c>
      <c r="G60" s="13">
        <v>420.0</v>
      </c>
      <c r="H60" s="19">
        <v>5317.0</v>
      </c>
      <c r="I60" s="19" t="s">
        <v>38</v>
      </c>
      <c r="J60" s="19" t="s">
        <v>43</v>
      </c>
      <c r="K60" s="19" t="s">
        <v>2749</v>
      </c>
      <c r="L60" s="19" t="s">
        <v>2764</v>
      </c>
      <c r="M60" s="19" t="s">
        <v>2793</v>
      </c>
    </row>
    <row r="61" ht="56.25" customHeight="1">
      <c r="A61" s="13" t="s">
        <v>2962</v>
      </c>
      <c r="B61" s="60" t="str">
        <f>image("https://i.imgur.com/YU93BNe.png",1)</f>
        <v/>
      </c>
      <c r="C61" s="15" t="s">
        <v>40</v>
      </c>
      <c r="D61" s="25" t="s">
        <v>28</v>
      </c>
      <c r="E61" s="15" t="s">
        <v>50</v>
      </c>
      <c r="F61" s="15">
        <v>640.0</v>
      </c>
      <c r="G61" s="13">
        <v>160.0</v>
      </c>
      <c r="H61" s="19">
        <v>8192.0</v>
      </c>
      <c r="I61" s="19" t="s">
        <v>38</v>
      </c>
      <c r="J61" s="19" t="s">
        <v>43</v>
      </c>
      <c r="K61" s="19" t="s">
        <v>2743</v>
      </c>
      <c r="L61" s="19"/>
      <c r="M61" s="19" t="s">
        <v>2793</v>
      </c>
    </row>
    <row r="62" ht="56.25" customHeight="1">
      <c r="A62" s="13" t="s">
        <v>2965</v>
      </c>
      <c r="B62" s="60" t="str">
        <f>image("https://i.imgur.com/0jCZr8h.png",1)</f>
        <v/>
      </c>
      <c r="C62" s="17" t="str">
        <f>HYPERLINK("https://imgur.com/a/aVf9dEW","Yes")</f>
        <v>Yes</v>
      </c>
      <c r="D62" s="25" t="s">
        <v>28</v>
      </c>
      <c r="E62" s="15" t="s">
        <v>50</v>
      </c>
      <c r="F62" s="15">
        <v>1400.0</v>
      </c>
      <c r="G62" s="13">
        <v>350.0</v>
      </c>
      <c r="H62" s="19">
        <v>3209.0</v>
      </c>
      <c r="I62" s="19" t="s">
        <v>38</v>
      </c>
      <c r="J62" s="19" t="s">
        <v>43</v>
      </c>
      <c r="K62" s="19" t="s">
        <v>2749</v>
      </c>
      <c r="L62" s="19" t="s">
        <v>2764</v>
      </c>
      <c r="M62" s="19" t="s">
        <v>2744</v>
      </c>
    </row>
    <row r="63" ht="56.25" customHeight="1">
      <c r="A63" s="13" t="s">
        <v>2968</v>
      </c>
      <c r="B63" s="60" t="str">
        <f>image("https://i.imgur.com/XtbeaUf.png",1)</f>
        <v/>
      </c>
      <c r="C63" s="17" t="str">
        <f>HYPERLINK("https://imgur.com/a/EWqDKSD","Yes")</f>
        <v>Yes</v>
      </c>
      <c r="D63" s="25" t="s">
        <v>28</v>
      </c>
      <c r="E63" s="15" t="s">
        <v>50</v>
      </c>
      <c r="F63" s="15">
        <v>1120.0</v>
      </c>
      <c r="G63" s="13">
        <v>280.0</v>
      </c>
      <c r="H63" s="19">
        <v>3227.0</v>
      </c>
      <c r="I63" s="19" t="s">
        <v>38</v>
      </c>
      <c r="J63" s="19" t="s">
        <v>43</v>
      </c>
      <c r="K63" s="19" t="s">
        <v>2749</v>
      </c>
      <c r="L63" s="19" t="s">
        <v>2764</v>
      </c>
      <c r="M63" s="19" t="s">
        <v>2793</v>
      </c>
    </row>
    <row r="64" ht="56.25" customHeight="1">
      <c r="A64" s="13" t="s">
        <v>2974</v>
      </c>
      <c r="B64" s="60" t="str">
        <f>image("https://i.imgur.com/LndZmoI.png",1)</f>
        <v/>
      </c>
      <c r="C64" s="17" t="str">
        <f>HYPERLINK("https://imgur.com/a/0f4wYR1","Yes")</f>
        <v>Yes</v>
      </c>
      <c r="D64" s="25" t="s">
        <v>28</v>
      </c>
      <c r="E64" s="15" t="s">
        <v>50</v>
      </c>
      <c r="F64" s="15">
        <v>2500.0</v>
      </c>
      <c r="G64" s="13">
        <v>625.0</v>
      </c>
      <c r="H64" s="19">
        <v>4681.0</v>
      </c>
      <c r="I64" s="19" t="s">
        <v>38</v>
      </c>
      <c r="J64" s="19" t="s">
        <v>43</v>
      </c>
      <c r="K64" s="19" t="s">
        <v>2749</v>
      </c>
      <c r="L64" s="19" t="s">
        <v>2751</v>
      </c>
      <c r="M64" s="19" t="s">
        <v>2863</v>
      </c>
    </row>
    <row r="65" ht="56.25" customHeight="1">
      <c r="A65" s="13" t="s">
        <v>2978</v>
      </c>
      <c r="B65" s="60" t="str">
        <f>image("https://i.imgur.com/Gtv1onu.png",1)</f>
        <v/>
      </c>
      <c r="C65" s="17" t="str">
        <f>HYPERLINK("https://imgur.com/a/LTs7ID2","Yes")</f>
        <v>Yes</v>
      </c>
      <c r="D65" s="25" t="s">
        <v>28</v>
      </c>
      <c r="E65" s="15" t="s">
        <v>50</v>
      </c>
      <c r="F65" s="15">
        <v>840.0</v>
      </c>
      <c r="G65" s="13">
        <v>210.0</v>
      </c>
      <c r="H65" s="19">
        <v>9815.0</v>
      </c>
      <c r="I65" s="19" t="s">
        <v>38</v>
      </c>
      <c r="J65" s="19" t="s">
        <v>43</v>
      </c>
      <c r="K65" s="19" t="s">
        <v>2749</v>
      </c>
      <c r="L65" s="19" t="s">
        <v>2751</v>
      </c>
      <c r="M65" s="19" t="s">
        <v>2793</v>
      </c>
    </row>
    <row r="66" ht="56.25" customHeight="1">
      <c r="A66" s="13" t="s">
        <v>2983</v>
      </c>
      <c r="B66" s="60" t="str">
        <f>image("https://i.imgur.com/wLLRyvD.png",1)</f>
        <v/>
      </c>
      <c r="C66" s="17" t="str">
        <f>HYPERLINK("https://imgur.com/a/21klvee","Yes")</f>
        <v>Yes</v>
      </c>
      <c r="D66" s="25" t="s">
        <v>28</v>
      </c>
      <c r="E66" s="15" t="s">
        <v>50</v>
      </c>
      <c r="F66" s="15">
        <v>2160.0</v>
      </c>
      <c r="G66" s="13">
        <v>540.0</v>
      </c>
      <c r="H66" s="19">
        <v>3174.0</v>
      </c>
      <c r="I66" s="19" t="s">
        <v>38</v>
      </c>
      <c r="J66" s="19" t="s">
        <v>43</v>
      </c>
      <c r="K66" s="19" t="s">
        <v>2749</v>
      </c>
      <c r="L66" s="19" t="s">
        <v>2751</v>
      </c>
      <c r="M66" s="19" t="s">
        <v>2744</v>
      </c>
    </row>
    <row r="67" ht="56.25" customHeight="1">
      <c r="A67" s="13" t="s">
        <v>2987</v>
      </c>
      <c r="B67" s="60" t="str">
        <f>image("https://i.imgur.com/HuCr2dR.png",1)</f>
        <v/>
      </c>
      <c r="C67" s="17" t="str">
        <f>HYPERLINK("https://imgur.com/a/u4AgRSe","Yes")</f>
        <v>Yes</v>
      </c>
      <c r="D67" s="25" t="s">
        <v>28</v>
      </c>
      <c r="E67" s="15" t="s">
        <v>50</v>
      </c>
      <c r="F67" s="15">
        <v>960.0</v>
      </c>
      <c r="G67" s="13">
        <v>240.0</v>
      </c>
      <c r="H67" s="19">
        <v>9828.0</v>
      </c>
      <c r="I67" s="19" t="s">
        <v>38</v>
      </c>
      <c r="J67" s="19" t="s">
        <v>43</v>
      </c>
      <c r="K67" s="19" t="s">
        <v>2749</v>
      </c>
      <c r="L67" s="19" t="s">
        <v>2764</v>
      </c>
      <c r="M67" s="19" t="s">
        <v>384</v>
      </c>
    </row>
    <row r="68" ht="56.25" customHeight="1">
      <c r="A68" s="13" t="s">
        <v>2991</v>
      </c>
      <c r="B68" s="60" t="str">
        <f>image("https://i.imgur.com/JyBD6Nj.png",1)</f>
        <v/>
      </c>
      <c r="C68" s="17" t="str">
        <f>HYPERLINK("https://imgur.com/a/NKklFM8","Yes")</f>
        <v>Yes</v>
      </c>
      <c r="D68" s="25" t="s">
        <v>28</v>
      </c>
      <c r="E68" s="15" t="s">
        <v>50</v>
      </c>
      <c r="F68" s="15">
        <v>1600.0</v>
      </c>
      <c r="G68" s="13">
        <v>400.0</v>
      </c>
      <c r="H68" s="19">
        <v>9775.0</v>
      </c>
      <c r="I68" s="19" t="s">
        <v>38</v>
      </c>
      <c r="J68" s="19" t="s">
        <v>43</v>
      </c>
      <c r="K68" s="19" t="s">
        <v>2749</v>
      </c>
      <c r="L68" s="19" t="s">
        <v>2764</v>
      </c>
      <c r="M68" s="19" t="s">
        <v>384</v>
      </c>
    </row>
    <row r="69" ht="56.25" customHeight="1">
      <c r="A69" s="13" t="s">
        <v>2995</v>
      </c>
      <c r="B69" s="60" t="str">
        <f>image("https://i.imgur.com/hLtAZNL.png",1)</f>
        <v/>
      </c>
      <c r="C69" s="17" t="str">
        <f>HYPERLINK("https://imgur.com/a/zAqpmpy","Yes")</f>
        <v>Yes</v>
      </c>
      <c r="D69" s="25" t="s">
        <v>28</v>
      </c>
      <c r="E69" s="15" t="s">
        <v>50</v>
      </c>
      <c r="F69" s="15">
        <v>1520.0</v>
      </c>
      <c r="G69" s="13">
        <v>380.0</v>
      </c>
      <c r="H69" s="19">
        <v>6029.0</v>
      </c>
      <c r="I69" s="19" t="s">
        <v>38</v>
      </c>
      <c r="J69" s="19" t="s">
        <v>43</v>
      </c>
      <c r="K69" s="19" t="s">
        <v>2749</v>
      </c>
      <c r="L69" s="19" t="s">
        <v>2751</v>
      </c>
      <c r="M69" s="19" t="s">
        <v>2744</v>
      </c>
    </row>
    <row r="70" ht="56.25" customHeight="1">
      <c r="A70" s="13" t="s">
        <v>2999</v>
      </c>
      <c r="B70" s="60" t="str">
        <f>image("https://i.imgur.com/gu250OF.png",1)</f>
        <v/>
      </c>
      <c r="C70" s="17" t="str">
        <f>HYPERLINK("https://imgur.com/a/vCI18ZU","Yes")</f>
        <v>Yes</v>
      </c>
      <c r="D70" s="25" t="s">
        <v>28</v>
      </c>
      <c r="E70" s="15" t="s">
        <v>50</v>
      </c>
      <c r="F70" s="15">
        <v>1120.0</v>
      </c>
      <c r="G70" s="13">
        <v>280.0</v>
      </c>
      <c r="H70" s="19">
        <v>2778.0</v>
      </c>
      <c r="I70" s="19" t="s">
        <v>38</v>
      </c>
      <c r="J70" s="19" t="s">
        <v>43</v>
      </c>
      <c r="K70" s="19" t="s">
        <v>2749</v>
      </c>
      <c r="L70" s="19" t="s">
        <v>2764</v>
      </c>
      <c r="M70" s="19" t="s">
        <v>2793</v>
      </c>
    </row>
    <row r="71" ht="56.25" customHeight="1">
      <c r="A71" s="13" t="s">
        <v>3003</v>
      </c>
      <c r="B71" s="60" t="str">
        <f>image("https://i.imgur.com/KdyVFTW.png",1)</f>
        <v/>
      </c>
      <c r="C71" s="17" t="str">
        <f>HYPERLINK("https://imgur.com/a/TYVEdNn","Yes")</f>
        <v>Yes</v>
      </c>
      <c r="D71" s="25" t="s">
        <v>28</v>
      </c>
      <c r="E71" s="15" t="s">
        <v>50</v>
      </c>
      <c r="F71" s="15">
        <v>1680.0</v>
      </c>
      <c r="G71" s="13">
        <v>420.0</v>
      </c>
      <c r="H71" s="19">
        <v>4735.0</v>
      </c>
      <c r="I71" s="19" t="s">
        <v>38</v>
      </c>
      <c r="J71" s="19" t="s">
        <v>43</v>
      </c>
      <c r="K71" s="19" t="s">
        <v>2749</v>
      </c>
      <c r="L71" s="19" t="s">
        <v>2751</v>
      </c>
      <c r="M71" s="19" t="s">
        <v>2793</v>
      </c>
    </row>
    <row r="72" ht="56.25" customHeight="1">
      <c r="A72" s="13" t="s">
        <v>3006</v>
      </c>
      <c r="B72" s="60" t="str">
        <f>image("https://i.imgur.com/gb3lpUU.png",1)</f>
        <v/>
      </c>
      <c r="C72" s="15" t="s">
        <v>40</v>
      </c>
      <c r="D72" s="25" t="s">
        <v>28</v>
      </c>
      <c r="E72" s="15" t="s">
        <v>50</v>
      </c>
      <c r="F72" s="15">
        <v>2000.0</v>
      </c>
      <c r="G72" s="13">
        <v>500.0</v>
      </c>
      <c r="H72" s="19">
        <v>3256.0</v>
      </c>
      <c r="I72" s="19" t="s">
        <v>38</v>
      </c>
      <c r="J72" s="19" t="s">
        <v>43</v>
      </c>
      <c r="K72" s="19" t="s">
        <v>2749</v>
      </c>
      <c r="L72" s="19" t="s">
        <v>2751</v>
      </c>
      <c r="M72" s="19" t="s">
        <v>2793</v>
      </c>
    </row>
    <row r="73" ht="56.25" customHeight="1">
      <c r="A73" s="13" t="s">
        <v>3010</v>
      </c>
      <c r="B73" s="60" t="str">
        <f>image("https://i.imgur.com/dVc3FJ7.png",1)</f>
        <v/>
      </c>
      <c r="C73" s="17" t="str">
        <f>HYPERLINK("https://imgur.com/a/H5TJ0an","Yes")</f>
        <v>Yes</v>
      </c>
      <c r="D73" s="25" t="s">
        <v>28</v>
      </c>
      <c r="E73" s="15" t="s">
        <v>50</v>
      </c>
      <c r="F73" s="15">
        <v>1440.0</v>
      </c>
      <c r="G73" s="13">
        <v>360.0</v>
      </c>
      <c r="H73" s="19">
        <v>3635.0</v>
      </c>
      <c r="I73" s="19" t="s">
        <v>38</v>
      </c>
      <c r="J73" s="19" t="s">
        <v>43</v>
      </c>
      <c r="K73" s="19" t="s">
        <v>2749</v>
      </c>
      <c r="L73" s="19" t="s">
        <v>2764</v>
      </c>
      <c r="M73" s="19" t="s">
        <v>384</v>
      </c>
    </row>
    <row r="74" ht="56.25" customHeight="1">
      <c r="A74" s="13" t="s">
        <v>3014</v>
      </c>
      <c r="B74" s="60" t="str">
        <f>image("https://i.imgur.com/9W62eYE.png",1)</f>
        <v/>
      </c>
      <c r="C74" s="17" t="str">
        <f>HYPERLINK("https://imgur.com/a/cjSjFMB","Yes")</f>
        <v>Yes</v>
      </c>
      <c r="D74" s="25" t="s">
        <v>28</v>
      </c>
      <c r="E74" s="15" t="s">
        <v>50</v>
      </c>
      <c r="F74" s="15">
        <v>560.0</v>
      </c>
      <c r="G74" s="13">
        <v>140.0</v>
      </c>
      <c r="H74" s="19">
        <v>2823.0</v>
      </c>
      <c r="I74" s="19" t="s">
        <v>38</v>
      </c>
      <c r="J74" s="19" t="s">
        <v>43</v>
      </c>
      <c r="K74" s="19" t="s">
        <v>2749</v>
      </c>
      <c r="L74" s="19" t="s">
        <v>2764</v>
      </c>
      <c r="M74" s="19" t="s">
        <v>2744</v>
      </c>
    </row>
    <row r="75" ht="56.25" customHeight="1">
      <c r="A75" s="13" t="s">
        <v>3018</v>
      </c>
      <c r="B75" s="60" t="str">
        <f>image("https://i.imgur.com/jYEZM4M.png",1)</f>
        <v/>
      </c>
      <c r="C75" s="17" t="str">
        <f>HYPERLINK("https://imgur.com/a/PtBiSz3","Yes")</f>
        <v>Yes</v>
      </c>
      <c r="D75" s="25" t="s">
        <v>28</v>
      </c>
      <c r="E75" s="15" t="s">
        <v>50</v>
      </c>
      <c r="F75" s="15">
        <v>1400.0</v>
      </c>
      <c r="G75" s="13">
        <v>350.0</v>
      </c>
      <c r="H75" s="19">
        <v>4610.0</v>
      </c>
      <c r="I75" s="19" t="s">
        <v>38</v>
      </c>
      <c r="J75" s="19" t="s">
        <v>43</v>
      </c>
      <c r="K75" s="19" t="s">
        <v>2749</v>
      </c>
      <c r="L75" s="19" t="s">
        <v>2751</v>
      </c>
      <c r="M75" s="19" t="s">
        <v>2756</v>
      </c>
    </row>
    <row r="76" ht="56.25" customHeight="1">
      <c r="A76" s="13" t="s">
        <v>3023</v>
      </c>
      <c r="B76" s="60" t="str">
        <f>image("https://i.imgur.com/XJ5nORf.png",1)</f>
        <v/>
      </c>
      <c r="C76" s="15" t="s">
        <v>40</v>
      </c>
      <c r="D76" s="25" t="s">
        <v>28</v>
      </c>
      <c r="E76" s="15" t="s">
        <v>50</v>
      </c>
      <c r="F76" s="15">
        <v>560.0</v>
      </c>
      <c r="G76" s="13">
        <v>140.0</v>
      </c>
      <c r="H76" s="19">
        <v>3325.0</v>
      </c>
      <c r="I76" s="19" t="s">
        <v>38</v>
      </c>
      <c r="J76" s="19" t="s">
        <v>43</v>
      </c>
      <c r="K76" s="19" t="s">
        <v>2743</v>
      </c>
      <c r="L76" s="19"/>
      <c r="M76" s="19" t="s">
        <v>2793</v>
      </c>
    </row>
    <row r="77" ht="56.25" customHeight="1">
      <c r="A77" s="13" t="s">
        <v>3025</v>
      </c>
      <c r="B77" s="60" t="str">
        <f>image("https://i.imgur.com/aV9wWU8.png",1)</f>
        <v/>
      </c>
      <c r="C77" s="17" t="str">
        <f>HYPERLINK("https://imgur.com/a/c0lGEj4","Yes")</f>
        <v>Yes</v>
      </c>
      <c r="D77" s="25" t="s">
        <v>28</v>
      </c>
      <c r="E77" s="15" t="s">
        <v>50</v>
      </c>
      <c r="F77" s="15">
        <v>1960.0</v>
      </c>
      <c r="G77" s="13">
        <v>490.0</v>
      </c>
      <c r="H77" s="19">
        <v>3269.0</v>
      </c>
      <c r="I77" s="19" t="s">
        <v>38</v>
      </c>
      <c r="J77" s="19" t="s">
        <v>43</v>
      </c>
      <c r="K77" s="19" t="s">
        <v>2749</v>
      </c>
      <c r="L77" s="19" t="s">
        <v>2751</v>
      </c>
      <c r="M77" s="19" t="s">
        <v>2863</v>
      </c>
    </row>
    <row r="78" ht="56.25" customHeight="1">
      <c r="A78" s="13" t="s">
        <v>3029</v>
      </c>
      <c r="B78" s="60" t="str">
        <f>image("https://i.imgur.com/T3AdgvJ.png",1)</f>
        <v/>
      </c>
      <c r="C78" s="17" t="str">
        <f>HYPERLINK("https://imgur.com/a/nOKXnT4","Yes")</f>
        <v>Yes</v>
      </c>
      <c r="D78" s="25" t="s">
        <v>28</v>
      </c>
      <c r="E78" s="15" t="s">
        <v>50</v>
      </c>
      <c r="F78" s="15">
        <v>960.0</v>
      </c>
      <c r="G78" s="13">
        <v>240.0</v>
      </c>
      <c r="H78" s="19">
        <v>5441.0</v>
      </c>
      <c r="I78" s="19" t="s">
        <v>38</v>
      </c>
      <c r="J78" s="19" t="s">
        <v>43</v>
      </c>
      <c r="K78" s="19" t="s">
        <v>2749</v>
      </c>
      <c r="L78" s="19" t="s">
        <v>2764</v>
      </c>
      <c r="M78" s="19" t="s">
        <v>384</v>
      </c>
    </row>
    <row r="79" ht="56.25" customHeight="1">
      <c r="A79" s="13" t="s">
        <v>3031</v>
      </c>
      <c r="B79" s="60" t="str">
        <f>image("https://i.imgur.com/0Bnihgt.png",1)</f>
        <v/>
      </c>
      <c r="C79" s="17" t="str">
        <f>HYPERLINK("https://imgur.com/a/cxT5fEJ","Yes")</f>
        <v>Yes</v>
      </c>
      <c r="D79" s="25" t="s">
        <v>28</v>
      </c>
      <c r="E79" s="15" t="s">
        <v>50</v>
      </c>
      <c r="F79" s="15">
        <v>960.0</v>
      </c>
      <c r="G79" s="13">
        <v>240.0</v>
      </c>
      <c r="H79" s="19">
        <v>5262.0</v>
      </c>
      <c r="I79" s="19" t="s">
        <v>38</v>
      </c>
      <c r="J79" s="19" t="s">
        <v>43</v>
      </c>
      <c r="K79" s="19" t="s">
        <v>2749</v>
      </c>
      <c r="L79" s="19" t="s">
        <v>2764</v>
      </c>
      <c r="M79" s="19" t="s">
        <v>2744</v>
      </c>
    </row>
    <row r="80" ht="56.25" customHeight="1">
      <c r="A80" s="13" t="s">
        <v>3033</v>
      </c>
      <c r="B80" s="60" t="str">
        <f>image("https://i.imgur.com/P27EjFS.png",1)</f>
        <v/>
      </c>
      <c r="C80" s="17" t="str">
        <f>HYPERLINK("https://imgur.com/a/INIB7zN","Yes")</f>
        <v>Yes</v>
      </c>
      <c r="D80" s="25" t="s">
        <v>28</v>
      </c>
      <c r="E80" s="15" t="s">
        <v>50</v>
      </c>
      <c r="F80" s="15">
        <v>1120.0</v>
      </c>
      <c r="G80" s="13">
        <v>280.0</v>
      </c>
      <c r="H80" s="19">
        <v>3264.0</v>
      </c>
      <c r="I80" s="19" t="s">
        <v>38</v>
      </c>
      <c r="J80" s="19" t="s">
        <v>43</v>
      </c>
      <c r="K80" s="19" t="s">
        <v>2749</v>
      </c>
      <c r="L80" s="19" t="s">
        <v>2764</v>
      </c>
      <c r="M80" s="19" t="s">
        <v>2793</v>
      </c>
    </row>
    <row r="81" ht="56.25" customHeight="1">
      <c r="A81" s="13" t="s">
        <v>3036</v>
      </c>
      <c r="B81" s="60" t="str">
        <f>image("https://i.imgur.com/EpU8AdV.png",1)</f>
        <v/>
      </c>
      <c r="C81" s="17" t="str">
        <f>HYPERLINK("https://imgur.com/a/7OmsDBH","Yes")</f>
        <v>Yes</v>
      </c>
      <c r="D81" s="25" t="s">
        <v>28</v>
      </c>
      <c r="E81" s="15" t="s">
        <v>50</v>
      </c>
      <c r="F81" s="15">
        <v>1200.0</v>
      </c>
      <c r="G81" s="13">
        <v>300.0</v>
      </c>
      <c r="H81" s="19">
        <v>4417.0</v>
      </c>
      <c r="I81" s="19" t="s">
        <v>38</v>
      </c>
      <c r="J81" s="19" t="s">
        <v>43</v>
      </c>
      <c r="K81" s="19" t="s">
        <v>2749</v>
      </c>
      <c r="L81" s="19" t="s">
        <v>2764</v>
      </c>
      <c r="M81" s="19" t="s">
        <v>2756</v>
      </c>
    </row>
    <row r="82" ht="56.25" customHeight="1">
      <c r="A82" s="13" t="s">
        <v>3038</v>
      </c>
      <c r="B82" s="60" t="str">
        <f>image("https://i.imgur.com/GwSeBNj.png",1)</f>
        <v/>
      </c>
      <c r="C82" s="17" t="str">
        <f>HYPERLINK("https://imgur.com/a/7ilUE4M","Yes")</f>
        <v>Yes</v>
      </c>
      <c r="D82" s="25" t="s">
        <v>28</v>
      </c>
      <c r="E82" s="15" t="s">
        <v>50</v>
      </c>
      <c r="F82" s="15">
        <v>1680.0</v>
      </c>
      <c r="G82" s="13">
        <v>420.0</v>
      </c>
      <c r="H82" s="19">
        <v>3222.0</v>
      </c>
      <c r="I82" s="19" t="s">
        <v>38</v>
      </c>
      <c r="J82" s="19" t="s">
        <v>43</v>
      </c>
      <c r="K82" s="19" t="s">
        <v>2749</v>
      </c>
      <c r="L82" s="19" t="s">
        <v>2764</v>
      </c>
      <c r="M82" s="19" t="s">
        <v>2863</v>
      </c>
    </row>
    <row r="83" ht="56.25" customHeight="1">
      <c r="A83" s="13" t="s">
        <v>3042</v>
      </c>
      <c r="B83" s="60" t="str">
        <f>image("https://i.imgur.com/0uopLK6.png",1)</f>
        <v/>
      </c>
      <c r="C83" s="15" t="s">
        <v>40</v>
      </c>
      <c r="D83" s="25" t="s">
        <v>28</v>
      </c>
      <c r="E83" s="15" t="s">
        <v>50</v>
      </c>
      <c r="F83" s="15">
        <v>1800.0</v>
      </c>
      <c r="G83" s="13">
        <v>450.0</v>
      </c>
      <c r="H83" s="19">
        <v>5658.0</v>
      </c>
      <c r="I83" s="19" t="s">
        <v>38</v>
      </c>
      <c r="J83" s="19" t="s">
        <v>43</v>
      </c>
      <c r="K83" s="19" t="s">
        <v>2749</v>
      </c>
      <c r="L83" s="19" t="s">
        <v>2764</v>
      </c>
      <c r="M83" s="19" t="s">
        <v>2744</v>
      </c>
    </row>
    <row r="84" ht="56.25" customHeight="1">
      <c r="A84" s="13" t="s">
        <v>3044</v>
      </c>
      <c r="B84" s="60" t="str">
        <f>image("https://i.imgur.com/QcybvU2.png",1)</f>
        <v/>
      </c>
      <c r="C84" s="15" t="s">
        <v>40</v>
      </c>
      <c r="D84" s="25" t="s">
        <v>28</v>
      </c>
      <c r="E84" s="25" t="s">
        <v>28</v>
      </c>
      <c r="F84" s="25" t="s">
        <v>51</v>
      </c>
      <c r="G84" s="13">
        <v>160.0</v>
      </c>
      <c r="H84" s="19">
        <v>8765.0</v>
      </c>
      <c r="I84" s="19" t="s">
        <v>38</v>
      </c>
      <c r="J84" s="19" t="s">
        <v>54</v>
      </c>
      <c r="K84" s="19" t="s">
        <v>85</v>
      </c>
      <c r="L84" s="19"/>
      <c r="M84" s="19" t="s">
        <v>2744</v>
      </c>
    </row>
    <row r="85" ht="56.25" customHeight="1">
      <c r="A85" s="13" t="s">
        <v>3047</v>
      </c>
      <c r="B85" s="60" t="str">
        <f>image("https://i.imgur.com/llt6nHj.png",1)</f>
        <v/>
      </c>
      <c r="C85" s="17" t="str">
        <f>HYPERLINK("https://imgur.com/a/GO67Q7F","Yes")</f>
        <v>Yes</v>
      </c>
      <c r="D85" s="25" t="s">
        <v>28</v>
      </c>
      <c r="E85" s="15" t="s">
        <v>50</v>
      </c>
      <c r="F85" s="15">
        <v>1440.0</v>
      </c>
      <c r="G85" s="13">
        <v>360.0</v>
      </c>
      <c r="H85" s="19">
        <v>3219.0</v>
      </c>
      <c r="I85" s="19" t="s">
        <v>38</v>
      </c>
      <c r="J85" s="19" t="s">
        <v>43</v>
      </c>
      <c r="K85" s="19" t="s">
        <v>2749</v>
      </c>
      <c r="L85" s="19" t="s">
        <v>2764</v>
      </c>
      <c r="M85" s="19" t="s">
        <v>2793</v>
      </c>
    </row>
    <row r="86" ht="56.25" customHeight="1">
      <c r="A86" s="13" t="s">
        <v>3051</v>
      </c>
      <c r="B86" s="60" t="str">
        <f>image("https://i.imgur.com/PXTViRy.png",1)</f>
        <v/>
      </c>
      <c r="C86" s="17" t="str">
        <f>HYPERLINK("https://imgur.com/a/AaJ6YhU","Yes")</f>
        <v>Yes</v>
      </c>
      <c r="D86" s="25" t="s">
        <v>28</v>
      </c>
      <c r="E86" s="15" t="s">
        <v>50</v>
      </c>
      <c r="F86" s="15">
        <v>800.0</v>
      </c>
      <c r="G86" s="13">
        <v>200.0</v>
      </c>
      <c r="H86" s="19">
        <v>4205.0</v>
      </c>
      <c r="I86" s="19" t="s">
        <v>38</v>
      </c>
      <c r="J86" s="19" t="s">
        <v>43</v>
      </c>
      <c r="K86" s="19" t="s">
        <v>2749</v>
      </c>
      <c r="L86" s="19" t="s">
        <v>2764</v>
      </c>
      <c r="M86" s="19" t="s">
        <v>2793</v>
      </c>
    </row>
    <row r="87" ht="56.25" customHeight="1">
      <c r="A87" s="13" t="s">
        <v>3054</v>
      </c>
      <c r="B87" s="60" t="str">
        <f>image("https://i.imgur.com/nZKcoDY.png",1)</f>
        <v/>
      </c>
      <c r="C87" s="15" t="s">
        <v>40</v>
      </c>
      <c r="D87" s="25" t="s">
        <v>28</v>
      </c>
      <c r="E87" s="15" t="s">
        <v>50</v>
      </c>
      <c r="F87" s="15">
        <v>560.0</v>
      </c>
      <c r="G87" s="13">
        <v>140.0</v>
      </c>
      <c r="H87" s="19">
        <v>3322.0</v>
      </c>
      <c r="I87" s="19" t="s">
        <v>38</v>
      </c>
      <c r="J87" s="19" t="s">
        <v>43</v>
      </c>
      <c r="K87" s="19" t="s">
        <v>2743</v>
      </c>
      <c r="L87" s="19"/>
      <c r="M87" s="19" t="s">
        <v>2793</v>
      </c>
    </row>
    <row r="88" ht="56.25" customHeight="1">
      <c r="A88" s="13" t="s">
        <v>3057</v>
      </c>
      <c r="B88" s="60" t="str">
        <f>image("https://i.imgur.com/F2nyB0E.png",1)</f>
        <v/>
      </c>
      <c r="C88" s="15" t="s">
        <v>40</v>
      </c>
      <c r="D88" s="25" t="s">
        <v>28</v>
      </c>
      <c r="E88" s="15" t="s">
        <v>50</v>
      </c>
      <c r="F88" s="15">
        <v>800.0</v>
      </c>
      <c r="G88" s="13">
        <v>200.0</v>
      </c>
      <c r="H88" s="19">
        <v>9536.0</v>
      </c>
      <c r="I88" s="19" t="s">
        <v>38</v>
      </c>
      <c r="J88" s="19" t="s">
        <v>43</v>
      </c>
      <c r="K88" s="19" t="s">
        <v>2749</v>
      </c>
      <c r="L88" s="19" t="s">
        <v>2764</v>
      </c>
      <c r="M88" s="19" t="s">
        <v>2793</v>
      </c>
    </row>
    <row r="89" ht="56.25" customHeight="1">
      <c r="A89" s="13" t="s">
        <v>3061</v>
      </c>
      <c r="B89" s="60" t="str">
        <f>image("https://i.imgur.com/r3bql1W.png",1)</f>
        <v/>
      </c>
      <c r="C89" s="17" t="str">
        <f>HYPERLINK("https://imgur.com/a/RbDGkJP","Yes")</f>
        <v>Yes</v>
      </c>
      <c r="D89" s="25" t="s">
        <v>28</v>
      </c>
      <c r="E89" s="15" t="s">
        <v>50</v>
      </c>
      <c r="F89" s="15">
        <v>1200.0</v>
      </c>
      <c r="G89" s="13">
        <v>300.0</v>
      </c>
      <c r="H89" s="19">
        <v>3225.0</v>
      </c>
      <c r="I89" s="19" t="s">
        <v>38</v>
      </c>
      <c r="J89" s="19" t="s">
        <v>43</v>
      </c>
      <c r="K89" s="19" t="s">
        <v>2749</v>
      </c>
      <c r="L89" s="19" t="s">
        <v>2764</v>
      </c>
      <c r="M89" s="19" t="s">
        <v>2744</v>
      </c>
    </row>
    <row r="90" ht="56.25" customHeight="1">
      <c r="A90" s="13" t="s">
        <v>3064</v>
      </c>
      <c r="B90" s="60" t="str">
        <f>image("https://i.imgur.com/bw0bIHa.png",1)</f>
        <v/>
      </c>
      <c r="C90" s="17" t="str">
        <f>HYPERLINK("https://imgur.com/a/i3K61a1","Yes")</f>
        <v>Yes</v>
      </c>
      <c r="D90" s="25" t="s">
        <v>28</v>
      </c>
      <c r="E90" s="15" t="s">
        <v>50</v>
      </c>
      <c r="F90" s="15">
        <v>1200.0</v>
      </c>
      <c r="G90" s="13">
        <v>300.0</v>
      </c>
      <c r="H90" s="19">
        <v>5685.0</v>
      </c>
      <c r="I90" s="19" t="s">
        <v>38</v>
      </c>
      <c r="J90" s="19" t="s">
        <v>43</v>
      </c>
      <c r="K90" s="19" t="s">
        <v>2749</v>
      </c>
      <c r="L90" s="19" t="s">
        <v>2751</v>
      </c>
      <c r="M90" s="19" t="s">
        <v>852</v>
      </c>
    </row>
    <row r="91" ht="56.25" customHeight="1">
      <c r="A91" s="13" t="s">
        <v>3065</v>
      </c>
      <c r="B91" s="60" t="str">
        <f>image("https://i.imgur.com/1yhLr4I.png",1)</f>
        <v/>
      </c>
      <c r="C91" s="17" t="str">
        <f>HYPERLINK("https://imgur.com/a/SoeHjYS","Yes")</f>
        <v>Yes</v>
      </c>
      <c r="D91" s="25" t="s">
        <v>28</v>
      </c>
      <c r="E91" s="15" t="s">
        <v>50</v>
      </c>
      <c r="F91" s="15">
        <v>1960.0</v>
      </c>
      <c r="G91" s="13">
        <v>490.0</v>
      </c>
      <c r="H91" s="19">
        <v>3265.0</v>
      </c>
      <c r="I91" s="19" t="s">
        <v>38</v>
      </c>
      <c r="J91" s="19" t="s">
        <v>43</v>
      </c>
      <c r="K91" s="19" t="s">
        <v>2749</v>
      </c>
      <c r="L91" s="19" t="s">
        <v>2751</v>
      </c>
      <c r="M91" s="19" t="s">
        <v>852</v>
      </c>
    </row>
    <row r="92" ht="56.25" customHeight="1">
      <c r="A92" s="13" t="s">
        <v>3066</v>
      </c>
      <c r="B92" s="60" t="str">
        <f>image("https://i.imgur.com/RSSSCPk.png",1)</f>
        <v/>
      </c>
      <c r="C92" s="17" t="str">
        <f>HYPERLINK("https://imgur.com/a/mLFgsBe","Yes")</f>
        <v>Yes</v>
      </c>
      <c r="D92" s="25" t="s">
        <v>28</v>
      </c>
      <c r="E92" s="15" t="s">
        <v>50</v>
      </c>
      <c r="F92" s="15">
        <v>1680.0</v>
      </c>
      <c r="G92" s="13">
        <v>420.0</v>
      </c>
      <c r="H92" s="19">
        <v>4207.0</v>
      </c>
      <c r="I92" s="19" t="s">
        <v>38</v>
      </c>
      <c r="J92" s="19" t="s">
        <v>43</v>
      </c>
      <c r="K92" s="19" t="s">
        <v>2749</v>
      </c>
      <c r="L92" s="19" t="s">
        <v>2751</v>
      </c>
      <c r="M92" s="19" t="s">
        <v>2756</v>
      </c>
    </row>
    <row r="93" ht="56.25" customHeight="1">
      <c r="A93" s="13" t="s">
        <v>3067</v>
      </c>
      <c r="B93" s="60" t="str">
        <f>image("https://i.imgur.com/wsHw4pC.png",1)</f>
        <v/>
      </c>
      <c r="C93" s="17" t="str">
        <f>HYPERLINK("https://imgur.com/a/Uy71MEB","Yes")</f>
        <v>Yes</v>
      </c>
      <c r="D93" s="25" t="s">
        <v>28</v>
      </c>
      <c r="E93" s="15" t="s">
        <v>50</v>
      </c>
      <c r="F93" s="15">
        <v>1200.0</v>
      </c>
      <c r="G93" s="13">
        <v>300.0</v>
      </c>
      <c r="H93" s="19">
        <v>3597.0</v>
      </c>
      <c r="I93" s="19" t="s">
        <v>38</v>
      </c>
      <c r="J93" s="19" t="s">
        <v>43</v>
      </c>
      <c r="K93" s="19" t="s">
        <v>2749</v>
      </c>
      <c r="L93" s="19" t="s">
        <v>2764</v>
      </c>
      <c r="M93" s="19" t="s">
        <v>384</v>
      </c>
    </row>
    <row r="94" ht="56.25" customHeight="1">
      <c r="A94" s="13" t="s">
        <v>3069</v>
      </c>
      <c r="B94" s="60" t="str">
        <f>image("https://i.imgur.com/rdbg6Ha.png",1)</f>
        <v/>
      </c>
      <c r="C94" s="17" t="str">
        <f>HYPERLINK("https://imgur.com/a/pQ3N3iA","Yes")</f>
        <v>Yes</v>
      </c>
      <c r="D94" s="25" t="s">
        <v>28</v>
      </c>
      <c r="E94" s="15" t="s">
        <v>50</v>
      </c>
      <c r="F94" s="15">
        <v>1300.0</v>
      </c>
      <c r="G94" s="13">
        <v>325.0</v>
      </c>
      <c r="H94" s="19">
        <v>4446.0</v>
      </c>
      <c r="I94" s="19" t="s">
        <v>38</v>
      </c>
      <c r="J94" s="19" t="s">
        <v>43</v>
      </c>
      <c r="K94" s="19" t="s">
        <v>2749</v>
      </c>
      <c r="L94" s="19" t="s">
        <v>2764</v>
      </c>
      <c r="M94" s="19" t="s">
        <v>2744</v>
      </c>
    </row>
    <row r="95" ht="56.25" customHeight="1">
      <c r="A95" s="13" t="s">
        <v>3071</v>
      </c>
      <c r="B95" s="60" t="str">
        <f>image("https://i.imgur.com/Yezdn1u.png",1)</f>
        <v/>
      </c>
      <c r="C95" s="17" t="str">
        <f>HYPERLINK("https://imgur.com/a/Mlal2mq","Yes")</f>
        <v>Yes</v>
      </c>
      <c r="D95" s="25" t="s">
        <v>28</v>
      </c>
      <c r="E95" s="15" t="s">
        <v>50</v>
      </c>
      <c r="F95" s="15">
        <v>1120.0</v>
      </c>
      <c r="G95" s="13">
        <v>280.0</v>
      </c>
      <c r="H95" s="19">
        <v>4447.0</v>
      </c>
      <c r="I95" s="19" t="s">
        <v>38</v>
      </c>
      <c r="J95" s="19" t="s">
        <v>43</v>
      </c>
      <c r="K95" s="19" t="s">
        <v>2749</v>
      </c>
      <c r="L95" s="19" t="s">
        <v>2751</v>
      </c>
      <c r="M95" s="19" t="s">
        <v>2793</v>
      </c>
    </row>
    <row r="96" ht="56.25" customHeight="1">
      <c r="A96" s="13" t="s">
        <v>3073</v>
      </c>
      <c r="B96" s="60" t="str">
        <f>image("https://i.imgur.com/ozFHJzR.png",1)</f>
        <v/>
      </c>
      <c r="C96" s="15" t="s">
        <v>40</v>
      </c>
      <c r="D96" s="25" t="s">
        <v>28</v>
      </c>
      <c r="E96" s="15" t="s">
        <v>50</v>
      </c>
      <c r="F96" s="15">
        <v>560.0</v>
      </c>
      <c r="G96" s="13">
        <v>140.0</v>
      </c>
      <c r="H96" s="19">
        <v>3321.0</v>
      </c>
      <c r="I96" s="19" t="s">
        <v>38</v>
      </c>
      <c r="J96" s="19" t="s">
        <v>43</v>
      </c>
      <c r="K96" s="19" t="s">
        <v>2743</v>
      </c>
      <c r="L96" s="19"/>
      <c r="M96" s="19" t="s">
        <v>2793</v>
      </c>
    </row>
    <row r="97" ht="56.25" customHeight="1">
      <c r="A97" s="13" t="s">
        <v>3075</v>
      </c>
      <c r="B97" s="60" t="str">
        <f>image("https://i.imgur.com/GiiWmVh.png",1)</f>
        <v/>
      </c>
      <c r="C97" s="15" t="s">
        <v>40</v>
      </c>
      <c r="D97" s="25" t="s">
        <v>28</v>
      </c>
      <c r="E97" s="15" t="s">
        <v>50</v>
      </c>
      <c r="F97" s="15">
        <v>640.0</v>
      </c>
      <c r="G97" s="13">
        <v>160.0</v>
      </c>
      <c r="H97" s="19">
        <v>8195.0</v>
      </c>
      <c r="I97" s="19" t="s">
        <v>38</v>
      </c>
      <c r="J97" s="19" t="s">
        <v>43</v>
      </c>
      <c r="K97" s="19" t="s">
        <v>2743</v>
      </c>
      <c r="L97" s="19"/>
      <c r="M97" s="19" t="s">
        <v>2793</v>
      </c>
    </row>
    <row r="98" ht="56.25" customHeight="1">
      <c r="A98" s="13" t="s">
        <v>3077</v>
      </c>
      <c r="B98" s="60" t="str">
        <f>image("https://i.imgur.com/lFP5cAx.png",1)</f>
        <v/>
      </c>
      <c r="C98" s="17" t="str">
        <f>HYPERLINK("https://imgur.com/a/B5miX0F","Yes")</f>
        <v>Yes</v>
      </c>
      <c r="D98" s="25" t="s">
        <v>28</v>
      </c>
      <c r="E98" s="15" t="s">
        <v>50</v>
      </c>
      <c r="F98" s="15">
        <v>800.0</v>
      </c>
      <c r="G98" s="13">
        <v>200.0</v>
      </c>
      <c r="H98" s="19">
        <v>4567.0</v>
      </c>
      <c r="I98" s="19" t="s">
        <v>38</v>
      </c>
      <c r="J98" s="19" t="s">
        <v>43</v>
      </c>
      <c r="K98" s="19" t="s">
        <v>2749</v>
      </c>
      <c r="L98" s="19" t="s">
        <v>2764</v>
      </c>
      <c r="M98" s="19" t="s">
        <v>2793</v>
      </c>
    </row>
    <row r="99" ht="56.25" customHeight="1">
      <c r="A99" s="13" t="s">
        <v>3079</v>
      </c>
      <c r="B99" s="60" t="str">
        <f>image("https://i.imgur.com/3JNLArG.png",1)</f>
        <v/>
      </c>
      <c r="C99" s="17" t="str">
        <f>HYPERLINK("https://imgur.com/a/DaG6TZw","Yes")</f>
        <v>Yes</v>
      </c>
      <c r="D99" s="25" t="s">
        <v>28</v>
      </c>
      <c r="E99" s="15" t="s">
        <v>50</v>
      </c>
      <c r="F99" s="15">
        <v>640.0</v>
      </c>
      <c r="G99" s="13">
        <v>160.0</v>
      </c>
      <c r="H99" s="19">
        <v>4320.0</v>
      </c>
      <c r="I99" s="19" t="s">
        <v>38</v>
      </c>
      <c r="J99" s="19" t="s">
        <v>43</v>
      </c>
      <c r="K99" s="19" t="s">
        <v>2749</v>
      </c>
      <c r="L99" s="19" t="s">
        <v>2764</v>
      </c>
      <c r="M99" s="19" t="s">
        <v>2793</v>
      </c>
    </row>
    <row r="100" ht="56.25" customHeight="1">
      <c r="A100" s="13" t="s">
        <v>3080</v>
      </c>
      <c r="B100" s="60" t="str">
        <f>image("https://i.imgur.com/7TNPHI4.png",1)</f>
        <v/>
      </c>
      <c r="C100" s="17" t="str">
        <f>HYPERLINK("https://imgur.com/a/pCn1ZpC","Yes")</f>
        <v>Yes</v>
      </c>
      <c r="D100" s="25" t="s">
        <v>28</v>
      </c>
      <c r="E100" s="15" t="s">
        <v>50</v>
      </c>
      <c r="F100" s="15">
        <v>1300.0</v>
      </c>
      <c r="G100" s="13">
        <v>325.0</v>
      </c>
      <c r="H100" s="19">
        <v>4212.0</v>
      </c>
      <c r="I100" s="19" t="s">
        <v>38</v>
      </c>
      <c r="J100" s="19" t="s">
        <v>43</v>
      </c>
      <c r="K100" s="19" t="s">
        <v>2749</v>
      </c>
      <c r="L100" s="19" t="s">
        <v>2764</v>
      </c>
      <c r="M100" s="19" t="s">
        <v>2744</v>
      </c>
    </row>
    <row r="101" ht="56.25" customHeight="1">
      <c r="A101" s="13" t="s">
        <v>3081</v>
      </c>
      <c r="B101" s="60" t="str">
        <f>image("https://i.imgur.com/04TwqrT.png",1)</f>
        <v/>
      </c>
      <c r="C101" s="17" t="str">
        <f>HYPERLINK("https://imgur.com/a/AJvycC3","Yes")</f>
        <v>Yes</v>
      </c>
      <c r="D101" s="25" t="s">
        <v>28</v>
      </c>
      <c r="E101" s="15" t="s">
        <v>50</v>
      </c>
      <c r="F101" s="15">
        <v>1120.0</v>
      </c>
      <c r="G101" s="13">
        <v>280.0</v>
      </c>
      <c r="H101" s="19">
        <v>3203.0</v>
      </c>
      <c r="I101" s="19" t="s">
        <v>38</v>
      </c>
      <c r="J101" s="19" t="s">
        <v>43</v>
      </c>
      <c r="K101" s="19" t="s">
        <v>2749</v>
      </c>
      <c r="L101" s="19" t="s">
        <v>2764</v>
      </c>
      <c r="M101" s="19" t="s">
        <v>384</v>
      </c>
    </row>
    <row r="102" ht="56.25" customHeight="1">
      <c r="A102" s="13" t="s">
        <v>3083</v>
      </c>
      <c r="B102" s="60" t="str">
        <f>image("https://i.imgur.com/AGA5FmP.png",1)</f>
        <v/>
      </c>
      <c r="C102" s="17" t="str">
        <f>HYPERLINK("https://imgur.com/a/WPXdSOH","Yes")</f>
        <v>Yes</v>
      </c>
      <c r="D102" s="25" t="s">
        <v>28</v>
      </c>
      <c r="E102" s="15" t="s">
        <v>50</v>
      </c>
      <c r="F102" s="15">
        <v>1120.0</v>
      </c>
      <c r="G102" s="13">
        <v>280.0</v>
      </c>
      <c r="H102" s="19">
        <v>3676.0</v>
      </c>
      <c r="I102" s="19" t="s">
        <v>38</v>
      </c>
      <c r="J102" s="19" t="s">
        <v>43</v>
      </c>
      <c r="K102" s="19" t="s">
        <v>2749</v>
      </c>
      <c r="L102" s="19" t="s">
        <v>2751</v>
      </c>
      <c r="M102" s="19" t="s">
        <v>2756</v>
      </c>
    </row>
    <row r="103" ht="56.25" customHeight="1">
      <c r="A103" s="13" t="s">
        <v>3085</v>
      </c>
      <c r="B103" s="60" t="str">
        <f>image("https://i.imgur.com/YCYMl7X.png",1)</f>
        <v/>
      </c>
      <c r="C103" s="17" t="str">
        <f>HYPERLINK("https://imgur.com/a/N5GntRW","Yes")</f>
        <v>Yes</v>
      </c>
      <c r="D103" s="25" t="s">
        <v>28</v>
      </c>
      <c r="E103" s="15" t="s">
        <v>50</v>
      </c>
      <c r="F103" s="15">
        <v>960.0</v>
      </c>
      <c r="G103" s="13">
        <v>240.0</v>
      </c>
      <c r="H103" s="19">
        <v>6811.0</v>
      </c>
      <c r="I103" s="19" t="s">
        <v>38</v>
      </c>
      <c r="J103" s="19" t="s">
        <v>43</v>
      </c>
      <c r="K103" s="19" t="s">
        <v>2749</v>
      </c>
      <c r="L103" s="19" t="s">
        <v>2751</v>
      </c>
      <c r="M103" s="19" t="s">
        <v>2744</v>
      </c>
    </row>
    <row r="104" ht="56.25" customHeight="1">
      <c r="A104" s="13" t="s">
        <v>3086</v>
      </c>
      <c r="B104" s="60" t="str">
        <f>image("https://i.imgur.com/JQK0Vln.png",1)</f>
        <v/>
      </c>
      <c r="C104" s="17" t="str">
        <f>HYPERLINK("https://imgur.com/a/1SAlmUW","Yes")</f>
        <v>Yes</v>
      </c>
      <c r="D104" s="25" t="s">
        <v>28</v>
      </c>
      <c r="E104" s="15" t="s">
        <v>50</v>
      </c>
      <c r="F104" s="15">
        <v>1120.0</v>
      </c>
      <c r="G104" s="13">
        <v>280.0</v>
      </c>
      <c r="H104" s="19">
        <v>4327.0</v>
      </c>
      <c r="I104" s="19" t="s">
        <v>38</v>
      </c>
      <c r="J104" s="19" t="s">
        <v>43</v>
      </c>
      <c r="K104" s="19" t="s">
        <v>2749</v>
      </c>
      <c r="L104" s="19" t="s">
        <v>2764</v>
      </c>
      <c r="M104" s="19" t="s">
        <v>2756</v>
      </c>
    </row>
    <row r="105" ht="56.25" customHeight="1">
      <c r="A105" s="13" t="s">
        <v>3087</v>
      </c>
      <c r="B105" s="60" t="str">
        <f>image("https://i.imgur.com/lxqToK6.png",1)</f>
        <v/>
      </c>
      <c r="C105" s="17" t="str">
        <f>HYPERLINK("https://imgur.com/a/SXYR1Lp","Yes")</f>
        <v>Yes</v>
      </c>
      <c r="D105" s="25" t="s">
        <v>28</v>
      </c>
      <c r="E105" s="15" t="s">
        <v>50</v>
      </c>
      <c r="F105" s="15">
        <v>2000.0</v>
      </c>
      <c r="G105" s="13">
        <v>500.0</v>
      </c>
      <c r="H105" s="19">
        <v>4286.0</v>
      </c>
      <c r="I105" s="19" t="s">
        <v>38</v>
      </c>
      <c r="J105" s="19" t="s">
        <v>43</v>
      </c>
      <c r="K105" s="19" t="s">
        <v>2749</v>
      </c>
      <c r="L105" s="19" t="s">
        <v>2751</v>
      </c>
      <c r="M105" s="19" t="s">
        <v>2863</v>
      </c>
    </row>
    <row r="106" ht="56.25" customHeight="1">
      <c r="A106" s="13" t="s">
        <v>3089</v>
      </c>
      <c r="B106" s="60" t="str">
        <f>image("https://i.imgur.com/1Q3MWzq.png",1)</f>
        <v/>
      </c>
      <c r="C106" s="17" t="str">
        <f>HYPERLINK("https://imgur.com/a/JAUJAgd","Yes")</f>
        <v>Yes</v>
      </c>
      <c r="D106" s="25" t="s">
        <v>28</v>
      </c>
      <c r="E106" s="15" t="s">
        <v>50</v>
      </c>
      <c r="F106" s="15">
        <v>3360.0</v>
      </c>
      <c r="G106" s="13">
        <v>840.0</v>
      </c>
      <c r="H106" s="19">
        <v>3140.0</v>
      </c>
      <c r="I106" s="19" t="s">
        <v>38</v>
      </c>
      <c r="J106" s="19" t="s">
        <v>43</v>
      </c>
      <c r="K106" s="19" t="s">
        <v>2749</v>
      </c>
      <c r="L106" s="19" t="s">
        <v>2751</v>
      </c>
      <c r="M106" s="19" t="s">
        <v>2744</v>
      </c>
    </row>
    <row r="107" ht="56.25" customHeight="1">
      <c r="A107" s="13" t="s">
        <v>3091</v>
      </c>
      <c r="B107" s="60" t="str">
        <f>image("https://i.imgur.com/YlIN2IM.png",1)</f>
        <v/>
      </c>
      <c r="C107" s="17" t="str">
        <f>HYPERLINK("https://imgur.com/a/A1qVHpg","Yes")</f>
        <v>Yes</v>
      </c>
      <c r="D107" s="25" t="s">
        <v>28</v>
      </c>
      <c r="E107" s="15" t="s">
        <v>50</v>
      </c>
      <c r="F107" s="15">
        <v>1440.0</v>
      </c>
      <c r="G107" s="13">
        <v>360.0</v>
      </c>
      <c r="H107" s="19">
        <v>9832.0</v>
      </c>
      <c r="I107" s="19" t="s">
        <v>38</v>
      </c>
      <c r="J107" s="19" t="s">
        <v>43</v>
      </c>
      <c r="K107" s="19" t="s">
        <v>2749</v>
      </c>
      <c r="L107" s="19" t="s">
        <v>2764</v>
      </c>
      <c r="M107" s="19" t="s">
        <v>2756</v>
      </c>
    </row>
    <row r="108" ht="56.25" customHeight="1">
      <c r="A108" s="13" t="s">
        <v>3092</v>
      </c>
      <c r="B108" s="60" t="str">
        <f>image("https://i.imgur.com/kAhJND0.png",1)</f>
        <v/>
      </c>
      <c r="C108" s="17" t="str">
        <f>HYPERLINK("https://imgur.com/a/K102HjY","Yes")</f>
        <v>Yes</v>
      </c>
      <c r="D108" s="25" t="s">
        <v>28</v>
      </c>
      <c r="E108" s="15" t="s">
        <v>50</v>
      </c>
      <c r="F108" s="15">
        <v>1680.0</v>
      </c>
      <c r="G108" s="13">
        <v>420.0</v>
      </c>
      <c r="H108" s="19">
        <v>4488.0</v>
      </c>
      <c r="I108" s="19" t="s">
        <v>38</v>
      </c>
      <c r="J108" s="19" t="s">
        <v>43</v>
      </c>
      <c r="K108" s="19" t="s">
        <v>2749</v>
      </c>
      <c r="L108" s="19" t="s">
        <v>2764</v>
      </c>
      <c r="M108" s="19" t="s">
        <v>2793</v>
      </c>
    </row>
    <row r="109" ht="56.25" customHeight="1">
      <c r="A109" s="13" t="s">
        <v>3093</v>
      </c>
      <c r="B109" s="60" t="str">
        <f>image("https://i.imgur.com/QaMYljk.png",1)</f>
        <v/>
      </c>
      <c r="C109" s="17" t="str">
        <f>HYPERLINK("https://imgur.com/a/KmH0aB2","Yes")</f>
        <v>Yes</v>
      </c>
      <c r="D109" s="25" t="s">
        <v>28</v>
      </c>
      <c r="E109" s="15" t="s">
        <v>50</v>
      </c>
      <c r="F109" s="15">
        <v>1120.0</v>
      </c>
      <c r="G109" s="13">
        <v>280.0</v>
      </c>
      <c r="H109" s="19">
        <v>3687.0</v>
      </c>
      <c r="I109" s="19" t="s">
        <v>38</v>
      </c>
      <c r="J109" s="19" t="s">
        <v>43</v>
      </c>
      <c r="K109" s="19" t="s">
        <v>2749</v>
      </c>
      <c r="L109" s="19" t="s">
        <v>2764</v>
      </c>
      <c r="M109" s="19" t="s">
        <v>2756</v>
      </c>
    </row>
    <row r="110" ht="56.25" customHeight="1">
      <c r="A110" s="13" t="s">
        <v>3095</v>
      </c>
      <c r="B110" s="60" t="str">
        <f>image("https://i.imgur.com/1ZS1VMl.png",1)</f>
        <v/>
      </c>
      <c r="C110" s="17" t="str">
        <f>HYPERLINK("https://imgur.com/a/nVnzH2z","Yes")</f>
        <v>Yes</v>
      </c>
      <c r="D110" s="25" t="s">
        <v>28</v>
      </c>
      <c r="E110" s="15" t="s">
        <v>50</v>
      </c>
      <c r="F110" s="15">
        <v>800.0</v>
      </c>
      <c r="G110" s="13">
        <v>200.0</v>
      </c>
      <c r="H110" s="19">
        <v>5926.0</v>
      </c>
      <c r="I110" s="19" t="s">
        <v>38</v>
      </c>
      <c r="J110" s="19" t="s">
        <v>43</v>
      </c>
      <c r="K110" s="19" t="s">
        <v>2749</v>
      </c>
      <c r="L110" s="19" t="s">
        <v>2751</v>
      </c>
      <c r="M110" s="19" t="s">
        <v>2744</v>
      </c>
    </row>
    <row r="111" ht="56.25" customHeight="1">
      <c r="A111" s="13" t="s">
        <v>3097</v>
      </c>
      <c r="B111" s="60" t="str">
        <f>image("https://i.imgur.com/aVXJqI8.png",1)</f>
        <v/>
      </c>
      <c r="C111" s="17" t="str">
        <f>HYPERLINK("https://imgur.com/a/TjVo5L3","Yes")</f>
        <v>Yes</v>
      </c>
      <c r="D111" s="25" t="s">
        <v>28</v>
      </c>
      <c r="E111" s="15" t="s">
        <v>50</v>
      </c>
      <c r="F111" s="15">
        <v>640.0</v>
      </c>
      <c r="G111" s="13">
        <v>160.0</v>
      </c>
      <c r="H111" s="19">
        <v>3179.0</v>
      </c>
      <c r="I111" s="19" t="s">
        <v>38</v>
      </c>
      <c r="J111" s="19" t="s">
        <v>43</v>
      </c>
      <c r="K111" s="19" t="s">
        <v>2749</v>
      </c>
      <c r="L111" s="19" t="s">
        <v>2764</v>
      </c>
      <c r="M111" s="19" t="s">
        <v>2793</v>
      </c>
    </row>
    <row r="112" ht="56.25" customHeight="1">
      <c r="A112" s="13" t="s">
        <v>3098</v>
      </c>
      <c r="B112" s="60" t="str">
        <f>image("https://i.imgur.com/xRJ8gG0.png",1)</f>
        <v/>
      </c>
      <c r="C112" s="15" t="s">
        <v>40</v>
      </c>
      <c r="D112" s="25" t="s">
        <v>28</v>
      </c>
      <c r="E112" s="15" t="s">
        <v>50</v>
      </c>
      <c r="F112" s="15">
        <v>640.0</v>
      </c>
      <c r="G112" s="13">
        <v>160.0</v>
      </c>
      <c r="H112" s="19">
        <v>12119.0</v>
      </c>
      <c r="I112" s="19" t="s">
        <v>38</v>
      </c>
      <c r="J112" s="19" t="s">
        <v>43</v>
      </c>
      <c r="K112" s="19" t="s">
        <v>2743</v>
      </c>
      <c r="L112" s="19"/>
      <c r="M112" s="19" t="s">
        <v>2744</v>
      </c>
    </row>
    <row r="113" ht="56.25" customHeight="1">
      <c r="A113" s="13" t="s">
        <v>3100</v>
      </c>
      <c r="B113" s="60" t="str">
        <f>image("https://i.imgur.com/OTGfV2m.png",1)</f>
        <v/>
      </c>
      <c r="C113" s="17" t="str">
        <f>HYPERLINK("https://imgur.com/a/YJKV046","Yes")</f>
        <v>Yes</v>
      </c>
      <c r="D113" s="25" t="s">
        <v>28</v>
      </c>
      <c r="E113" s="15" t="s">
        <v>50</v>
      </c>
      <c r="F113" s="15">
        <v>840.0</v>
      </c>
      <c r="G113" s="13">
        <v>210.0</v>
      </c>
      <c r="H113" s="19">
        <v>2746.0</v>
      </c>
      <c r="I113" s="19" t="s">
        <v>38</v>
      </c>
      <c r="J113" s="19" t="s">
        <v>43</v>
      </c>
      <c r="K113" s="19" t="s">
        <v>2749</v>
      </c>
      <c r="L113" s="19" t="s">
        <v>2764</v>
      </c>
      <c r="M113" s="19" t="s">
        <v>2863</v>
      </c>
    </row>
    <row r="114" ht="56.25" customHeight="1">
      <c r="A114" s="13" t="s">
        <v>3101</v>
      </c>
      <c r="B114" s="60" t="str">
        <f>image("https://i.imgur.com/DKlbshn.png",1)</f>
        <v/>
      </c>
      <c r="C114" s="17" t="str">
        <f>HYPERLINK("https://imgur.com/a/dus5P5N","Yes")</f>
        <v>Yes</v>
      </c>
      <c r="D114" s="25" t="s">
        <v>28</v>
      </c>
      <c r="E114" s="15" t="s">
        <v>50</v>
      </c>
      <c r="F114" s="15">
        <v>1120.0</v>
      </c>
      <c r="G114" s="13">
        <v>280.0</v>
      </c>
      <c r="H114" s="19">
        <v>3164.0</v>
      </c>
      <c r="I114" s="19" t="s">
        <v>38</v>
      </c>
      <c r="J114" s="19" t="s">
        <v>43</v>
      </c>
      <c r="K114" s="19" t="s">
        <v>2749</v>
      </c>
      <c r="L114" s="19" t="s">
        <v>2764</v>
      </c>
      <c r="M114" s="19" t="s">
        <v>2744</v>
      </c>
    </row>
    <row r="115" ht="56.25" customHeight="1">
      <c r="A115" s="13" t="s">
        <v>3104</v>
      </c>
      <c r="B115" s="60" t="str">
        <f>image("https://i.imgur.com/THTYcOO.png",1)</f>
        <v/>
      </c>
      <c r="C115" s="17" t="str">
        <f>HYPERLINK("https://imgur.com/a/aZQFikM","Yes")</f>
        <v>Yes</v>
      </c>
      <c r="D115" s="25" t="s">
        <v>28</v>
      </c>
      <c r="E115" s="15" t="s">
        <v>50</v>
      </c>
      <c r="F115" s="15">
        <v>960.0</v>
      </c>
      <c r="G115" s="13">
        <v>240.0</v>
      </c>
      <c r="H115" s="19">
        <v>3254.0</v>
      </c>
      <c r="I115" s="19" t="s">
        <v>38</v>
      </c>
      <c r="J115" s="19" t="s">
        <v>43</v>
      </c>
      <c r="K115" s="19" t="s">
        <v>2749</v>
      </c>
      <c r="L115" s="19" t="s">
        <v>2751</v>
      </c>
      <c r="M115" s="19" t="s">
        <v>2793</v>
      </c>
    </row>
    <row r="116" ht="56.25" customHeight="1">
      <c r="A116" s="13" t="s">
        <v>3105</v>
      </c>
      <c r="B116" s="60" t="str">
        <f>image("https://i.imgur.com/JKXkHPz.png",1)</f>
        <v/>
      </c>
      <c r="C116" s="15" t="s">
        <v>40</v>
      </c>
      <c r="D116" s="25" t="s">
        <v>28</v>
      </c>
      <c r="E116" s="15" t="s">
        <v>50</v>
      </c>
      <c r="F116" s="15">
        <v>1750.0</v>
      </c>
      <c r="G116" s="13">
        <v>437.0</v>
      </c>
      <c r="H116" s="19">
        <v>4343.0</v>
      </c>
      <c r="I116" s="19" t="s">
        <v>38</v>
      </c>
      <c r="J116" s="19" t="s">
        <v>43</v>
      </c>
      <c r="K116" s="19" t="s">
        <v>2749</v>
      </c>
      <c r="L116" s="19" t="s">
        <v>2751</v>
      </c>
      <c r="M116" s="19" t="s">
        <v>2793</v>
      </c>
    </row>
    <row r="117" ht="56.25" customHeight="1">
      <c r="A117" s="13" t="s">
        <v>3106</v>
      </c>
      <c r="B117" s="60" t="str">
        <f>image("https://i.imgur.com/xW7SlEQ.png",1)</f>
        <v/>
      </c>
      <c r="C117" s="17" t="str">
        <f>HYPERLINK("https://imgur.com/a/WUOVswq","Yes")</f>
        <v>Yes</v>
      </c>
      <c r="D117" s="25" t="s">
        <v>28</v>
      </c>
      <c r="E117" s="15" t="s">
        <v>50</v>
      </c>
      <c r="F117" s="15">
        <v>1000.0</v>
      </c>
      <c r="G117" s="13">
        <v>250.0</v>
      </c>
      <c r="H117" s="19">
        <v>4429.0</v>
      </c>
      <c r="I117" s="19" t="s">
        <v>38</v>
      </c>
      <c r="J117" s="19" t="s">
        <v>43</v>
      </c>
      <c r="K117" s="19" t="s">
        <v>2749</v>
      </c>
      <c r="L117" s="19" t="s">
        <v>2764</v>
      </c>
      <c r="M117" s="19" t="s">
        <v>384</v>
      </c>
    </row>
    <row r="118" ht="56.25" customHeight="1">
      <c r="A118" s="13" t="s">
        <v>3107</v>
      </c>
      <c r="B118" s="60" t="str">
        <f>image("https://i.imgur.com/oMDaoC1.png",1)</f>
        <v/>
      </c>
      <c r="C118" s="17" t="str">
        <f>HYPERLINK("https://imgur.com/a/QU8DCF0","Yes")</f>
        <v>Yes</v>
      </c>
      <c r="D118" s="25" t="s">
        <v>28</v>
      </c>
      <c r="E118" s="15" t="s">
        <v>50</v>
      </c>
      <c r="F118" s="15">
        <v>1000.0</v>
      </c>
      <c r="G118" s="13">
        <v>250.0</v>
      </c>
      <c r="H118" s="19">
        <v>8193.0</v>
      </c>
      <c r="I118" s="19" t="s">
        <v>38</v>
      </c>
      <c r="J118" s="19" t="s">
        <v>43</v>
      </c>
      <c r="K118" s="19" t="s">
        <v>2749</v>
      </c>
      <c r="L118" s="19" t="s">
        <v>2764</v>
      </c>
      <c r="M118" s="19" t="s">
        <v>384</v>
      </c>
    </row>
    <row r="119" ht="56.25" customHeight="1">
      <c r="A119" s="13" t="s">
        <v>3109</v>
      </c>
      <c r="B119" s="60" t="str">
        <f>image("https://i.imgur.com/6cCx8MC.png",1)</f>
        <v/>
      </c>
      <c r="C119" s="17" t="str">
        <f>HYPERLINK("https://imgur.com/a/rzj5UIj","Yes")</f>
        <v>Yes</v>
      </c>
      <c r="D119" s="25" t="s">
        <v>28</v>
      </c>
      <c r="E119" s="15" t="s">
        <v>50</v>
      </c>
      <c r="F119" s="15">
        <v>1000.0</v>
      </c>
      <c r="G119" s="13">
        <v>250.0</v>
      </c>
      <c r="H119" s="19">
        <v>3694.0</v>
      </c>
      <c r="I119" s="19" t="s">
        <v>38</v>
      </c>
      <c r="J119" s="19" t="s">
        <v>43</v>
      </c>
      <c r="K119" s="19" t="s">
        <v>2749</v>
      </c>
      <c r="L119" s="19" t="s">
        <v>2764</v>
      </c>
      <c r="M119" s="19" t="s">
        <v>2793</v>
      </c>
    </row>
    <row r="120" ht="56.25" customHeight="1">
      <c r="A120" s="13" t="s">
        <v>3111</v>
      </c>
      <c r="B120" s="60" t="str">
        <f>image("https://i.imgur.com/rEritJN.png",1)</f>
        <v/>
      </c>
      <c r="C120" s="15" t="s">
        <v>40</v>
      </c>
      <c r="D120" s="25" t="s">
        <v>28</v>
      </c>
      <c r="E120" s="15" t="s">
        <v>50</v>
      </c>
      <c r="F120" s="15">
        <v>640.0</v>
      </c>
      <c r="G120" s="13">
        <v>160.0</v>
      </c>
      <c r="H120" s="19">
        <v>12116.0</v>
      </c>
      <c r="I120" s="19" t="s">
        <v>38</v>
      </c>
      <c r="J120" s="19" t="s">
        <v>43</v>
      </c>
      <c r="K120" s="19" t="s">
        <v>2743</v>
      </c>
      <c r="L120" s="19"/>
      <c r="M120" s="19" t="s">
        <v>2744</v>
      </c>
    </row>
    <row r="121" ht="56.25" customHeight="1">
      <c r="A121" s="13" t="s">
        <v>3112</v>
      </c>
      <c r="B121" s="60" t="str">
        <f>image("https://i.imgur.com/dEc2HHB.png",1)</f>
        <v/>
      </c>
      <c r="C121" s="17" t="str">
        <f>HYPERLINK("https://imgur.com/a/u0qsb9F","Yes")</f>
        <v>Yes</v>
      </c>
      <c r="D121" s="25" t="s">
        <v>28</v>
      </c>
      <c r="E121" s="15" t="s">
        <v>50</v>
      </c>
      <c r="F121" s="15">
        <v>960.0</v>
      </c>
      <c r="G121" s="13">
        <v>240.0</v>
      </c>
      <c r="H121" s="19">
        <v>3674.0</v>
      </c>
      <c r="I121" s="19" t="s">
        <v>38</v>
      </c>
      <c r="J121" s="19" t="s">
        <v>43</v>
      </c>
      <c r="K121" s="19" t="s">
        <v>2749</v>
      </c>
      <c r="L121" s="19" t="s">
        <v>2764</v>
      </c>
      <c r="M121" s="19" t="s">
        <v>2744</v>
      </c>
    </row>
    <row r="122" ht="56.25" customHeight="1">
      <c r="A122" s="13" t="s">
        <v>3113</v>
      </c>
      <c r="B122" s="60" t="str">
        <f>image("https://i.imgur.com/SuqtYe9.png",1)</f>
        <v/>
      </c>
      <c r="C122" s="15" t="s">
        <v>40</v>
      </c>
      <c r="D122" s="25" t="s">
        <v>28</v>
      </c>
      <c r="E122" s="15" t="s">
        <v>50</v>
      </c>
      <c r="F122" s="15">
        <v>640.0</v>
      </c>
      <c r="G122" s="13">
        <v>160.0</v>
      </c>
      <c r="H122" s="19">
        <v>12123.0</v>
      </c>
      <c r="I122" s="19" t="s">
        <v>38</v>
      </c>
      <c r="J122" s="19" t="s">
        <v>43</v>
      </c>
      <c r="K122" s="19" t="s">
        <v>2743</v>
      </c>
      <c r="L122" s="19"/>
      <c r="M122" s="19" t="s">
        <v>2744</v>
      </c>
    </row>
    <row r="123" ht="56.25" customHeight="1">
      <c r="A123" s="13" t="s">
        <v>3114</v>
      </c>
      <c r="B123" s="60" t="str">
        <f>image("https://i.imgur.com/xRmHomb.png",1)</f>
        <v/>
      </c>
      <c r="C123" s="17" t="str">
        <f>HYPERLINK("https://imgur.com/a/AhTDuBM","Yes")</f>
        <v>Yes</v>
      </c>
      <c r="D123" s="25" t="s">
        <v>28</v>
      </c>
      <c r="E123" s="15" t="s">
        <v>50</v>
      </c>
      <c r="F123" s="15">
        <v>1200.0</v>
      </c>
      <c r="G123" s="13">
        <v>300.0</v>
      </c>
      <c r="H123" s="19">
        <v>4558.0</v>
      </c>
      <c r="I123" s="19" t="s">
        <v>38</v>
      </c>
      <c r="J123" s="19" t="s">
        <v>43</v>
      </c>
      <c r="K123" s="19" t="s">
        <v>2749</v>
      </c>
      <c r="L123" s="19" t="s">
        <v>2764</v>
      </c>
      <c r="M123" s="19" t="s">
        <v>2744</v>
      </c>
    </row>
    <row r="124" ht="56.25" customHeight="1">
      <c r="A124" s="13" t="s">
        <v>3116</v>
      </c>
      <c r="B124" s="60" t="str">
        <f>image("https://i.imgur.com/0BxRjRX.png",1)</f>
        <v/>
      </c>
      <c r="C124" s="15" t="s">
        <v>40</v>
      </c>
      <c r="D124" s="25" t="s">
        <v>28</v>
      </c>
      <c r="E124" s="15" t="s">
        <v>50</v>
      </c>
      <c r="F124" s="15">
        <v>640.0</v>
      </c>
      <c r="G124" s="13">
        <v>160.0</v>
      </c>
      <c r="H124" s="19">
        <v>12124.0</v>
      </c>
      <c r="I124" s="19" t="s">
        <v>38</v>
      </c>
      <c r="J124" s="19" t="s">
        <v>43</v>
      </c>
      <c r="K124" s="19" t="s">
        <v>2743</v>
      </c>
      <c r="L124" s="19"/>
      <c r="M124" s="19" t="s">
        <v>2744</v>
      </c>
    </row>
    <row r="125" ht="56.25" customHeight="1">
      <c r="A125" s="13" t="s">
        <v>3118</v>
      </c>
      <c r="B125" s="60" t="str">
        <f>image("https://i.imgur.com/B7BTfBb.png",1)</f>
        <v/>
      </c>
      <c r="C125" s="15" t="s">
        <v>40</v>
      </c>
      <c r="D125" s="25" t="s">
        <v>28</v>
      </c>
      <c r="E125" s="15" t="s">
        <v>50</v>
      </c>
      <c r="F125" s="15">
        <v>560.0</v>
      </c>
      <c r="G125" s="13">
        <v>140.0</v>
      </c>
      <c r="H125" s="19">
        <v>12121.0</v>
      </c>
      <c r="I125" s="19" t="s">
        <v>38</v>
      </c>
      <c r="J125" s="19" t="s">
        <v>43</v>
      </c>
      <c r="K125" s="19" t="s">
        <v>2743</v>
      </c>
      <c r="L125" s="19"/>
      <c r="M125" s="19" t="s">
        <v>2744</v>
      </c>
    </row>
    <row r="126" ht="56.25" customHeight="1">
      <c r="A126" s="13" t="s">
        <v>3119</v>
      </c>
      <c r="B126" s="60" t="str">
        <f>image("https://i.imgur.com/KId3q3N.png",1)</f>
        <v/>
      </c>
      <c r="C126" s="17" t="str">
        <f>HYPERLINK("https://imgur.com/a/V95BQQt","Yes")</f>
        <v>Yes</v>
      </c>
      <c r="D126" s="25" t="s">
        <v>28</v>
      </c>
      <c r="E126" s="15" t="s">
        <v>50</v>
      </c>
      <c r="F126" s="15">
        <v>1800.0</v>
      </c>
      <c r="G126" s="13">
        <v>450.0</v>
      </c>
      <c r="H126" s="19">
        <v>5382.0</v>
      </c>
      <c r="I126" s="19" t="s">
        <v>38</v>
      </c>
      <c r="J126" s="19" t="s">
        <v>43</v>
      </c>
      <c r="K126" s="19" t="s">
        <v>2749</v>
      </c>
      <c r="L126" s="19" t="s">
        <v>2764</v>
      </c>
      <c r="M126" s="19" t="s">
        <v>384</v>
      </c>
    </row>
    <row r="127" ht="56.25" customHeight="1">
      <c r="A127" s="13" t="s">
        <v>3121</v>
      </c>
      <c r="B127" s="60" t="str">
        <f>image("https://i.imgur.com/tUDNbTw.png",1)</f>
        <v/>
      </c>
      <c r="C127" s="17" t="str">
        <f>HYPERLINK("https://imgur.com/a/VPhJhRF","Yes")</f>
        <v>Yes</v>
      </c>
      <c r="D127" s="25" t="s">
        <v>28</v>
      </c>
      <c r="E127" s="15" t="s">
        <v>50</v>
      </c>
      <c r="F127" s="15">
        <v>1200.0</v>
      </c>
      <c r="G127" s="13">
        <v>300.0</v>
      </c>
      <c r="H127" s="19">
        <v>4486.0</v>
      </c>
      <c r="I127" s="19" t="s">
        <v>38</v>
      </c>
      <c r="J127" s="19" t="s">
        <v>43</v>
      </c>
      <c r="K127" s="19" t="s">
        <v>2749</v>
      </c>
      <c r="L127" s="19" t="s">
        <v>2751</v>
      </c>
      <c r="M127" s="19" t="s">
        <v>2793</v>
      </c>
    </row>
    <row r="128" ht="56.25" customHeight="1">
      <c r="A128" s="13" t="s">
        <v>3123</v>
      </c>
      <c r="B128" s="60" t="str">
        <f>image("https://i.imgur.com/2imnzXj.png",1)</f>
        <v/>
      </c>
      <c r="C128" s="17" t="str">
        <f>HYPERLINK("https://imgur.com/a/P3qu17Z","Yes")</f>
        <v>Yes</v>
      </c>
      <c r="D128" s="25" t="s">
        <v>28</v>
      </c>
      <c r="E128" s="15" t="s">
        <v>50</v>
      </c>
      <c r="F128" s="15">
        <v>1150.0</v>
      </c>
      <c r="G128" s="13">
        <v>287.0</v>
      </c>
      <c r="H128" s="19">
        <v>4792.0</v>
      </c>
      <c r="I128" s="19" t="s">
        <v>38</v>
      </c>
      <c r="J128" s="19" t="s">
        <v>43</v>
      </c>
      <c r="K128" s="19" t="s">
        <v>2749</v>
      </c>
      <c r="L128" s="19" t="s">
        <v>2764</v>
      </c>
      <c r="M128" s="19" t="s">
        <v>2744</v>
      </c>
    </row>
    <row r="129" ht="56.25" customHeight="1">
      <c r="A129" s="13" t="s">
        <v>3124</v>
      </c>
      <c r="B129" s="60" t="str">
        <f>image("https://i.imgur.com/3wYB81H.png",1)</f>
        <v/>
      </c>
      <c r="C129" s="17" t="str">
        <f>HYPERLINK("https://imgur.com/a/kaEvUtQ","Yes")</f>
        <v>Yes</v>
      </c>
      <c r="D129" s="25" t="s">
        <v>28</v>
      </c>
      <c r="E129" s="15" t="s">
        <v>50</v>
      </c>
      <c r="F129" s="15">
        <v>640.0</v>
      </c>
      <c r="G129" s="13">
        <v>160.0</v>
      </c>
      <c r="H129" s="19">
        <v>3575.0</v>
      </c>
      <c r="I129" s="19" t="s">
        <v>38</v>
      </c>
      <c r="J129" s="19" t="s">
        <v>43</v>
      </c>
      <c r="K129" s="19" t="s">
        <v>2749</v>
      </c>
      <c r="L129" s="19" t="s">
        <v>2764</v>
      </c>
      <c r="M129" s="19" t="s">
        <v>2793</v>
      </c>
    </row>
    <row r="130" ht="56.25" customHeight="1">
      <c r="A130" s="13" t="s">
        <v>3126</v>
      </c>
      <c r="B130" s="60" t="str">
        <f>image("https://i.imgur.com/4NuwM8U.png",1)</f>
        <v/>
      </c>
      <c r="C130" s="17" t="str">
        <f>HYPERLINK("https://imgur.com/a/us2jiNb","Yes")</f>
        <v>Yes</v>
      </c>
      <c r="D130" s="25" t="s">
        <v>28</v>
      </c>
      <c r="E130" s="15" t="s">
        <v>50</v>
      </c>
      <c r="F130" s="15">
        <v>1500.0</v>
      </c>
      <c r="G130" s="13">
        <v>375.0</v>
      </c>
      <c r="H130" s="19">
        <v>3057.0</v>
      </c>
      <c r="I130" s="19" t="s">
        <v>38</v>
      </c>
      <c r="J130" s="19" t="s">
        <v>43</v>
      </c>
      <c r="K130" s="19" t="s">
        <v>2749</v>
      </c>
      <c r="L130" s="19" t="s">
        <v>2751</v>
      </c>
      <c r="M130" s="19" t="s">
        <v>384</v>
      </c>
    </row>
    <row r="131" ht="56.25" customHeight="1">
      <c r="A131" s="13" t="s">
        <v>3128</v>
      </c>
      <c r="B131" s="60" t="str">
        <f>image("https://i.imgur.com/9psqeJY.png",1)</f>
        <v/>
      </c>
      <c r="C131" s="15" t="s">
        <v>40</v>
      </c>
      <c r="D131" s="25" t="s">
        <v>28</v>
      </c>
      <c r="E131" s="15" t="s">
        <v>50</v>
      </c>
      <c r="F131" s="15">
        <v>640.0</v>
      </c>
      <c r="G131" s="13">
        <v>160.0</v>
      </c>
      <c r="H131" s="19">
        <v>12114.0</v>
      </c>
      <c r="I131" s="19" t="s">
        <v>38</v>
      </c>
      <c r="J131" s="19" t="s">
        <v>43</v>
      </c>
      <c r="K131" s="19" t="s">
        <v>2743</v>
      </c>
      <c r="L131" s="19"/>
      <c r="M131" s="19" t="s">
        <v>2744</v>
      </c>
    </row>
    <row r="132" ht="56.25" customHeight="1">
      <c r="A132" s="13" t="s">
        <v>3129</v>
      </c>
      <c r="B132" s="60" t="str">
        <f>image("https://i.imgur.com/TytEKR8.png",1)</f>
        <v/>
      </c>
      <c r="C132" s="17" t="str">
        <f>HYPERLINK("https://imgur.com/a/moyDRQZ","Yes")</f>
        <v>Yes</v>
      </c>
      <c r="D132" s="25" t="s">
        <v>28</v>
      </c>
      <c r="E132" s="15" t="s">
        <v>50</v>
      </c>
      <c r="F132" s="15">
        <v>1800.0</v>
      </c>
      <c r="G132" s="13">
        <v>450.0</v>
      </c>
      <c r="H132" s="19">
        <v>2781.0</v>
      </c>
      <c r="I132" s="19" t="s">
        <v>38</v>
      </c>
      <c r="J132" s="19" t="s">
        <v>43</v>
      </c>
      <c r="K132" s="19" t="s">
        <v>2749</v>
      </c>
      <c r="L132" s="19" t="s">
        <v>2751</v>
      </c>
      <c r="M132" s="19" t="s">
        <v>2793</v>
      </c>
    </row>
    <row r="133" ht="56.25" customHeight="1">
      <c r="A133" s="13" t="s">
        <v>3130</v>
      </c>
      <c r="B133" s="60" t="str">
        <f>image("https://i.imgur.com/rh3Cwcs.png",1)</f>
        <v/>
      </c>
      <c r="C133" s="17" t="str">
        <f>HYPERLINK("https://imgur.com/a/coO23VD","Yes")</f>
        <v>Yes</v>
      </c>
      <c r="D133" s="25" t="s">
        <v>28</v>
      </c>
      <c r="E133" s="15" t="s">
        <v>50</v>
      </c>
      <c r="F133" s="15">
        <v>1200.0</v>
      </c>
      <c r="G133" s="13">
        <v>300.0</v>
      </c>
      <c r="H133" s="19">
        <v>4519.0</v>
      </c>
      <c r="I133" s="19" t="s">
        <v>38</v>
      </c>
      <c r="J133" s="19" t="s">
        <v>43</v>
      </c>
      <c r="K133" s="19" t="s">
        <v>2749</v>
      </c>
      <c r="L133" s="19" t="s">
        <v>2751</v>
      </c>
      <c r="M133" s="19" t="s">
        <v>2744</v>
      </c>
    </row>
    <row r="134" ht="56.25" customHeight="1">
      <c r="A134" s="13" t="s">
        <v>3132</v>
      </c>
      <c r="B134" s="60" t="str">
        <f>image("https://i.imgur.com/bNTdB22.png",1)</f>
        <v/>
      </c>
      <c r="C134" s="17" t="str">
        <f>HYPERLINK("https://imgur.com/a/lpm8KAA","Yes")</f>
        <v>Yes</v>
      </c>
      <c r="D134" s="25" t="s">
        <v>28</v>
      </c>
      <c r="E134" s="15" t="s">
        <v>50</v>
      </c>
      <c r="F134" s="15">
        <v>3900.0</v>
      </c>
      <c r="G134" s="13">
        <v>975.0</v>
      </c>
      <c r="H134" s="19">
        <v>9876.0</v>
      </c>
      <c r="I134" s="19" t="s">
        <v>38</v>
      </c>
      <c r="J134" s="19" t="s">
        <v>43</v>
      </c>
      <c r="K134" s="19" t="s">
        <v>3134</v>
      </c>
      <c r="L134" s="19"/>
      <c r="M134" s="19" t="s">
        <v>852</v>
      </c>
    </row>
    <row r="135" ht="56.25" customHeight="1">
      <c r="A135" s="13" t="s">
        <v>3135</v>
      </c>
      <c r="B135" s="60" t="str">
        <f>image("https://i.imgur.com/0AJxOAm.png",1)</f>
        <v/>
      </c>
      <c r="C135" s="17" t="str">
        <f>HYPERLINK("https://imgur.com/a/nNuRYCH","Yes")</f>
        <v>Yes</v>
      </c>
      <c r="D135" s="25" t="s">
        <v>28</v>
      </c>
      <c r="E135" s="15" t="s">
        <v>50</v>
      </c>
      <c r="F135" s="15">
        <v>2270.0</v>
      </c>
      <c r="G135" s="13">
        <v>567.0</v>
      </c>
      <c r="H135" s="19">
        <v>9875.0</v>
      </c>
      <c r="I135" s="19" t="s">
        <v>38</v>
      </c>
      <c r="J135" s="19" t="s">
        <v>43</v>
      </c>
      <c r="K135" s="19" t="s">
        <v>3134</v>
      </c>
      <c r="L135" s="19"/>
      <c r="M135" s="19" t="s">
        <v>2756</v>
      </c>
    </row>
    <row r="136" ht="56.25" customHeight="1">
      <c r="A136" s="13" t="s">
        <v>3136</v>
      </c>
      <c r="B136" s="60" t="str">
        <f>image("https://i.imgur.com/CtixRNc.png",1)</f>
        <v/>
      </c>
      <c r="C136" s="17" t="str">
        <f>HYPERLINK("https://imgur.com/a/9e2Gktb","Yes")</f>
        <v>Yes</v>
      </c>
      <c r="D136" s="25" t="s">
        <v>28</v>
      </c>
      <c r="E136" s="15" t="s">
        <v>50</v>
      </c>
      <c r="F136" s="15">
        <v>850.0</v>
      </c>
      <c r="G136" s="13">
        <v>212.0</v>
      </c>
      <c r="H136" s="19">
        <v>3811.0</v>
      </c>
      <c r="I136" s="19" t="s">
        <v>38</v>
      </c>
      <c r="J136" s="19" t="s">
        <v>43</v>
      </c>
      <c r="K136" s="19" t="s">
        <v>2749</v>
      </c>
      <c r="L136" s="19" t="s">
        <v>2764</v>
      </c>
      <c r="M136" s="19" t="s">
        <v>2863</v>
      </c>
    </row>
    <row r="137" ht="56.25" customHeight="1">
      <c r="A137" s="13" t="s">
        <v>3137</v>
      </c>
      <c r="B137" s="60" t="str">
        <f>image("https://i.imgur.com/gxJUS7M.png",1)</f>
        <v/>
      </c>
      <c r="C137" s="17" t="str">
        <f>HYPERLINK("https://imgur.com/a/VweTSGI","Yes")</f>
        <v>Yes</v>
      </c>
      <c r="D137" s="25" t="s">
        <v>28</v>
      </c>
      <c r="E137" s="15" t="s">
        <v>50</v>
      </c>
      <c r="F137" s="15">
        <v>850.0</v>
      </c>
      <c r="G137" s="13">
        <v>212.0</v>
      </c>
      <c r="H137" s="19">
        <v>3239.0</v>
      </c>
      <c r="I137" s="19" t="s">
        <v>38</v>
      </c>
      <c r="J137" s="19" t="s">
        <v>43</v>
      </c>
      <c r="K137" s="19" t="s">
        <v>2749</v>
      </c>
      <c r="L137" s="19" t="s">
        <v>2764</v>
      </c>
      <c r="M137" s="19" t="s">
        <v>384</v>
      </c>
    </row>
    <row r="138" ht="56.25" customHeight="1">
      <c r="A138" s="13" t="s">
        <v>3139</v>
      </c>
      <c r="B138" s="60" t="str">
        <f>image("https://i.imgur.com/M27HXw7.png",1)</f>
        <v/>
      </c>
      <c r="C138" s="17" t="str">
        <f>HYPERLINK("https://imgur.com/a/DWVHxlR","Yes")</f>
        <v>Yes</v>
      </c>
      <c r="D138" s="25" t="s">
        <v>28</v>
      </c>
      <c r="E138" s="15" t="s">
        <v>50</v>
      </c>
      <c r="F138" s="15">
        <v>800.0</v>
      </c>
      <c r="G138" s="13">
        <v>200.0</v>
      </c>
      <c r="H138" s="19">
        <v>3804.0</v>
      </c>
      <c r="I138" s="19" t="s">
        <v>38</v>
      </c>
      <c r="J138" s="19" t="s">
        <v>43</v>
      </c>
      <c r="K138" s="19" t="s">
        <v>2749</v>
      </c>
      <c r="L138" s="19" t="s">
        <v>2764</v>
      </c>
      <c r="M138" s="19" t="s">
        <v>2744</v>
      </c>
    </row>
    <row r="139" ht="56.25" customHeight="1">
      <c r="A139" s="13" t="s">
        <v>3141</v>
      </c>
      <c r="B139" s="60" t="str">
        <f>image("https://i.imgur.com/LfcYWkS.png",1)</f>
        <v/>
      </c>
      <c r="C139" s="17" t="str">
        <f>HYPERLINK("https://imgur.com/a/zlPms1Q","Yes")</f>
        <v>Yes</v>
      </c>
      <c r="D139" s="25" t="s">
        <v>28</v>
      </c>
      <c r="E139" s="15" t="s">
        <v>50</v>
      </c>
      <c r="F139" s="15">
        <v>800.0</v>
      </c>
      <c r="G139" s="13">
        <v>200.0</v>
      </c>
      <c r="H139" s="19">
        <v>2670.0</v>
      </c>
      <c r="I139" s="19" t="s">
        <v>38</v>
      </c>
      <c r="J139" s="19" t="s">
        <v>43</v>
      </c>
      <c r="K139" s="19" t="s">
        <v>2749</v>
      </c>
      <c r="L139" s="19" t="s">
        <v>2764</v>
      </c>
      <c r="M139" s="19" t="s">
        <v>384</v>
      </c>
    </row>
    <row r="140" ht="56.25" customHeight="1">
      <c r="A140" s="13" t="s">
        <v>3142</v>
      </c>
      <c r="B140" s="60" t="str">
        <f>image("https://i.imgur.com/xpWaefP.png",1)</f>
        <v/>
      </c>
      <c r="C140" s="17" t="str">
        <f>HYPERLINK("https://imgur.com/a/PfaxE8K","Yes")</f>
        <v>Yes</v>
      </c>
      <c r="D140" s="25" t="s">
        <v>28</v>
      </c>
      <c r="E140" s="15" t="s">
        <v>50</v>
      </c>
      <c r="F140" s="15">
        <v>800.0</v>
      </c>
      <c r="G140" s="13">
        <v>200.0</v>
      </c>
      <c r="H140" s="19">
        <v>8199.0</v>
      </c>
      <c r="I140" s="19" t="s">
        <v>38</v>
      </c>
      <c r="J140" s="19" t="s">
        <v>43</v>
      </c>
      <c r="K140" s="19" t="s">
        <v>2749</v>
      </c>
      <c r="L140" s="19" t="s">
        <v>2764</v>
      </c>
      <c r="M140" s="19" t="s">
        <v>2756</v>
      </c>
    </row>
    <row r="141" ht="56.25" customHeight="1">
      <c r="A141" s="13" t="s">
        <v>3143</v>
      </c>
      <c r="B141" s="60" t="str">
        <f>image("https://i.imgur.com/kyy3vSV.png",1)</f>
        <v/>
      </c>
      <c r="C141" s="17" t="str">
        <f>HYPERLINK("https://imgur.com/a/E17Asxg","Yes")</f>
        <v>Yes</v>
      </c>
      <c r="D141" s="25" t="s">
        <v>28</v>
      </c>
      <c r="E141" s="15" t="s">
        <v>50</v>
      </c>
      <c r="F141" s="15">
        <v>1080.0</v>
      </c>
      <c r="G141" s="13">
        <v>270.0</v>
      </c>
      <c r="H141" s="19">
        <v>2401.0</v>
      </c>
      <c r="I141" s="19" t="s">
        <v>38</v>
      </c>
      <c r="J141" s="19" t="s">
        <v>43</v>
      </c>
      <c r="K141" s="19" t="s">
        <v>2749</v>
      </c>
      <c r="L141" s="19" t="s">
        <v>2764</v>
      </c>
      <c r="M141" s="19" t="s">
        <v>2793</v>
      </c>
    </row>
    <row r="142" ht="56.25" customHeight="1">
      <c r="A142" s="13" t="s">
        <v>3145</v>
      </c>
      <c r="B142" s="60" t="str">
        <f>image("https://i.imgur.com/FNw4deM.png",1)</f>
        <v/>
      </c>
      <c r="C142" s="17" t="str">
        <f>HYPERLINK("https://imgur.com/a/RrVVyfP","Yes")</f>
        <v>Yes</v>
      </c>
      <c r="D142" s="25" t="s">
        <v>28</v>
      </c>
      <c r="E142" s="15" t="s">
        <v>50</v>
      </c>
      <c r="F142" s="15">
        <v>1120.0</v>
      </c>
      <c r="G142" s="13">
        <v>280.0</v>
      </c>
      <c r="H142" s="19">
        <v>4615.0</v>
      </c>
      <c r="I142" s="19" t="s">
        <v>38</v>
      </c>
      <c r="J142" s="19" t="s">
        <v>43</v>
      </c>
      <c r="K142" s="19" t="s">
        <v>2749</v>
      </c>
      <c r="L142" s="19" t="s">
        <v>2764</v>
      </c>
      <c r="M142" s="19" t="s">
        <v>2793</v>
      </c>
    </row>
    <row r="143" ht="56.25" customHeight="1">
      <c r="A143" s="13" t="s">
        <v>3146</v>
      </c>
      <c r="B143" s="60" t="str">
        <f>image("https://i.imgur.com/BneUYIi.png",1)</f>
        <v/>
      </c>
      <c r="C143" s="17" t="str">
        <f>HYPERLINK("https://imgur.com/a/4pvPEIY","Yes")</f>
        <v>Yes</v>
      </c>
      <c r="D143" s="25" t="s">
        <v>28</v>
      </c>
      <c r="E143" s="15" t="s">
        <v>50</v>
      </c>
      <c r="F143" s="15">
        <v>640.0</v>
      </c>
      <c r="G143" s="13">
        <v>160.0</v>
      </c>
      <c r="H143" s="19">
        <v>8202.0</v>
      </c>
      <c r="I143" s="19" t="s">
        <v>38</v>
      </c>
      <c r="J143" s="19" t="s">
        <v>43</v>
      </c>
      <c r="K143" s="19" t="s">
        <v>2749</v>
      </c>
      <c r="L143" s="19" t="s">
        <v>2764</v>
      </c>
      <c r="M143" s="19" t="s">
        <v>2793</v>
      </c>
    </row>
    <row r="144" ht="56.25" customHeight="1">
      <c r="A144" s="13" t="s">
        <v>3148</v>
      </c>
      <c r="B144" s="60" t="str">
        <f>image("https://i.imgur.com/QkCCZhk.png",1)</f>
        <v/>
      </c>
      <c r="C144" s="17" t="str">
        <f>HYPERLINK("https://imgur.com/a/19Vlbxw","Yes")</f>
        <v>Yes</v>
      </c>
      <c r="D144" s="25" t="s">
        <v>28</v>
      </c>
      <c r="E144" s="15" t="s">
        <v>50</v>
      </c>
      <c r="F144" s="15">
        <v>960.0</v>
      </c>
      <c r="G144" s="13">
        <v>240.0</v>
      </c>
      <c r="H144" s="19">
        <v>4717.0</v>
      </c>
      <c r="I144" s="19" t="s">
        <v>38</v>
      </c>
      <c r="J144" s="19" t="s">
        <v>43</v>
      </c>
      <c r="K144" s="19" t="s">
        <v>2749</v>
      </c>
      <c r="L144" s="19" t="s">
        <v>2751</v>
      </c>
      <c r="M144" s="19" t="s">
        <v>2756</v>
      </c>
    </row>
    <row r="145" ht="56.25" customHeight="1">
      <c r="A145" s="13" t="s">
        <v>3149</v>
      </c>
      <c r="B145" s="60" t="str">
        <f>image("https://i.imgur.com/ORjqHGv.png",1)</f>
        <v/>
      </c>
      <c r="C145" s="17" t="str">
        <f>HYPERLINK("https://imgur.com/a/S94rjLh","Yes")</f>
        <v>Yes</v>
      </c>
      <c r="D145" s="25" t="s">
        <v>28</v>
      </c>
      <c r="E145" s="15" t="s">
        <v>50</v>
      </c>
      <c r="F145" s="15">
        <v>3360.0</v>
      </c>
      <c r="G145" s="13">
        <v>840.0</v>
      </c>
      <c r="H145" s="19">
        <v>3231.0</v>
      </c>
      <c r="I145" s="19" t="s">
        <v>38</v>
      </c>
      <c r="J145" s="19" t="s">
        <v>43</v>
      </c>
      <c r="K145" s="19" t="s">
        <v>2749</v>
      </c>
      <c r="L145" s="19" t="s">
        <v>2751</v>
      </c>
      <c r="M145" s="19" t="s">
        <v>2863</v>
      </c>
    </row>
    <row r="146" ht="56.25" customHeight="1">
      <c r="A146" s="13" t="s">
        <v>3150</v>
      </c>
      <c r="B146" s="60" t="str">
        <f>image("https://i.imgur.com/5uhFh6x.png",1)</f>
        <v/>
      </c>
      <c r="C146" s="15" t="s">
        <v>40</v>
      </c>
      <c r="D146" s="25" t="s">
        <v>28</v>
      </c>
      <c r="E146" s="15" t="s">
        <v>50</v>
      </c>
      <c r="F146" s="15">
        <v>640.0</v>
      </c>
      <c r="G146" s="13">
        <v>160.0</v>
      </c>
      <c r="H146" s="19">
        <v>8201.0</v>
      </c>
      <c r="I146" s="19" t="s">
        <v>38</v>
      </c>
      <c r="J146" s="19" t="s">
        <v>43</v>
      </c>
      <c r="K146" s="19" t="s">
        <v>2743</v>
      </c>
      <c r="L146" s="19"/>
      <c r="M146" s="19" t="s">
        <v>2863</v>
      </c>
    </row>
    <row r="147" ht="56.25" customHeight="1">
      <c r="A147" s="13" t="s">
        <v>3152</v>
      </c>
      <c r="B147" s="60" t="str">
        <f>image("https://i.imgur.com/sqfU8In.png",1)</f>
        <v/>
      </c>
      <c r="C147" s="17" t="str">
        <f>HYPERLINK("https://imgur.com/a/xROYa5Q","Yes")</f>
        <v>Yes</v>
      </c>
      <c r="D147" s="25" t="s">
        <v>28</v>
      </c>
      <c r="E147" s="15" t="s">
        <v>50</v>
      </c>
      <c r="F147" s="15">
        <v>1680.0</v>
      </c>
      <c r="G147" s="13">
        <v>420.0</v>
      </c>
      <c r="H147" s="19">
        <v>4422.0</v>
      </c>
      <c r="I147" s="19" t="s">
        <v>38</v>
      </c>
      <c r="J147" s="19" t="s">
        <v>43</v>
      </c>
      <c r="K147" s="19" t="s">
        <v>2749</v>
      </c>
      <c r="L147" s="19" t="s">
        <v>2764</v>
      </c>
      <c r="M147" s="19" t="s">
        <v>2744</v>
      </c>
    </row>
    <row r="148" ht="56.25" customHeight="1">
      <c r="A148" s="13" t="s">
        <v>3154</v>
      </c>
      <c r="B148" s="60" t="str">
        <f>image("https://i.imgur.com/ei8GzLE.png",1)</f>
        <v/>
      </c>
      <c r="C148" s="17" t="str">
        <f>HYPERLINK("https://imgur.com/a/GgjJwlM","Yes")</f>
        <v>Yes</v>
      </c>
      <c r="D148" s="15"/>
      <c r="E148" s="25" t="s">
        <v>28</v>
      </c>
      <c r="F148" s="25" t="s">
        <v>51</v>
      </c>
      <c r="G148" s="13">
        <v>88.0</v>
      </c>
      <c r="H148" s="19">
        <v>8762.0</v>
      </c>
      <c r="I148" s="19" t="s">
        <v>38</v>
      </c>
      <c r="J148" s="19" t="s">
        <v>54</v>
      </c>
      <c r="K148" s="19" t="s">
        <v>859</v>
      </c>
      <c r="L148" s="19"/>
      <c r="M148" s="19" t="s">
        <v>384</v>
      </c>
    </row>
    <row r="149" ht="56.25" customHeight="1">
      <c r="A149" s="13" t="s">
        <v>3155</v>
      </c>
      <c r="B149" s="60" t="str">
        <f>image("https://i.imgur.com/kHDwuCe.png",1)</f>
        <v/>
      </c>
      <c r="C149" s="17" t="str">
        <f>HYPERLINK("https://imgur.com/a/UnqbK4Z","Yes")</f>
        <v>Yes</v>
      </c>
      <c r="D149" s="15"/>
      <c r="E149" s="25" t="s">
        <v>28</v>
      </c>
      <c r="F149" s="25" t="s">
        <v>51</v>
      </c>
      <c r="G149" s="13">
        <v>88.0</v>
      </c>
      <c r="H149" s="19">
        <v>8763.0</v>
      </c>
      <c r="I149" s="19" t="s">
        <v>38</v>
      </c>
      <c r="J149" s="19" t="s">
        <v>54</v>
      </c>
      <c r="K149" s="19" t="s">
        <v>859</v>
      </c>
      <c r="L149" s="19"/>
      <c r="M149" s="19" t="s">
        <v>384</v>
      </c>
    </row>
    <row r="150" ht="56.25" customHeight="1">
      <c r="A150" s="13" t="s">
        <v>3156</v>
      </c>
      <c r="B150" s="60" t="str">
        <f>image("https://i.imgur.com/os4d1GL.png",1)</f>
        <v/>
      </c>
      <c r="C150" s="15" t="s">
        <v>40</v>
      </c>
      <c r="D150" s="25" t="s">
        <v>28</v>
      </c>
      <c r="E150" s="15" t="s">
        <v>50</v>
      </c>
      <c r="F150" s="15">
        <v>2500.0</v>
      </c>
      <c r="G150" s="13">
        <v>625.0</v>
      </c>
      <c r="H150" s="19">
        <v>3401.0</v>
      </c>
      <c r="I150" s="19" t="s">
        <v>38</v>
      </c>
      <c r="J150" s="19" t="s">
        <v>43</v>
      </c>
      <c r="K150" s="19" t="s">
        <v>2749</v>
      </c>
      <c r="L150" s="19" t="s">
        <v>2751</v>
      </c>
      <c r="M150" s="19" t="s">
        <v>2863</v>
      </c>
    </row>
    <row r="151" ht="56.25" customHeight="1">
      <c r="A151" s="13" t="s">
        <v>3157</v>
      </c>
      <c r="B151" s="60" t="str">
        <f>image("https://i.imgur.com/d58H59H.png",1)</f>
        <v/>
      </c>
      <c r="C151" s="17" t="str">
        <f>HYPERLINK("https://imgur.com/a/lmYZDcd","Yes")</f>
        <v>Yes</v>
      </c>
      <c r="D151" s="25" t="s">
        <v>28</v>
      </c>
      <c r="E151" s="15" t="s">
        <v>50</v>
      </c>
      <c r="F151" s="15">
        <v>1400.0</v>
      </c>
      <c r="G151" s="13">
        <v>350.0</v>
      </c>
      <c r="H151" s="19">
        <v>3255.0</v>
      </c>
      <c r="I151" s="19" t="s">
        <v>38</v>
      </c>
      <c r="J151" s="19" t="s">
        <v>43</v>
      </c>
      <c r="K151" s="19" t="s">
        <v>2749</v>
      </c>
      <c r="L151" s="19" t="s">
        <v>2764</v>
      </c>
      <c r="M151" s="19" t="s">
        <v>2793</v>
      </c>
    </row>
    <row r="152" ht="56.25" customHeight="1">
      <c r="A152" s="13" t="s">
        <v>3160</v>
      </c>
      <c r="B152" s="60" t="str">
        <f>image("https://i.imgur.com/JHlpmPj.png",1)</f>
        <v/>
      </c>
      <c r="C152" s="17" t="str">
        <f>HYPERLINK("https://imgur.com/a/epW96Eg","Yes")</f>
        <v>Yes</v>
      </c>
      <c r="D152" s="25" t="s">
        <v>28</v>
      </c>
      <c r="E152" s="15" t="s">
        <v>50</v>
      </c>
      <c r="F152" s="15">
        <v>1680.0</v>
      </c>
      <c r="G152" s="13">
        <v>420.0</v>
      </c>
      <c r="H152" s="19">
        <v>4798.0</v>
      </c>
      <c r="I152" s="19" t="s">
        <v>38</v>
      </c>
      <c r="J152" s="19" t="s">
        <v>43</v>
      </c>
      <c r="K152" s="19" t="s">
        <v>2749</v>
      </c>
      <c r="L152" s="19" t="s">
        <v>2751</v>
      </c>
      <c r="M152" s="19" t="s">
        <v>2744</v>
      </c>
    </row>
    <row r="153" ht="56.25" customHeight="1">
      <c r="A153" s="13" t="s">
        <v>3161</v>
      </c>
      <c r="B153" s="60" t="str">
        <f>image("https://i.imgur.com/yP9O4ER.png",1)</f>
        <v/>
      </c>
      <c r="C153" s="17" t="str">
        <f>HYPERLINK("https://imgur.com/a/akBm0DT","Yes")</f>
        <v>Yes</v>
      </c>
      <c r="D153" s="25" t="s">
        <v>28</v>
      </c>
      <c r="E153" s="15" t="s">
        <v>50</v>
      </c>
      <c r="F153" s="15">
        <v>640.0</v>
      </c>
      <c r="G153" s="13">
        <v>160.0</v>
      </c>
      <c r="H153" s="19">
        <v>4267.0</v>
      </c>
      <c r="I153" s="19" t="s">
        <v>38</v>
      </c>
      <c r="J153" s="19" t="s">
        <v>43</v>
      </c>
      <c r="K153" s="19" t="s">
        <v>2749</v>
      </c>
      <c r="L153" s="19" t="s">
        <v>2764</v>
      </c>
      <c r="M153" s="19" t="s">
        <v>2793</v>
      </c>
    </row>
    <row r="154" ht="56.25" customHeight="1">
      <c r="A154" s="13" t="s">
        <v>3163</v>
      </c>
      <c r="B154" s="60" t="str">
        <f>image("https://i.imgur.com/Db9BpFU.png",1)</f>
        <v/>
      </c>
      <c r="C154" s="17" t="str">
        <f>HYPERLINK("https://imgur.com/a/m88OZXL","Yes")</f>
        <v>Yes</v>
      </c>
      <c r="D154" s="25" t="s">
        <v>28</v>
      </c>
      <c r="E154" s="15" t="s">
        <v>50</v>
      </c>
      <c r="F154" s="15">
        <v>1200.0</v>
      </c>
      <c r="G154" s="13">
        <v>300.0</v>
      </c>
      <c r="H154" s="19">
        <v>5290.0</v>
      </c>
      <c r="I154" s="19" t="s">
        <v>38</v>
      </c>
      <c r="J154" s="19" t="s">
        <v>43</v>
      </c>
      <c r="K154" s="19" t="s">
        <v>2749</v>
      </c>
      <c r="L154" s="19" t="s">
        <v>2751</v>
      </c>
      <c r="M154" s="19" t="s">
        <v>2793</v>
      </c>
    </row>
    <row r="155" ht="56.25" customHeight="1">
      <c r="A155" s="13" t="s">
        <v>3164</v>
      </c>
      <c r="B155" s="60" t="str">
        <f>image("https://i.imgur.com/44n1xoe.png",1)</f>
        <v/>
      </c>
      <c r="C155" s="15" t="s">
        <v>40</v>
      </c>
      <c r="D155" s="25" t="s">
        <v>28</v>
      </c>
      <c r="E155" s="15" t="s">
        <v>50</v>
      </c>
      <c r="F155" s="15">
        <v>640.0</v>
      </c>
      <c r="G155" s="13">
        <v>160.0</v>
      </c>
      <c r="H155" s="19">
        <v>6835.0</v>
      </c>
      <c r="I155" s="19" t="s">
        <v>38</v>
      </c>
      <c r="J155" s="19" t="s">
        <v>43</v>
      </c>
      <c r="K155" s="19" t="s">
        <v>2743</v>
      </c>
      <c r="L155" s="19"/>
      <c r="M155" s="19" t="s">
        <v>2744</v>
      </c>
    </row>
    <row r="156" ht="56.25" customHeight="1">
      <c r="A156" s="13" t="s">
        <v>3165</v>
      </c>
      <c r="B156" s="60" t="str">
        <f>image("https://i.imgur.com/3d02gjz.png",1)</f>
        <v/>
      </c>
      <c r="C156" s="15" t="s">
        <v>40</v>
      </c>
      <c r="D156" s="25" t="s">
        <v>28</v>
      </c>
      <c r="E156" s="15" t="s">
        <v>50</v>
      </c>
      <c r="F156" s="15">
        <v>640.0</v>
      </c>
      <c r="G156" s="13">
        <v>160.0</v>
      </c>
      <c r="H156" s="19">
        <v>12118.0</v>
      </c>
      <c r="I156" s="19" t="s">
        <v>38</v>
      </c>
      <c r="J156" s="19" t="s">
        <v>43</v>
      </c>
      <c r="K156" s="19" t="s">
        <v>2743</v>
      </c>
      <c r="L156" s="19"/>
      <c r="M156" s="19" t="s">
        <v>2744</v>
      </c>
    </row>
    <row r="157" ht="56.25" customHeight="1">
      <c r="A157" s="13" t="s">
        <v>3168</v>
      </c>
      <c r="B157" s="60" t="str">
        <f>image("https://i.imgur.com/SqYHmq8.png",1)</f>
        <v/>
      </c>
      <c r="C157" s="15" t="s">
        <v>40</v>
      </c>
      <c r="D157" s="25" t="s">
        <v>28</v>
      </c>
      <c r="E157" s="15" t="s">
        <v>50</v>
      </c>
      <c r="F157" s="15">
        <v>560.0</v>
      </c>
      <c r="G157" s="13">
        <v>140.0</v>
      </c>
      <c r="H157" s="19">
        <v>3326.0</v>
      </c>
      <c r="I157" s="19" t="s">
        <v>38</v>
      </c>
      <c r="J157" s="19" t="s">
        <v>43</v>
      </c>
      <c r="K157" s="19" t="s">
        <v>2743</v>
      </c>
      <c r="L157" s="19"/>
      <c r="M157" s="19" t="s">
        <v>2793</v>
      </c>
    </row>
    <row r="158" ht="56.25" customHeight="1">
      <c r="A158" s="13" t="s">
        <v>3169</v>
      </c>
      <c r="B158" s="60" t="str">
        <f>image("https://i.imgur.com/69BeWtm.png",1)</f>
        <v/>
      </c>
      <c r="C158" s="15" t="s">
        <v>40</v>
      </c>
      <c r="D158" s="25" t="s">
        <v>28</v>
      </c>
      <c r="E158" s="15" t="s">
        <v>50</v>
      </c>
      <c r="F158" s="15">
        <v>560.0</v>
      </c>
      <c r="G158" s="13">
        <v>140.0</v>
      </c>
      <c r="H158" s="19">
        <v>6888.0</v>
      </c>
      <c r="I158" s="19" t="s">
        <v>38</v>
      </c>
      <c r="J158" s="19" t="s">
        <v>43</v>
      </c>
      <c r="K158" s="19" t="s">
        <v>2743</v>
      </c>
      <c r="L158" s="19"/>
      <c r="M158" s="19" t="s">
        <v>2744</v>
      </c>
    </row>
    <row r="159" ht="56.25" customHeight="1">
      <c r="A159" s="13" t="s">
        <v>3170</v>
      </c>
      <c r="B159" s="60" t="str">
        <f>image("https://i.imgur.com/aXGn01y.png",1)</f>
        <v/>
      </c>
      <c r="C159" s="15" t="s">
        <v>40</v>
      </c>
      <c r="D159" s="25" t="s">
        <v>28</v>
      </c>
      <c r="E159" s="15" t="s">
        <v>50</v>
      </c>
      <c r="F159" s="15">
        <v>560.0</v>
      </c>
      <c r="G159" s="13">
        <v>140.0</v>
      </c>
      <c r="H159" s="19">
        <v>12036.0</v>
      </c>
      <c r="I159" s="19" t="s">
        <v>38</v>
      </c>
      <c r="J159" s="19" t="s">
        <v>43</v>
      </c>
      <c r="K159" s="19" t="s">
        <v>2743</v>
      </c>
      <c r="L159" s="19"/>
      <c r="M159" s="19" t="s">
        <v>2744</v>
      </c>
    </row>
    <row r="160" ht="56.25" customHeight="1">
      <c r="A160" s="13" t="s">
        <v>3172</v>
      </c>
      <c r="B160" s="60" t="str">
        <f>image("https://i.imgur.com/WsofnaG.png",1)</f>
        <v/>
      </c>
      <c r="C160" s="15" t="s">
        <v>40</v>
      </c>
      <c r="D160" s="25" t="s">
        <v>28</v>
      </c>
      <c r="E160" s="15" t="s">
        <v>50</v>
      </c>
      <c r="F160" s="15">
        <v>560.0</v>
      </c>
      <c r="G160" s="13">
        <v>140.0</v>
      </c>
      <c r="H160" s="19">
        <v>12037.0</v>
      </c>
      <c r="I160" s="19" t="s">
        <v>38</v>
      </c>
      <c r="J160" s="19" t="s">
        <v>43</v>
      </c>
      <c r="K160" s="19" t="s">
        <v>2743</v>
      </c>
      <c r="L160" s="19"/>
      <c r="M160" s="19" t="s">
        <v>2744</v>
      </c>
    </row>
    <row r="161" ht="56.25" customHeight="1">
      <c r="A161" s="13" t="s">
        <v>3173</v>
      </c>
      <c r="B161" s="60" t="str">
        <f>image("https://i.imgur.com/oz1nEjz.png",1)</f>
        <v/>
      </c>
      <c r="C161" s="15" t="s">
        <v>40</v>
      </c>
      <c r="D161" s="25" t="s">
        <v>28</v>
      </c>
      <c r="E161" s="15" t="s">
        <v>50</v>
      </c>
      <c r="F161" s="15">
        <v>560.0</v>
      </c>
      <c r="G161" s="13">
        <v>140.0</v>
      </c>
      <c r="H161" s="19">
        <v>12038.0</v>
      </c>
      <c r="I161" s="19" t="s">
        <v>38</v>
      </c>
      <c r="J161" s="19" t="s">
        <v>43</v>
      </c>
      <c r="K161" s="19" t="s">
        <v>2743</v>
      </c>
      <c r="L161" s="19"/>
      <c r="M161" s="19" t="s">
        <v>2744</v>
      </c>
    </row>
    <row r="162" ht="56.25" customHeight="1">
      <c r="A162" s="13" t="s">
        <v>3174</v>
      </c>
      <c r="B162" s="60" t="str">
        <f>image("https://i.imgur.com/wKrVdjP.png",1)</f>
        <v/>
      </c>
      <c r="C162" s="17" t="str">
        <f>HYPERLINK("https://imgur.com/a/sBXLJWv","Yes")</f>
        <v>Yes</v>
      </c>
      <c r="D162" s="25" t="s">
        <v>28</v>
      </c>
      <c r="E162" s="15" t="s">
        <v>50</v>
      </c>
      <c r="F162" s="15">
        <v>4800.0</v>
      </c>
      <c r="G162" s="13">
        <v>1200.0</v>
      </c>
      <c r="H162" s="19">
        <v>3171.0</v>
      </c>
      <c r="I162" s="19" t="s">
        <v>38</v>
      </c>
      <c r="J162" s="19" t="s">
        <v>43</v>
      </c>
      <c r="K162" s="19" t="s">
        <v>2749</v>
      </c>
      <c r="L162" s="19" t="s">
        <v>2751</v>
      </c>
      <c r="M162" s="19" t="s">
        <v>852</v>
      </c>
    </row>
    <row r="163" ht="56.25" customHeight="1">
      <c r="A163" s="13" t="s">
        <v>3177</v>
      </c>
      <c r="B163" s="60" t="str">
        <f t="shared" ref="B163:B164" si="1">image("",1)</f>
        <v/>
      </c>
      <c r="C163" s="15" t="s">
        <v>40</v>
      </c>
      <c r="D163" s="15" t="s">
        <v>28</v>
      </c>
      <c r="E163" s="15" t="s">
        <v>28</v>
      </c>
      <c r="F163" s="25" t="s">
        <v>51</v>
      </c>
      <c r="G163" s="13">
        <v>3000.0</v>
      </c>
      <c r="H163" s="19">
        <v>5626.0</v>
      </c>
      <c r="I163" s="19" t="s">
        <v>38</v>
      </c>
      <c r="J163" s="19" t="s">
        <v>54</v>
      </c>
      <c r="K163" s="19" t="s">
        <v>516</v>
      </c>
      <c r="L163" s="19"/>
      <c r="M163" s="19" t="s">
        <v>2744</v>
      </c>
    </row>
    <row r="164" ht="56.25" customHeight="1">
      <c r="A164" s="13" t="s">
        <v>3178</v>
      </c>
      <c r="B164" s="60" t="str">
        <f t="shared" si="1"/>
        <v/>
      </c>
      <c r="C164" s="15" t="s">
        <v>40</v>
      </c>
      <c r="D164" s="15" t="s">
        <v>28</v>
      </c>
      <c r="E164" s="15" t="s">
        <v>28</v>
      </c>
      <c r="F164" s="25" t="s">
        <v>51</v>
      </c>
      <c r="G164" s="13">
        <v>4000.0</v>
      </c>
      <c r="H164" s="19">
        <v>5625.0</v>
      </c>
      <c r="I164" s="19" t="s">
        <v>38</v>
      </c>
      <c r="J164" s="19" t="s">
        <v>54</v>
      </c>
      <c r="K164" s="19" t="s">
        <v>516</v>
      </c>
      <c r="L164" s="19"/>
      <c r="M164" s="19" t="s">
        <v>2744</v>
      </c>
    </row>
    <row r="165" ht="56.25" customHeight="1">
      <c r="A165" s="13" t="s">
        <v>3179</v>
      </c>
      <c r="B165" s="60" t="str">
        <f>image("https://i.imgur.com/zCUgzcl.png",1)</f>
        <v/>
      </c>
      <c r="C165" s="15" t="s">
        <v>40</v>
      </c>
      <c r="D165" s="15" t="s">
        <v>28</v>
      </c>
      <c r="E165" s="15" t="s">
        <v>28</v>
      </c>
      <c r="F165" s="25" t="s">
        <v>51</v>
      </c>
      <c r="G165" s="13">
        <v>3000.0</v>
      </c>
      <c r="H165" s="19">
        <v>9760.0</v>
      </c>
      <c r="I165" s="19" t="s">
        <v>38</v>
      </c>
      <c r="J165" s="19" t="s">
        <v>54</v>
      </c>
      <c r="K165" s="19" t="s">
        <v>516</v>
      </c>
      <c r="L165" s="19"/>
      <c r="M165" s="19" t="s">
        <v>2744</v>
      </c>
    </row>
    <row r="166" ht="56.25" customHeight="1">
      <c r="A166" s="13" t="s">
        <v>3180</v>
      </c>
      <c r="B166" s="60" t="str">
        <f>image("https://i.imgur.com/BiHRcYh.png",1)</f>
        <v/>
      </c>
      <c r="C166" s="17" t="str">
        <f>HYPERLINK("https://imgur.com/a/NEvUvgt","Yes")</f>
        <v>Yes</v>
      </c>
      <c r="D166" s="25" t="s">
        <v>28</v>
      </c>
      <c r="E166" s="15" t="s">
        <v>50</v>
      </c>
      <c r="F166" s="15">
        <v>1500.0</v>
      </c>
      <c r="G166" s="13">
        <v>375.0</v>
      </c>
      <c r="H166" s="19">
        <v>3350.0</v>
      </c>
      <c r="I166" s="19" t="s">
        <v>38</v>
      </c>
      <c r="J166" s="19" t="s">
        <v>43</v>
      </c>
      <c r="K166" s="19" t="s">
        <v>2749</v>
      </c>
      <c r="L166" s="19" t="s">
        <v>2751</v>
      </c>
      <c r="M166" s="19" t="s">
        <v>2744</v>
      </c>
    </row>
    <row r="167" ht="56.25" customHeight="1">
      <c r="A167" s="13" t="s">
        <v>3182</v>
      </c>
      <c r="B167" s="60" t="str">
        <f>image("https://i.imgur.com/vInm7UU.png",1)</f>
        <v/>
      </c>
      <c r="C167" s="17" t="str">
        <f>HYPERLINK("https://imgur.com/a/PYbivzO","Yes")</f>
        <v>Yes</v>
      </c>
      <c r="D167" s="25" t="s">
        <v>28</v>
      </c>
      <c r="E167" s="15" t="s">
        <v>50</v>
      </c>
      <c r="F167" s="15">
        <v>1120.0</v>
      </c>
      <c r="G167" s="13">
        <v>280.0</v>
      </c>
      <c r="H167" s="19">
        <v>4285.0</v>
      </c>
      <c r="I167" s="19" t="s">
        <v>38</v>
      </c>
      <c r="J167" s="19" t="s">
        <v>43</v>
      </c>
      <c r="K167" s="19" t="s">
        <v>2749</v>
      </c>
      <c r="L167" s="19" t="s">
        <v>2764</v>
      </c>
      <c r="M167" s="19" t="s">
        <v>2756</v>
      </c>
    </row>
    <row r="168" ht="56.25" customHeight="1">
      <c r="A168" s="13" t="s">
        <v>3184</v>
      </c>
      <c r="B168" s="60" t="str">
        <f>image("https://i.imgur.com/JTLDixt.png",1)</f>
        <v/>
      </c>
      <c r="C168" s="17" t="str">
        <f>HYPERLINK("https://imgur.com/a/hutd4Av","Yes")</f>
        <v>Yes</v>
      </c>
      <c r="D168" s="25" t="s">
        <v>28</v>
      </c>
      <c r="E168" s="15" t="s">
        <v>50</v>
      </c>
      <c r="F168" s="15">
        <v>1400.0</v>
      </c>
      <c r="G168" s="13">
        <v>350.0</v>
      </c>
      <c r="H168" s="19">
        <v>5855.0</v>
      </c>
      <c r="I168" s="19" t="s">
        <v>38</v>
      </c>
      <c r="J168" s="19" t="s">
        <v>43</v>
      </c>
      <c r="K168" s="19" t="s">
        <v>2749</v>
      </c>
      <c r="L168" s="19" t="s">
        <v>2764</v>
      </c>
      <c r="M168" s="19" t="s">
        <v>2793</v>
      </c>
    </row>
    <row r="169" ht="56.25" customHeight="1">
      <c r="A169" s="13" t="s">
        <v>3186</v>
      </c>
      <c r="B169" s="60" t="str">
        <f>image("https://i.imgur.com/9lMyXWg.png",1)</f>
        <v/>
      </c>
      <c r="C169" s="15" t="s">
        <v>40</v>
      </c>
      <c r="D169" s="25" t="s">
        <v>28</v>
      </c>
      <c r="E169" s="15" t="s">
        <v>50</v>
      </c>
      <c r="F169" s="15">
        <v>1500.0</v>
      </c>
      <c r="G169" s="13">
        <v>375.0</v>
      </c>
      <c r="H169" s="19"/>
      <c r="I169" s="19" t="s">
        <v>38</v>
      </c>
      <c r="J169" s="19" t="s">
        <v>496</v>
      </c>
      <c r="K169" s="19" t="s">
        <v>497</v>
      </c>
      <c r="L169" s="19"/>
      <c r="M169" s="19"/>
    </row>
    <row r="170" ht="56.25" customHeight="1">
      <c r="A170" s="13" t="s">
        <v>3187</v>
      </c>
      <c r="B170" s="60" t="str">
        <f>image("https://i.imgur.com/sGtTo9L.png",1)</f>
        <v/>
      </c>
      <c r="C170" s="17" t="str">
        <f>HYPERLINK("https://imgur.com/a/offibhA","Yes")</f>
        <v>Yes</v>
      </c>
      <c r="D170" s="25" t="s">
        <v>28</v>
      </c>
      <c r="E170" s="15" t="s">
        <v>50</v>
      </c>
      <c r="F170" s="15">
        <v>1800.0</v>
      </c>
      <c r="G170" s="13">
        <v>450.0</v>
      </c>
      <c r="H170" s="19">
        <v>5292.0</v>
      </c>
      <c r="I170" s="19" t="s">
        <v>38</v>
      </c>
      <c r="J170" s="19" t="s">
        <v>43</v>
      </c>
      <c r="K170" s="19" t="s">
        <v>2749</v>
      </c>
      <c r="L170" s="19" t="s">
        <v>2751</v>
      </c>
      <c r="M170" s="19" t="s">
        <v>852</v>
      </c>
    </row>
    <row r="171" ht="56.25" customHeight="1">
      <c r="A171" s="13" t="s">
        <v>3188</v>
      </c>
      <c r="B171" s="60" t="str">
        <f>image("https://i.imgur.com/1Iko6KD.png",1)</f>
        <v/>
      </c>
      <c r="C171" s="15" t="s">
        <v>40</v>
      </c>
      <c r="D171" s="25" t="s">
        <v>28</v>
      </c>
      <c r="E171" s="15" t="s">
        <v>50</v>
      </c>
      <c r="F171" s="15">
        <v>560.0</v>
      </c>
      <c r="G171" s="13">
        <v>140.0</v>
      </c>
      <c r="H171" s="19">
        <v>3320.0</v>
      </c>
      <c r="I171" s="19" t="s">
        <v>38</v>
      </c>
      <c r="J171" s="19" t="s">
        <v>43</v>
      </c>
      <c r="K171" s="19" t="s">
        <v>2743</v>
      </c>
      <c r="L171" s="19"/>
      <c r="M171" s="19" t="s">
        <v>2793</v>
      </c>
    </row>
    <row r="172" ht="56.25" customHeight="1">
      <c r="A172" s="13" t="s">
        <v>3189</v>
      </c>
      <c r="B172" s="60" t="str">
        <f>image("https://i.imgur.com/3PEtTXQ.png",1)</f>
        <v/>
      </c>
      <c r="C172" s="17" t="str">
        <f>HYPERLINK("https://imgur.com/a/8VFzsKC","Yes")</f>
        <v>Yes</v>
      </c>
      <c r="D172" s="25" t="s">
        <v>28</v>
      </c>
      <c r="E172" s="15" t="s">
        <v>50</v>
      </c>
      <c r="F172" s="15">
        <v>960.0</v>
      </c>
      <c r="G172" s="13">
        <v>240.0</v>
      </c>
      <c r="H172" s="19">
        <v>4715.0</v>
      </c>
      <c r="I172" s="19" t="s">
        <v>38</v>
      </c>
      <c r="J172" s="19" t="s">
        <v>43</v>
      </c>
      <c r="K172" s="19" t="s">
        <v>2749</v>
      </c>
      <c r="L172" s="19" t="s">
        <v>2764</v>
      </c>
      <c r="M172" s="19" t="s">
        <v>2744</v>
      </c>
    </row>
    <row r="173" ht="56.25" customHeight="1">
      <c r="A173" s="13" t="s">
        <v>3192</v>
      </c>
      <c r="B173" s="60" t="str">
        <f>image("https://i.imgur.com/oAdGywp.png",1)</f>
        <v/>
      </c>
      <c r="C173" s="17" t="str">
        <f>HYPERLINK("https://imgur.com/a/ijKABtB","Yes")</f>
        <v>Yes</v>
      </c>
      <c r="D173" s="25" t="s">
        <v>28</v>
      </c>
      <c r="E173" s="15" t="s">
        <v>50</v>
      </c>
      <c r="F173" s="15">
        <v>1120.0</v>
      </c>
      <c r="G173" s="13">
        <v>280.0</v>
      </c>
      <c r="H173" s="19">
        <v>4154.0</v>
      </c>
      <c r="I173" s="19" t="s">
        <v>38</v>
      </c>
      <c r="J173" s="19" t="s">
        <v>43</v>
      </c>
      <c r="K173" s="19" t="s">
        <v>2749</v>
      </c>
      <c r="L173" s="19" t="s">
        <v>2764</v>
      </c>
      <c r="M173" s="19" t="s">
        <v>2756</v>
      </c>
    </row>
    <row r="174" ht="56.25" customHeight="1">
      <c r="A174" s="13" t="s">
        <v>3194</v>
      </c>
      <c r="B174" s="60" t="str">
        <f>image("https://i.imgur.com/699lrRf.png",1)</f>
        <v/>
      </c>
      <c r="C174" s="17" t="str">
        <f>HYPERLINK("https://imgur.com/a/zrTMriR","Yes")</f>
        <v>Yes</v>
      </c>
      <c r="D174" s="25" t="s">
        <v>28</v>
      </c>
      <c r="E174" s="15" t="s">
        <v>50</v>
      </c>
      <c r="F174" s="15">
        <v>2320.0</v>
      </c>
      <c r="G174" s="13">
        <v>580.0</v>
      </c>
      <c r="H174" s="19">
        <v>4420.0</v>
      </c>
      <c r="I174" s="19" t="s">
        <v>38</v>
      </c>
      <c r="J174" s="19" t="s">
        <v>43</v>
      </c>
      <c r="K174" s="19" t="s">
        <v>2749</v>
      </c>
      <c r="L174" s="19" t="s">
        <v>2751</v>
      </c>
      <c r="M174" s="19" t="s">
        <v>2756</v>
      </c>
    </row>
    <row r="175" ht="56.25" customHeight="1">
      <c r="A175" s="13" t="s">
        <v>3195</v>
      </c>
      <c r="B175" s="60" t="str">
        <f>image("https://i.imgur.com/jrSah8z.png",1)</f>
        <v/>
      </c>
      <c r="C175" s="17" t="str">
        <f>HYPERLINK("https://imgur.com/a/XEYBDpP","Yes")</f>
        <v>Yes</v>
      </c>
      <c r="D175" s="25" t="s">
        <v>28</v>
      </c>
      <c r="E175" s="15" t="s">
        <v>50</v>
      </c>
      <c r="F175" s="15">
        <v>2380.0</v>
      </c>
      <c r="G175" s="13">
        <v>595.0</v>
      </c>
      <c r="H175" s="19">
        <v>4605.0</v>
      </c>
      <c r="I175" s="19" t="s">
        <v>38</v>
      </c>
      <c r="J175" s="19" t="s">
        <v>43</v>
      </c>
      <c r="K175" s="19" t="s">
        <v>2749</v>
      </c>
      <c r="L175" s="19" t="s">
        <v>2751</v>
      </c>
      <c r="M175" s="19" t="s">
        <v>384</v>
      </c>
    </row>
    <row r="176" ht="56.25" customHeight="1">
      <c r="A176" s="13" t="s">
        <v>3197</v>
      </c>
      <c r="B176" s="60" t="str">
        <f>image("https://i.imgur.com/6qXJ8cR.png",1)</f>
        <v/>
      </c>
      <c r="C176" s="17" t="str">
        <f>HYPERLINK("https://imgur.com/a/43ltxwo","Yes")</f>
        <v>Yes</v>
      </c>
      <c r="D176" s="25" t="s">
        <v>28</v>
      </c>
      <c r="E176" s="15" t="s">
        <v>50</v>
      </c>
      <c r="F176" s="15">
        <v>1960.0</v>
      </c>
      <c r="G176" s="13">
        <v>490.0</v>
      </c>
      <c r="H176" s="19">
        <v>2782.0</v>
      </c>
      <c r="I176" s="19" t="s">
        <v>38</v>
      </c>
      <c r="J176" s="19" t="s">
        <v>43</v>
      </c>
      <c r="K176" s="19" t="s">
        <v>2749</v>
      </c>
      <c r="L176" s="19" t="s">
        <v>2751</v>
      </c>
      <c r="M176" s="19" t="s">
        <v>2744</v>
      </c>
    </row>
    <row r="177" ht="56.25" customHeight="1">
      <c r="A177" s="13" t="s">
        <v>3199</v>
      </c>
      <c r="B177" s="60" t="str">
        <f>image("https://i.imgur.com/4gppTd9.png",1)</f>
        <v/>
      </c>
      <c r="C177" s="17" t="str">
        <f>HYPERLINK("https://imgur.com/a/Rx5Ijfq","Yes")</f>
        <v>Yes</v>
      </c>
      <c r="D177" s="25" t="s">
        <v>28</v>
      </c>
      <c r="E177" s="15" t="s">
        <v>50</v>
      </c>
      <c r="F177" s="15">
        <v>1680.0</v>
      </c>
      <c r="G177" s="13">
        <v>420.0</v>
      </c>
      <c r="H177" s="19">
        <v>4247.0</v>
      </c>
      <c r="I177" s="19" t="s">
        <v>38</v>
      </c>
      <c r="J177" s="19" t="s">
        <v>43</v>
      </c>
      <c r="K177" s="19" t="s">
        <v>2749</v>
      </c>
      <c r="L177" s="19" t="s">
        <v>2764</v>
      </c>
      <c r="M177" s="19" t="s">
        <v>2863</v>
      </c>
    </row>
    <row r="178" ht="56.25" customHeight="1">
      <c r="A178" s="13" t="s">
        <v>3200</v>
      </c>
      <c r="B178" s="60" t="str">
        <f>image("https://i.imgur.com/IRKwhtD.png",1)</f>
        <v/>
      </c>
      <c r="C178" s="17" t="str">
        <f>HYPERLINK("https://imgur.com/a/dBAKpyn","Yes")</f>
        <v>Yes</v>
      </c>
      <c r="D178" s="25" t="s">
        <v>28</v>
      </c>
      <c r="E178" s="15" t="s">
        <v>50</v>
      </c>
      <c r="F178" s="15">
        <v>960.0</v>
      </c>
      <c r="G178" s="13">
        <v>240.0</v>
      </c>
      <c r="H178" s="19">
        <v>3237.0</v>
      </c>
      <c r="I178" s="19" t="s">
        <v>38</v>
      </c>
      <c r="J178" s="19" t="s">
        <v>43</v>
      </c>
      <c r="K178" s="19" t="s">
        <v>2749</v>
      </c>
      <c r="L178" s="19" t="s">
        <v>2764</v>
      </c>
      <c r="M178" s="19" t="s">
        <v>2793</v>
      </c>
    </row>
    <row r="179" ht="56.25" customHeight="1">
      <c r="A179" s="13" t="s">
        <v>3202</v>
      </c>
      <c r="B179" s="60" t="str">
        <f>image("https://i.imgur.com/Kr4IhOT.png",1)</f>
        <v/>
      </c>
      <c r="C179" s="17" t="str">
        <f>HYPERLINK("https://imgur.com/a/FlsQULm","Yes")</f>
        <v>Yes</v>
      </c>
      <c r="D179" s="25" t="s">
        <v>28</v>
      </c>
      <c r="E179" s="15" t="s">
        <v>50</v>
      </c>
      <c r="F179" s="15">
        <v>1200.0</v>
      </c>
      <c r="G179" s="13">
        <v>300.0</v>
      </c>
      <c r="H179" s="19">
        <v>9827.0</v>
      </c>
      <c r="I179" s="19" t="s">
        <v>38</v>
      </c>
      <c r="J179" s="19" t="s">
        <v>43</v>
      </c>
      <c r="K179" s="19" t="s">
        <v>2749</v>
      </c>
      <c r="L179" s="19" t="s">
        <v>2764</v>
      </c>
      <c r="M179" s="19" t="s">
        <v>384</v>
      </c>
    </row>
    <row r="180" ht="56.25" customHeight="1">
      <c r="A180" s="13" t="s">
        <v>3205</v>
      </c>
      <c r="B180" s="60" t="str">
        <f>image("https://i.imgur.com/eSR7ITu.png",1)</f>
        <v/>
      </c>
      <c r="C180" s="17" t="str">
        <f>HYPERLINK("https://imgur.com/a/bnbLZJA","Yes")</f>
        <v>Yes</v>
      </c>
      <c r="D180" s="25" t="s">
        <v>28</v>
      </c>
      <c r="E180" s="15" t="s">
        <v>50</v>
      </c>
      <c r="F180" s="15">
        <v>1680.0</v>
      </c>
      <c r="G180" s="13">
        <v>420.0</v>
      </c>
      <c r="H180" s="19">
        <v>4565.0</v>
      </c>
      <c r="I180" s="19" t="s">
        <v>38</v>
      </c>
      <c r="J180" s="19" t="s">
        <v>43</v>
      </c>
      <c r="K180" s="19" t="s">
        <v>2749</v>
      </c>
      <c r="L180" s="19" t="s">
        <v>2751</v>
      </c>
      <c r="M180" s="19" t="s">
        <v>2863</v>
      </c>
    </row>
    <row r="181" ht="56.25" customHeight="1">
      <c r="A181" s="13" t="s">
        <v>3206</v>
      </c>
      <c r="B181" s="60" t="str">
        <f>image("https://i.imgur.com/stbocbB.png",1)</f>
        <v/>
      </c>
      <c r="C181" s="17" t="str">
        <f>HYPERLINK("https://imgur.com/a/mEglfFu","Yes")</f>
        <v>Yes</v>
      </c>
      <c r="D181" s="25" t="s">
        <v>28</v>
      </c>
      <c r="E181" s="15" t="s">
        <v>50</v>
      </c>
      <c r="F181" s="15">
        <v>1440.0</v>
      </c>
      <c r="G181" s="13">
        <v>360.0</v>
      </c>
      <c r="H181" s="19">
        <v>4289.0</v>
      </c>
      <c r="I181" s="19" t="s">
        <v>38</v>
      </c>
      <c r="J181" s="19" t="s">
        <v>43</v>
      </c>
      <c r="K181" s="19" t="s">
        <v>2749</v>
      </c>
      <c r="L181" s="19" t="s">
        <v>2764</v>
      </c>
      <c r="M181" s="19" t="s">
        <v>384</v>
      </c>
    </row>
    <row r="182" ht="56.25" customHeight="1">
      <c r="A182" s="13" t="s">
        <v>3207</v>
      </c>
      <c r="B182" s="60" t="str">
        <f>image("https://i.imgur.com/0Nf28a7.png",1)</f>
        <v/>
      </c>
      <c r="C182" s="17" t="str">
        <f>HYPERLINK("https://imgur.com/a/zIzUTdA","Yes")</f>
        <v>Yes</v>
      </c>
      <c r="D182" s="25" t="s">
        <v>28</v>
      </c>
      <c r="E182" s="15" t="s">
        <v>50</v>
      </c>
      <c r="F182" s="15">
        <v>1960.0</v>
      </c>
      <c r="G182" s="13">
        <v>490.0</v>
      </c>
      <c r="H182" s="19">
        <v>10909.0</v>
      </c>
      <c r="I182" s="19" t="s">
        <v>38</v>
      </c>
      <c r="J182" s="19" t="s">
        <v>43</v>
      </c>
      <c r="K182" s="19" t="s">
        <v>2749</v>
      </c>
      <c r="L182" s="19" t="s">
        <v>2751</v>
      </c>
      <c r="M182" s="19" t="s">
        <v>384</v>
      </c>
    </row>
    <row r="183" ht="56.25" customHeight="1">
      <c r="A183" s="13" t="s">
        <v>3208</v>
      </c>
      <c r="B183" s="60" t="str">
        <f>image("https://i.imgur.com/OhbC5Tc.png",1)</f>
        <v/>
      </c>
      <c r="C183" s="17" t="str">
        <f>HYPERLINK("https://imgur.com/a/O9X0ONn","Yes")</f>
        <v>Yes</v>
      </c>
      <c r="D183" s="25" t="s">
        <v>28</v>
      </c>
      <c r="E183" s="15" t="s">
        <v>50</v>
      </c>
      <c r="F183" s="15">
        <v>560.0</v>
      </c>
      <c r="G183" s="13">
        <v>140.0</v>
      </c>
      <c r="H183" s="19">
        <v>4291.0</v>
      </c>
      <c r="I183" s="19" t="s">
        <v>38</v>
      </c>
      <c r="J183" s="19" t="s">
        <v>43</v>
      </c>
      <c r="K183" s="19" t="s">
        <v>2749</v>
      </c>
      <c r="L183" s="19" t="s">
        <v>2764</v>
      </c>
      <c r="M183" s="19" t="s">
        <v>2744</v>
      </c>
    </row>
    <row r="184" ht="56.25" customHeight="1">
      <c r="A184" s="13" t="s">
        <v>3210</v>
      </c>
      <c r="B184" s="60" t="str">
        <f>image("https://i.imgur.com/Ea14Uqz.png",1)</f>
        <v/>
      </c>
      <c r="C184" s="17" t="str">
        <f>HYPERLINK("https://imgur.com/a/uVfobZv","Yes")</f>
        <v>Yes</v>
      </c>
      <c r="D184" s="25" t="s">
        <v>28</v>
      </c>
      <c r="E184" s="15" t="s">
        <v>50</v>
      </c>
      <c r="F184" s="15">
        <v>720.0</v>
      </c>
      <c r="G184" s="13">
        <v>180.0</v>
      </c>
      <c r="H184" s="19">
        <v>3172.0</v>
      </c>
      <c r="I184" s="19" t="s">
        <v>38</v>
      </c>
      <c r="J184" s="19" t="s">
        <v>43</v>
      </c>
      <c r="K184" s="19" t="s">
        <v>2749</v>
      </c>
      <c r="L184" s="19" t="s">
        <v>2764</v>
      </c>
      <c r="M184" s="19" t="s">
        <v>2744</v>
      </c>
    </row>
    <row r="185" ht="56.25" customHeight="1">
      <c r="A185" s="13" t="s">
        <v>3212</v>
      </c>
      <c r="B185" s="60" t="str">
        <f>image("https://i.imgur.com/TmRt24o.png",1)</f>
        <v/>
      </c>
      <c r="C185" s="17" t="str">
        <f>HYPERLINK("https://imgur.com/a/FU6lQUz","Yes")</f>
        <v>Yes</v>
      </c>
      <c r="D185" s="25" t="s">
        <v>28</v>
      </c>
      <c r="E185" s="15" t="s">
        <v>50</v>
      </c>
      <c r="F185" s="15">
        <v>1440.0</v>
      </c>
      <c r="G185" s="13">
        <v>360.0</v>
      </c>
      <c r="H185" s="19">
        <v>4766.0</v>
      </c>
      <c r="I185" s="19" t="s">
        <v>38</v>
      </c>
      <c r="J185" s="19" t="s">
        <v>43</v>
      </c>
      <c r="K185" s="19" t="s">
        <v>2749</v>
      </c>
      <c r="L185" s="19" t="s">
        <v>2751</v>
      </c>
      <c r="M185" s="19" t="s">
        <v>384</v>
      </c>
    </row>
    <row r="186" ht="56.25" customHeight="1">
      <c r="A186" s="13" t="s">
        <v>3213</v>
      </c>
      <c r="B186" s="60" t="str">
        <f>image("https://i.imgur.com/NXhH2zC.png",1)</f>
        <v/>
      </c>
      <c r="C186" s="17" t="str">
        <f>HYPERLINK("https://imgur.com/a/34HhPID","Yes")</f>
        <v>Yes</v>
      </c>
      <c r="D186" s="25" t="s">
        <v>28</v>
      </c>
      <c r="E186" s="15" t="s">
        <v>50</v>
      </c>
      <c r="F186" s="15">
        <v>2320.0</v>
      </c>
      <c r="G186" s="13">
        <v>580.0</v>
      </c>
      <c r="H186" s="19">
        <v>4368.0</v>
      </c>
      <c r="I186" s="19" t="s">
        <v>38</v>
      </c>
      <c r="J186" s="19" t="s">
        <v>43</v>
      </c>
      <c r="K186" s="19" t="s">
        <v>2749</v>
      </c>
      <c r="L186" s="19" t="s">
        <v>2751</v>
      </c>
      <c r="M186" s="19" t="s">
        <v>384</v>
      </c>
    </row>
    <row r="187" ht="56.25" customHeight="1">
      <c r="A187" s="13" t="s">
        <v>3215</v>
      </c>
      <c r="B187" s="60" t="str">
        <f>image("https://i.imgur.com/7a8v3Zp.png",1)</f>
        <v/>
      </c>
      <c r="C187" s="17" t="str">
        <f>HYPERLINK("https://imgur.com/a/ityKCCt","Yes")</f>
        <v>Yes</v>
      </c>
      <c r="D187" s="25" t="s">
        <v>28</v>
      </c>
      <c r="E187" s="15" t="s">
        <v>50</v>
      </c>
      <c r="F187" s="15">
        <v>1500.0</v>
      </c>
      <c r="G187" s="13">
        <v>375.0</v>
      </c>
      <c r="H187" s="19">
        <v>4661.0</v>
      </c>
      <c r="I187" s="19" t="s">
        <v>38</v>
      </c>
      <c r="J187" s="19" t="s">
        <v>43</v>
      </c>
      <c r="K187" s="19" t="s">
        <v>2749</v>
      </c>
      <c r="L187" s="19" t="s">
        <v>2764</v>
      </c>
      <c r="M187" s="19" t="s">
        <v>2863</v>
      </c>
    </row>
    <row r="188" ht="56.25" customHeight="1">
      <c r="A188" s="13" t="s">
        <v>3216</v>
      </c>
      <c r="B188" s="60" t="str">
        <f>image("https://i.imgur.com/jQ3U77t.png",1)</f>
        <v/>
      </c>
      <c r="C188" s="17" t="str">
        <f>HYPERLINK("https://imgur.com/a/UWibJq9","Yes")</f>
        <v>Yes</v>
      </c>
      <c r="D188" s="25" t="s">
        <v>28</v>
      </c>
      <c r="E188" s="15" t="s">
        <v>50</v>
      </c>
      <c r="F188" s="15">
        <v>4800.0</v>
      </c>
      <c r="G188" s="13">
        <v>1200.0</v>
      </c>
      <c r="H188" s="19">
        <v>4433.0</v>
      </c>
      <c r="I188" s="19" t="s">
        <v>38</v>
      </c>
      <c r="J188" s="19" t="s">
        <v>43</v>
      </c>
      <c r="K188" s="19" t="s">
        <v>2749</v>
      </c>
      <c r="L188" s="19" t="s">
        <v>2751</v>
      </c>
      <c r="M188" s="19" t="s">
        <v>2863</v>
      </c>
    </row>
    <row r="189" ht="56.25" customHeight="1">
      <c r="A189" s="13" t="s">
        <v>3218</v>
      </c>
      <c r="B189" s="60" t="str">
        <f>image("https://i.imgur.com/oFIdzxD.png",1)</f>
        <v/>
      </c>
      <c r="C189" s="17" t="str">
        <f>HYPERLINK("https://imgur.com/a/wCiEprF","Yes")</f>
        <v>Yes</v>
      </c>
      <c r="D189" s="25" t="s">
        <v>28</v>
      </c>
      <c r="E189" s="15" t="s">
        <v>50</v>
      </c>
      <c r="F189" s="15">
        <v>1260.0</v>
      </c>
      <c r="G189" s="13">
        <v>315.0</v>
      </c>
      <c r="H189" s="19">
        <v>4680.0</v>
      </c>
      <c r="I189" s="19" t="s">
        <v>38</v>
      </c>
      <c r="J189" s="19" t="s">
        <v>43</v>
      </c>
      <c r="K189" s="19" t="s">
        <v>2749</v>
      </c>
      <c r="L189" s="19" t="s">
        <v>2764</v>
      </c>
      <c r="M189" s="19" t="s">
        <v>2793</v>
      </c>
    </row>
    <row r="190" ht="56.25" customHeight="1">
      <c r="A190" s="13" t="s">
        <v>3220</v>
      </c>
      <c r="B190" s="60" t="str">
        <f>image("https://i.imgur.com/xXKbt0V.png",1)</f>
        <v/>
      </c>
      <c r="C190" s="17" t="str">
        <f>HYPERLINK("https://imgur.com/a/G5OLVAe","Yes")</f>
        <v>Yes</v>
      </c>
      <c r="D190" s="25" t="s">
        <v>28</v>
      </c>
      <c r="E190" s="15" t="s">
        <v>50</v>
      </c>
      <c r="F190" s="15">
        <v>560.0</v>
      </c>
      <c r="G190" s="13">
        <v>140.0</v>
      </c>
      <c r="H190" s="19">
        <v>9821.0</v>
      </c>
      <c r="I190" s="19" t="s">
        <v>38</v>
      </c>
      <c r="J190" s="19" t="s">
        <v>43</v>
      </c>
      <c r="K190" s="19" t="s">
        <v>2749</v>
      </c>
      <c r="L190" s="19" t="s">
        <v>2764</v>
      </c>
      <c r="M190" s="19" t="s">
        <v>2744</v>
      </c>
    </row>
    <row r="191" ht="56.25" customHeight="1">
      <c r="A191" s="13" t="s">
        <v>3221</v>
      </c>
      <c r="B191" s="60" t="str">
        <f>image("https://i.imgur.com/i58kdjw.png",1)</f>
        <v/>
      </c>
      <c r="C191" s="17" t="str">
        <f>HYPERLINK("https://imgur.com/a/7wZvfTM","Yes")</f>
        <v>Yes</v>
      </c>
      <c r="D191" s="25" t="s">
        <v>28</v>
      </c>
      <c r="E191" s="15" t="s">
        <v>50</v>
      </c>
      <c r="F191" s="15">
        <v>560.0</v>
      </c>
      <c r="G191" s="13">
        <v>140.0</v>
      </c>
      <c r="H191" s="19">
        <v>9823.0</v>
      </c>
      <c r="I191" s="19" t="s">
        <v>38</v>
      </c>
      <c r="J191" s="19" t="s">
        <v>43</v>
      </c>
      <c r="K191" s="19" t="s">
        <v>2749</v>
      </c>
      <c r="L191" s="19" t="s">
        <v>2764</v>
      </c>
      <c r="M191" s="19" t="s">
        <v>2744</v>
      </c>
    </row>
    <row r="192" ht="56.25" customHeight="1">
      <c r="A192" s="13" t="s">
        <v>3222</v>
      </c>
      <c r="B192" s="60" t="str">
        <f>image("https://i.imgur.com/mtv3p2m.png",1)</f>
        <v/>
      </c>
      <c r="C192" s="15" t="s">
        <v>40</v>
      </c>
      <c r="D192" s="25" t="s">
        <v>28</v>
      </c>
      <c r="E192" s="15" t="s">
        <v>50</v>
      </c>
      <c r="F192" s="15">
        <v>640.0</v>
      </c>
      <c r="G192" s="13">
        <v>160.0</v>
      </c>
      <c r="H192" s="19">
        <v>12122.0</v>
      </c>
      <c r="I192" s="19" t="s">
        <v>38</v>
      </c>
      <c r="J192" s="19" t="s">
        <v>43</v>
      </c>
      <c r="K192" s="19" t="s">
        <v>2743</v>
      </c>
      <c r="L192" s="19"/>
      <c r="M192" s="19" t="s">
        <v>2744</v>
      </c>
    </row>
    <row r="193" ht="56.25" customHeight="1">
      <c r="A193" s="13" t="s">
        <v>3225</v>
      </c>
      <c r="B193" s="60" t="str">
        <f>image("https://i.imgur.com/ZWwijhV.png",1)</f>
        <v/>
      </c>
      <c r="C193" s="17" t="str">
        <f>HYPERLINK("https://imgur.com/a/2ujSEBg","Yes")</f>
        <v>Yes</v>
      </c>
      <c r="D193" s="25" t="s">
        <v>28</v>
      </c>
      <c r="E193" s="15" t="s">
        <v>50</v>
      </c>
      <c r="F193" s="15">
        <v>1250.0</v>
      </c>
      <c r="G193" s="13">
        <v>312.0</v>
      </c>
      <c r="H193" s="19">
        <v>4277.0</v>
      </c>
      <c r="I193" s="19" t="s">
        <v>38</v>
      </c>
      <c r="J193" s="19" t="s">
        <v>43</v>
      </c>
      <c r="K193" s="19" t="s">
        <v>2749</v>
      </c>
      <c r="L193" s="19" t="s">
        <v>2764</v>
      </c>
      <c r="M193" s="19" t="s">
        <v>2744</v>
      </c>
    </row>
    <row r="194" ht="56.25" customHeight="1">
      <c r="A194" s="13" t="s">
        <v>3226</v>
      </c>
      <c r="B194" s="60" t="str">
        <f>image("https://i.imgur.com/YKdl8w2.png",1)</f>
        <v/>
      </c>
      <c r="C194" s="17" t="str">
        <f>HYPERLINK("https://imgur.com/a/hoc0YFS","Yes")</f>
        <v>Yes</v>
      </c>
      <c r="D194" s="25" t="s">
        <v>28</v>
      </c>
      <c r="E194" s="15" t="s">
        <v>50</v>
      </c>
      <c r="F194" s="15">
        <v>800.0</v>
      </c>
      <c r="G194" s="13">
        <v>200.0</v>
      </c>
      <c r="H194" s="19">
        <v>5349.0</v>
      </c>
      <c r="I194" s="19" t="s">
        <v>38</v>
      </c>
      <c r="J194" s="19" t="s">
        <v>43</v>
      </c>
      <c r="K194" s="19" t="s">
        <v>2749</v>
      </c>
      <c r="L194" s="19" t="s">
        <v>2764</v>
      </c>
      <c r="M194" s="19" t="s">
        <v>2744</v>
      </c>
    </row>
    <row r="195" ht="56.25" customHeight="1">
      <c r="A195" s="13" t="s">
        <v>3227</v>
      </c>
      <c r="B195" s="60" t="str">
        <f>image("https://i.imgur.com/PeaqySw.png",1)</f>
        <v/>
      </c>
      <c r="C195" s="17" t="str">
        <f>HYPERLINK("https://imgur.com/a/Nx4AmLF","Yes")</f>
        <v>Yes</v>
      </c>
      <c r="D195" s="25" t="s">
        <v>28</v>
      </c>
      <c r="E195" s="15" t="s">
        <v>50</v>
      </c>
      <c r="F195" s="15">
        <v>1680.0</v>
      </c>
      <c r="G195" s="13">
        <v>420.0</v>
      </c>
      <c r="H195" s="19">
        <v>4521.0</v>
      </c>
      <c r="I195" s="19" t="s">
        <v>38</v>
      </c>
      <c r="J195" s="19" t="s">
        <v>43</v>
      </c>
      <c r="K195" s="19" t="s">
        <v>2749</v>
      </c>
      <c r="L195" s="19" t="s">
        <v>2764</v>
      </c>
      <c r="M195" s="19" t="s">
        <v>2793</v>
      </c>
    </row>
    <row r="196" ht="56.25" customHeight="1">
      <c r="A196" s="13" t="s">
        <v>3228</v>
      </c>
      <c r="B196" s="60" t="str">
        <f>image("https://i.imgur.com/1rQ52Al.png",1)</f>
        <v/>
      </c>
      <c r="C196" s="17" t="str">
        <f>HYPERLINK("https://imgur.com/a/IETs4t4","Yes")</f>
        <v>Yes</v>
      </c>
      <c r="D196" s="25" t="s">
        <v>28</v>
      </c>
      <c r="E196" s="15" t="s">
        <v>50</v>
      </c>
      <c r="F196" s="15">
        <v>1400.0</v>
      </c>
      <c r="G196" s="13">
        <v>350.0</v>
      </c>
      <c r="H196" s="19">
        <v>4220.0</v>
      </c>
      <c r="I196" s="19" t="s">
        <v>38</v>
      </c>
      <c r="J196" s="19" t="s">
        <v>43</v>
      </c>
      <c r="K196" s="19" t="s">
        <v>2749</v>
      </c>
      <c r="L196" s="19" t="s">
        <v>2764</v>
      </c>
      <c r="M196" s="19" t="s">
        <v>2744</v>
      </c>
    </row>
    <row r="197" ht="56.25" customHeight="1">
      <c r="A197" s="13" t="s">
        <v>3229</v>
      </c>
      <c r="B197" s="60" t="str">
        <f>image("https://i.imgur.com/MYcVeyW.png",1)</f>
        <v/>
      </c>
      <c r="C197" s="17" t="str">
        <f>HYPERLINK("https://imgur.com/a/boC26WY","Yes")</f>
        <v>Yes</v>
      </c>
      <c r="D197" s="25" t="s">
        <v>28</v>
      </c>
      <c r="E197" s="15" t="s">
        <v>50</v>
      </c>
      <c r="F197" s="15">
        <v>1400.0</v>
      </c>
      <c r="G197" s="13">
        <v>350.0</v>
      </c>
      <c r="H197" s="19">
        <v>4728.0</v>
      </c>
      <c r="I197" s="19" t="s">
        <v>38</v>
      </c>
      <c r="J197" s="19" t="s">
        <v>43</v>
      </c>
      <c r="K197" s="19" t="s">
        <v>2749</v>
      </c>
      <c r="L197" s="19" t="s">
        <v>2764</v>
      </c>
      <c r="M197" s="19" t="s">
        <v>2793</v>
      </c>
    </row>
    <row r="198" ht="56.25" customHeight="1">
      <c r="A198" s="13" t="s">
        <v>3231</v>
      </c>
      <c r="B198" s="60" t="str">
        <f>image("https://i.imgur.com/EcixkdB.png",1)</f>
        <v/>
      </c>
      <c r="C198" s="15" t="s">
        <v>40</v>
      </c>
      <c r="D198" s="25" t="s">
        <v>28</v>
      </c>
      <c r="E198" s="15" t="s">
        <v>50</v>
      </c>
      <c r="F198" s="15">
        <v>800.0</v>
      </c>
      <c r="G198" s="13">
        <v>200.0</v>
      </c>
      <c r="H198" s="19">
        <v>8197.0</v>
      </c>
      <c r="I198" s="19" t="s">
        <v>38</v>
      </c>
      <c r="J198" s="19" t="s">
        <v>43</v>
      </c>
      <c r="K198" s="19" t="s">
        <v>2743</v>
      </c>
      <c r="L198" s="19"/>
      <c r="M198" s="19" t="s">
        <v>2793</v>
      </c>
    </row>
    <row r="199" ht="56.25" customHeight="1">
      <c r="A199" s="13" t="s">
        <v>3233</v>
      </c>
      <c r="B199" s="60" t="str">
        <f>image("https://i.imgur.com/X27tHlq.png",1)</f>
        <v/>
      </c>
      <c r="C199" s="17" t="str">
        <f>HYPERLINK("https://imgur.com/a/kKXdMbm","Yes")</f>
        <v>Yes</v>
      </c>
      <c r="D199" s="25" t="s">
        <v>28</v>
      </c>
      <c r="E199" s="15" t="s">
        <v>50</v>
      </c>
      <c r="F199" s="15">
        <v>800.0</v>
      </c>
      <c r="G199" s="13">
        <v>200.0</v>
      </c>
      <c r="H199" s="19">
        <v>2674.0</v>
      </c>
      <c r="I199" s="19" t="s">
        <v>38</v>
      </c>
      <c r="J199" s="19" t="s">
        <v>43</v>
      </c>
      <c r="K199" s="19" t="s">
        <v>2749</v>
      </c>
      <c r="L199" s="19" t="s">
        <v>2764</v>
      </c>
      <c r="M199" s="19" t="s">
        <v>2744</v>
      </c>
    </row>
    <row r="200" ht="56.25" customHeight="1">
      <c r="A200" s="13" t="s">
        <v>3234</v>
      </c>
      <c r="B200" s="60" t="str">
        <f>image("https://i.imgur.com/7w7eiM5.png",1)</f>
        <v/>
      </c>
      <c r="C200" s="17" t="str">
        <f>HYPERLINK("https://imgur.com/a/lnVoslS","Yes")</f>
        <v>Yes</v>
      </c>
      <c r="D200" s="25" t="s">
        <v>28</v>
      </c>
      <c r="E200" s="15" t="s">
        <v>50</v>
      </c>
      <c r="F200" s="15">
        <v>1200.0</v>
      </c>
      <c r="G200" s="13">
        <v>300.0</v>
      </c>
      <c r="H200" s="19">
        <v>4595.0</v>
      </c>
      <c r="I200" s="19" t="s">
        <v>38</v>
      </c>
      <c r="J200" s="19" t="s">
        <v>43</v>
      </c>
      <c r="K200" s="19" t="s">
        <v>2749</v>
      </c>
      <c r="L200" s="19" t="s">
        <v>2764</v>
      </c>
      <c r="M200" s="19" t="s">
        <v>384</v>
      </c>
    </row>
    <row r="201" ht="56.25" customHeight="1">
      <c r="A201" s="13" t="s">
        <v>3236</v>
      </c>
      <c r="B201" s="60" t="str">
        <f>image("https://i.imgur.com/aTemSYD.png",1)</f>
        <v/>
      </c>
      <c r="C201" s="17" t="str">
        <f>HYPERLINK("https://imgur.com/a/oH5ka1t","Yes")</f>
        <v>Yes</v>
      </c>
      <c r="D201" s="25" t="s">
        <v>28</v>
      </c>
      <c r="E201" s="15" t="s">
        <v>50</v>
      </c>
      <c r="F201" s="15">
        <v>1280.0</v>
      </c>
      <c r="G201" s="13">
        <v>320.0</v>
      </c>
      <c r="H201" s="19">
        <v>3170.0</v>
      </c>
      <c r="I201" s="19" t="s">
        <v>38</v>
      </c>
      <c r="J201" s="19" t="s">
        <v>43</v>
      </c>
      <c r="K201" s="19" t="s">
        <v>2749</v>
      </c>
      <c r="L201" s="19" t="s">
        <v>2764</v>
      </c>
      <c r="M201" s="19" t="s">
        <v>2744</v>
      </c>
    </row>
    <row r="202" ht="56.25" customHeight="1">
      <c r="A202" s="13" t="s">
        <v>3238</v>
      </c>
      <c r="B202" s="60" t="str">
        <f>image("https://i.imgur.com/wzJQcH8.png",1)</f>
        <v/>
      </c>
      <c r="C202" s="17" t="str">
        <f>HYPERLINK("https://imgur.com/a/VvHedYX","Yes")</f>
        <v>Yes</v>
      </c>
      <c r="D202" s="25" t="s">
        <v>28</v>
      </c>
      <c r="E202" s="15" t="s">
        <v>50</v>
      </c>
      <c r="F202" s="15">
        <v>1680.0</v>
      </c>
      <c r="G202" s="13">
        <v>420.0</v>
      </c>
      <c r="H202" s="19">
        <v>4566.0</v>
      </c>
      <c r="I202" s="19" t="s">
        <v>38</v>
      </c>
      <c r="J202" s="19" t="s">
        <v>43</v>
      </c>
      <c r="K202" s="19" t="s">
        <v>2749</v>
      </c>
      <c r="L202" s="19" t="s">
        <v>2764</v>
      </c>
      <c r="M202" s="19" t="s">
        <v>2744</v>
      </c>
    </row>
    <row r="203" ht="56.25" customHeight="1">
      <c r="A203" s="13" t="s">
        <v>3239</v>
      </c>
      <c r="B203" s="60" t="str">
        <f>image("https://i.imgur.com/cz9tyyP.png",1)</f>
        <v/>
      </c>
      <c r="C203" s="17" t="str">
        <f>HYPERLINK("https://imgur.com/a/e3hGILr","Yes")</f>
        <v>Yes</v>
      </c>
      <c r="D203" s="25" t="s">
        <v>28</v>
      </c>
      <c r="E203" s="15" t="s">
        <v>50</v>
      </c>
      <c r="F203" s="15">
        <v>960.0</v>
      </c>
      <c r="G203" s="13">
        <v>240.0</v>
      </c>
      <c r="H203" s="19">
        <v>3246.0</v>
      </c>
      <c r="I203" s="19" t="s">
        <v>38</v>
      </c>
      <c r="J203" s="19" t="s">
        <v>43</v>
      </c>
      <c r="K203" s="19" t="s">
        <v>2749</v>
      </c>
      <c r="L203" s="19" t="s">
        <v>2751</v>
      </c>
      <c r="M203" s="19" t="s">
        <v>2793</v>
      </c>
    </row>
    <row r="204" ht="56.25" customHeight="1">
      <c r="A204" s="13" t="s">
        <v>3240</v>
      </c>
      <c r="B204" s="60" t="str">
        <f>image("https://i.imgur.com/X9PuzdP.png",1)</f>
        <v/>
      </c>
      <c r="C204" s="17" t="str">
        <f>HYPERLINK("https://imgur.com/a/vi5osyr","Yes")</f>
        <v>Yes</v>
      </c>
      <c r="D204" s="25" t="s">
        <v>28</v>
      </c>
      <c r="E204" s="15" t="s">
        <v>50</v>
      </c>
      <c r="F204" s="15">
        <v>2380.0</v>
      </c>
      <c r="G204" s="13">
        <v>595.0</v>
      </c>
      <c r="H204" s="19">
        <v>4469.0</v>
      </c>
      <c r="I204" s="19" t="s">
        <v>38</v>
      </c>
      <c r="J204" s="19" t="s">
        <v>43</v>
      </c>
      <c r="K204" s="19" t="s">
        <v>2749</v>
      </c>
      <c r="L204" s="19" t="s">
        <v>2751</v>
      </c>
      <c r="M204" s="19" t="s">
        <v>2863</v>
      </c>
    </row>
    <row r="205" ht="56.25" customHeight="1">
      <c r="A205" s="13" t="s">
        <v>3242</v>
      </c>
      <c r="B205" s="60" t="str">
        <f>image("https://i.imgur.com/mA0Jltz.png",1)</f>
        <v/>
      </c>
      <c r="C205" s="17" t="str">
        <f>HYPERLINK("https://imgur.com/a/O0FKNXf","Yes")</f>
        <v>Yes</v>
      </c>
      <c r="D205" s="25" t="s">
        <v>28</v>
      </c>
      <c r="E205" s="15" t="s">
        <v>50</v>
      </c>
      <c r="F205" s="15">
        <v>1200.0</v>
      </c>
      <c r="G205" s="13">
        <v>300.0</v>
      </c>
      <c r="H205" s="19">
        <v>4575.0</v>
      </c>
      <c r="I205" s="19" t="s">
        <v>38</v>
      </c>
      <c r="J205" s="19" t="s">
        <v>43</v>
      </c>
      <c r="K205" s="19" t="s">
        <v>2749</v>
      </c>
      <c r="L205" s="19" t="s">
        <v>2751</v>
      </c>
      <c r="M205" s="19" t="s">
        <v>384</v>
      </c>
    </row>
    <row r="206" ht="56.25" customHeight="1">
      <c r="A206" s="13" t="s">
        <v>3243</v>
      </c>
      <c r="B206" s="60" t="str">
        <f>image("https://i.imgur.com/IVcOdP2.png",1)</f>
        <v/>
      </c>
      <c r="C206" s="17" t="str">
        <f>HYPERLINK("https://imgur.com/a/YEMow24","Yes")</f>
        <v>Yes</v>
      </c>
      <c r="D206" s="25" t="s">
        <v>28</v>
      </c>
      <c r="E206" s="15" t="s">
        <v>50</v>
      </c>
      <c r="F206" s="15">
        <v>960.0</v>
      </c>
      <c r="G206" s="13">
        <v>240.0</v>
      </c>
      <c r="H206" s="19">
        <v>4675.0</v>
      </c>
      <c r="I206" s="19" t="s">
        <v>38</v>
      </c>
      <c r="J206" s="19" t="s">
        <v>43</v>
      </c>
      <c r="K206" s="19" t="s">
        <v>2749</v>
      </c>
      <c r="L206" s="19" t="s">
        <v>2764</v>
      </c>
      <c r="M206" s="19" t="s">
        <v>384</v>
      </c>
    </row>
    <row r="207" ht="56.25" customHeight="1">
      <c r="A207" s="13" t="s">
        <v>3244</v>
      </c>
      <c r="B207" s="60" t="str">
        <f>image("https://i.imgur.com/7HOATgx.png",1)</f>
        <v/>
      </c>
      <c r="C207" s="15" t="s">
        <v>40</v>
      </c>
      <c r="D207" s="25" t="s">
        <v>28</v>
      </c>
      <c r="E207" s="15" t="s">
        <v>50</v>
      </c>
      <c r="F207" s="15">
        <v>6720.0</v>
      </c>
      <c r="G207" s="13">
        <v>1680.0</v>
      </c>
      <c r="H207" s="19">
        <v>3283.0</v>
      </c>
      <c r="I207" s="19" t="s">
        <v>38</v>
      </c>
      <c r="J207" s="19" t="s">
        <v>43</v>
      </c>
      <c r="K207" s="19" t="s">
        <v>2749</v>
      </c>
      <c r="L207" s="19" t="s">
        <v>2751</v>
      </c>
      <c r="M207" s="19" t="s">
        <v>852</v>
      </c>
    </row>
    <row r="208" ht="56.25" customHeight="1">
      <c r="A208" s="13" t="s">
        <v>3245</v>
      </c>
      <c r="B208" s="60" t="str">
        <f>image("https://i.imgur.com/rKfT2Pq.png",1)</f>
        <v/>
      </c>
      <c r="C208" s="17" t="str">
        <f>HYPERLINK("https://imgur.com/a/FdnqE6g","Yes")</f>
        <v>Yes</v>
      </c>
      <c r="D208" s="25" t="s">
        <v>28</v>
      </c>
      <c r="E208" s="15" t="s">
        <v>50</v>
      </c>
      <c r="F208" s="15">
        <v>840.0</v>
      </c>
      <c r="G208" s="13">
        <v>210.0</v>
      </c>
      <c r="H208" s="19">
        <v>3212.0</v>
      </c>
      <c r="I208" s="19" t="s">
        <v>38</v>
      </c>
      <c r="J208" s="19" t="s">
        <v>43</v>
      </c>
      <c r="K208" s="19" t="s">
        <v>2749</v>
      </c>
      <c r="L208" s="19" t="s">
        <v>2764</v>
      </c>
      <c r="M208" s="19" t="s">
        <v>2793</v>
      </c>
    </row>
    <row r="209" ht="56.25" customHeight="1">
      <c r="A209" s="13" t="s">
        <v>3247</v>
      </c>
      <c r="B209" s="60" t="str">
        <f>image("https://i.imgur.com/JhRveoX.png",1)</f>
        <v/>
      </c>
      <c r="C209" s="17" t="str">
        <f>HYPERLINK("https://imgur.com/a/QoaVrph","Yes")</f>
        <v>Yes</v>
      </c>
      <c r="D209" s="25" t="s">
        <v>28</v>
      </c>
      <c r="E209" s="15" t="s">
        <v>50</v>
      </c>
      <c r="F209" s="15">
        <v>1200.0</v>
      </c>
      <c r="G209" s="13">
        <v>300.0</v>
      </c>
      <c r="H209" s="19">
        <v>4435.0</v>
      </c>
      <c r="I209" s="19" t="s">
        <v>38</v>
      </c>
      <c r="J209" s="19" t="s">
        <v>43</v>
      </c>
      <c r="K209" s="19" t="s">
        <v>2749</v>
      </c>
      <c r="L209" s="19" t="s">
        <v>2751</v>
      </c>
      <c r="M209" s="19" t="s">
        <v>2793</v>
      </c>
    </row>
    <row r="210" ht="56.25" customHeight="1">
      <c r="A210" s="13" t="s">
        <v>3249</v>
      </c>
      <c r="B210" s="60" t="str">
        <f>image("https://i.imgur.com/g3Gd2tM.png",1)</f>
        <v/>
      </c>
      <c r="C210" s="17" t="str">
        <f>HYPERLINK("https://imgur.com/a/nmd6w1d","Yes")</f>
        <v>Yes</v>
      </c>
      <c r="D210" s="25" t="s">
        <v>28</v>
      </c>
      <c r="E210" s="15" t="s">
        <v>50</v>
      </c>
      <c r="F210" s="15">
        <v>1050.0</v>
      </c>
      <c r="G210" s="13">
        <v>262.0</v>
      </c>
      <c r="H210" s="19">
        <v>5621.0</v>
      </c>
      <c r="I210" s="19" t="s">
        <v>38</v>
      </c>
      <c r="J210" s="19" t="s">
        <v>43</v>
      </c>
      <c r="K210" s="19" t="s">
        <v>2749</v>
      </c>
      <c r="L210" s="19" t="s">
        <v>2751</v>
      </c>
      <c r="M210" s="19" t="s">
        <v>2744</v>
      </c>
    </row>
    <row r="211" ht="56.25" customHeight="1">
      <c r="A211" s="13" t="s">
        <v>3250</v>
      </c>
      <c r="B211" s="60" t="str">
        <f>image("https://i.imgur.com/7EnUNpF.png",1)</f>
        <v/>
      </c>
      <c r="C211" s="17" t="str">
        <f>HYPERLINK("https://imgur.com/a/UJPhB6Q","Yes")</f>
        <v>Yes</v>
      </c>
      <c r="D211" s="25" t="s">
        <v>28</v>
      </c>
      <c r="E211" s="15" t="s">
        <v>50</v>
      </c>
      <c r="F211" s="15">
        <v>1050.0</v>
      </c>
      <c r="G211" s="13">
        <v>262.0</v>
      </c>
      <c r="H211" s="19">
        <v>3055.0</v>
      </c>
      <c r="I211" s="19" t="s">
        <v>38</v>
      </c>
      <c r="J211" s="19" t="s">
        <v>43</v>
      </c>
      <c r="K211" s="19" t="s">
        <v>2749</v>
      </c>
      <c r="L211" s="19" t="s">
        <v>2751</v>
      </c>
      <c r="M211" s="19" t="s">
        <v>2744</v>
      </c>
    </row>
    <row r="212" ht="56.25" customHeight="1">
      <c r="A212" s="13" t="s">
        <v>3251</v>
      </c>
      <c r="B212" s="60" t="str">
        <f>image("https://i.imgur.com/xQ21BMm.png",1)</f>
        <v/>
      </c>
      <c r="C212" s="17" t="str">
        <f>HYPERLINK("https://imgur.com/a/VUOieNU","Yes")</f>
        <v>Yes</v>
      </c>
      <c r="D212" s="25" t="s">
        <v>28</v>
      </c>
      <c r="E212" s="15" t="s">
        <v>50</v>
      </c>
      <c r="F212" s="15">
        <v>6720.0</v>
      </c>
      <c r="G212" s="13">
        <v>1680.0</v>
      </c>
      <c r="H212" s="19">
        <v>5130.0</v>
      </c>
      <c r="I212" s="19" t="s">
        <v>38</v>
      </c>
      <c r="J212" s="19" t="s">
        <v>43</v>
      </c>
      <c r="K212" s="19" t="s">
        <v>2749</v>
      </c>
      <c r="L212" s="19" t="s">
        <v>2751</v>
      </c>
      <c r="M212" s="19" t="s">
        <v>2756</v>
      </c>
    </row>
    <row r="213" ht="56.25" customHeight="1">
      <c r="A213" s="13" t="s">
        <v>3252</v>
      </c>
      <c r="B213" s="60" t="str">
        <f>image("https://i.imgur.com/igZe032.png",1)</f>
        <v/>
      </c>
      <c r="C213" s="17" t="str">
        <f>HYPERLINK("https://imgur.com/a/eVT5SQ2","Yes")</f>
        <v>Yes</v>
      </c>
      <c r="D213" s="25" t="s">
        <v>28</v>
      </c>
      <c r="E213" s="15" t="s">
        <v>50</v>
      </c>
      <c r="F213" s="15">
        <v>1400.0</v>
      </c>
      <c r="G213" s="13">
        <v>350.0</v>
      </c>
      <c r="H213" s="19">
        <v>4365.0</v>
      </c>
      <c r="I213" s="19" t="s">
        <v>38</v>
      </c>
      <c r="J213" s="19" t="s">
        <v>43</v>
      </c>
      <c r="K213" s="19" t="s">
        <v>2749</v>
      </c>
      <c r="L213" s="19" t="s">
        <v>2751</v>
      </c>
      <c r="M213" s="19" t="s">
        <v>2744</v>
      </c>
    </row>
    <row r="214" ht="56.25" customHeight="1">
      <c r="A214" s="13" t="s">
        <v>3253</v>
      </c>
      <c r="B214" s="60" t="str">
        <f>image("https://i.imgur.com/I6nXYu0.png",1)</f>
        <v/>
      </c>
      <c r="C214" s="17" t="str">
        <f>HYPERLINK("https://imgur.com/a/mYtEbMW","Yes")</f>
        <v>Yes</v>
      </c>
      <c r="D214" s="25" t="s">
        <v>28</v>
      </c>
      <c r="E214" s="15" t="s">
        <v>50</v>
      </c>
      <c r="F214" s="15">
        <v>1450.0</v>
      </c>
      <c r="G214" s="13">
        <v>362.0</v>
      </c>
      <c r="H214" s="19">
        <v>4407.0</v>
      </c>
      <c r="I214" s="19" t="s">
        <v>38</v>
      </c>
      <c r="J214" s="19" t="s">
        <v>43</v>
      </c>
      <c r="K214" s="19" t="s">
        <v>2749</v>
      </c>
      <c r="L214" s="19" t="s">
        <v>2751</v>
      </c>
      <c r="M214" s="19" t="s">
        <v>2793</v>
      </c>
    </row>
    <row r="215" ht="56.25" customHeight="1">
      <c r="A215" s="13" t="s">
        <v>3255</v>
      </c>
      <c r="B215" s="60" t="str">
        <f>image("https://i.imgur.com/hd25WmK.png",1)</f>
        <v/>
      </c>
      <c r="C215" s="15" t="s">
        <v>40</v>
      </c>
      <c r="D215" s="25" t="s">
        <v>28</v>
      </c>
      <c r="E215" s="15" t="s">
        <v>50</v>
      </c>
      <c r="F215" s="15">
        <v>560.0</v>
      </c>
      <c r="G215" s="13">
        <v>140.0</v>
      </c>
      <c r="H215" s="19">
        <v>3324.0</v>
      </c>
      <c r="I215" s="19" t="s">
        <v>38</v>
      </c>
      <c r="J215" s="19" t="s">
        <v>43</v>
      </c>
      <c r="K215" s="19" t="s">
        <v>2743</v>
      </c>
      <c r="L215" s="19"/>
      <c r="M215" s="19" t="s">
        <v>2793</v>
      </c>
    </row>
    <row r="216" ht="56.25" customHeight="1">
      <c r="A216" s="13" t="s">
        <v>3256</v>
      </c>
      <c r="B216" s="60" t="str">
        <f>image("https://i.imgur.com/reGNsJO.png",1)</f>
        <v/>
      </c>
      <c r="C216" s="17" t="str">
        <f>HYPERLINK("https://imgur.com/a/jkrJz3i","Yes")</f>
        <v>Yes</v>
      </c>
      <c r="D216" s="25" t="s">
        <v>28</v>
      </c>
      <c r="E216" s="15" t="s">
        <v>50</v>
      </c>
      <c r="F216" s="15">
        <v>1440.0</v>
      </c>
      <c r="G216" s="13">
        <v>360.0</v>
      </c>
      <c r="H216" s="19">
        <v>5440.0</v>
      </c>
      <c r="I216" s="19" t="s">
        <v>38</v>
      </c>
      <c r="J216" s="19" t="s">
        <v>43</v>
      </c>
      <c r="K216" s="19" t="s">
        <v>2749</v>
      </c>
      <c r="L216" s="19" t="s">
        <v>2751</v>
      </c>
      <c r="M216" s="19" t="s">
        <v>2744</v>
      </c>
    </row>
    <row r="217" ht="56.25" customHeight="1">
      <c r="A217" s="13" t="s">
        <v>3258</v>
      </c>
      <c r="B217" s="60" t="str">
        <f>image("https://i.imgur.com/THa3FTu.png",1)</f>
        <v/>
      </c>
      <c r="C217" s="17" t="str">
        <f>HYPERLINK("https://imgur.com/a/UpqiBWr","Yes")</f>
        <v>Yes</v>
      </c>
      <c r="D217" s="25" t="s">
        <v>28</v>
      </c>
      <c r="E217" s="15" t="s">
        <v>50</v>
      </c>
      <c r="F217" s="15">
        <v>1680.0</v>
      </c>
      <c r="G217" s="13">
        <v>420.0</v>
      </c>
      <c r="H217" s="19">
        <v>3688.0</v>
      </c>
      <c r="I217" s="19" t="s">
        <v>38</v>
      </c>
      <c r="J217" s="19" t="s">
        <v>43</v>
      </c>
      <c r="K217" s="19" t="s">
        <v>2749</v>
      </c>
      <c r="L217" s="19" t="s">
        <v>2764</v>
      </c>
      <c r="M217" s="19" t="s">
        <v>2744</v>
      </c>
    </row>
    <row r="218" ht="56.25" customHeight="1">
      <c r="A218" s="13" t="s">
        <v>3259</v>
      </c>
      <c r="B218" s="60" t="str">
        <f>image("https://i.imgur.com/r23vEQ3.png",1)</f>
        <v/>
      </c>
      <c r="C218" s="17" t="str">
        <f>HYPERLINK("https://imgur.com/a/zTG6Cjw","Yes")</f>
        <v>Yes</v>
      </c>
      <c r="D218" s="25" t="s">
        <v>28</v>
      </c>
      <c r="E218" s="15" t="s">
        <v>50</v>
      </c>
      <c r="F218" s="15">
        <v>560.0</v>
      </c>
      <c r="G218" s="13">
        <v>140.0</v>
      </c>
      <c r="H218" s="19">
        <v>3144.0</v>
      </c>
      <c r="I218" s="19" t="s">
        <v>38</v>
      </c>
      <c r="J218" s="19" t="s">
        <v>43</v>
      </c>
      <c r="K218" s="19" t="s">
        <v>2749</v>
      </c>
      <c r="L218" s="19" t="s">
        <v>2764</v>
      </c>
      <c r="M218" s="19" t="s">
        <v>2744</v>
      </c>
    </row>
    <row r="219" ht="56.25" customHeight="1">
      <c r="A219" s="13" t="s">
        <v>3261</v>
      </c>
      <c r="B219" s="60" t="str">
        <f>image("https://i.imgur.com/A0nJwWG.png",1)</f>
        <v/>
      </c>
      <c r="C219" s="17" t="str">
        <f>HYPERLINK("https://imgur.com/a/P9qCbKC","Yes")</f>
        <v>Yes</v>
      </c>
      <c r="D219" s="25" t="s">
        <v>28</v>
      </c>
      <c r="E219" s="15" t="s">
        <v>50</v>
      </c>
      <c r="F219" s="15">
        <v>1200.0</v>
      </c>
      <c r="G219" s="13">
        <v>300.0</v>
      </c>
      <c r="H219" s="19">
        <v>3248.0</v>
      </c>
      <c r="I219" s="19" t="s">
        <v>38</v>
      </c>
      <c r="J219" s="19" t="s">
        <v>43</v>
      </c>
      <c r="K219" s="19" t="s">
        <v>2749</v>
      </c>
      <c r="L219" s="19" t="s">
        <v>2751</v>
      </c>
      <c r="M219" s="19" t="s">
        <v>384</v>
      </c>
    </row>
    <row r="220" ht="56.25" customHeight="1">
      <c r="A220" s="13" t="s">
        <v>3263</v>
      </c>
      <c r="B220" s="60" t="str">
        <f>image("https://i.imgur.com/k6Pm8Bn.png",1)</f>
        <v/>
      </c>
      <c r="C220" s="17" t="str">
        <f>HYPERLINK("https://imgur.com/a/eZhP73v","Yes")</f>
        <v>Yes</v>
      </c>
      <c r="D220" s="25" t="s">
        <v>28</v>
      </c>
      <c r="E220" s="15" t="s">
        <v>50</v>
      </c>
      <c r="F220" s="15">
        <v>1500.0</v>
      </c>
      <c r="G220" s="13">
        <v>375.0</v>
      </c>
      <c r="H220" s="19">
        <v>2672.0</v>
      </c>
      <c r="I220" s="19" t="s">
        <v>38</v>
      </c>
      <c r="J220" s="19" t="s">
        <v>43</v>
      </c>
      <c r="K220" s="19" t="s">
        <v>2749</v>
      </c>
      <c r="L220" s="19" t="s">
        <v>2751</v>
      </c>
      <c r="M220" s="19" t="s">
        <v>2863</v>
      </c>
    </row>
    <row r="221" ht="56.25" customHeight="1">
      <c r="A221" s="13" t="s">
        <v>3264</v>
      </c>
      <c r="B221" s="60" t="str">
        <f>image("https://i.imgur.com/KQqJJj7.png",1)</f>
        <v/>
      </c>
      <c r="C221" s="17" t="str">
        <f>HYPERLINK("https://imgur.com/a/aIHgNYY","Yes")</f>
        <v>Yes</v>
      </c>
      <c r="D221" s="25" t="s">
        <v>28</v>
      </c>
      <c r="E221" s="15" t="s">
        <v>50</v>
      </c>
      <c r="F221" s="15">
        <v>960.0</v>
      </c>
      <c r="G221" s="13">
        <v>240.0</v>
      </c>
      <c r="H221" s="19">
        <v>2725.0</v>
      </c>
      <c r="I221" s="19" t="s">
        <v>38</v>
      </c>
      <c r="J221" s="19" t="s">
        <v>43</v>
      </c>
      <c r="K221" s="19" t="s">
        <v>2749</v>
      </c>
      <c r="L221" s="19" t="s">
        <v>2764</v>
      </c>
      <c r="M221" s="19" t="s">
        <v>2744</v>
      </c>
    </row>
    <row r="222" ht="56.25" customHeight="1">
      <c r="A222" s="13" t="s">
        <v>3266</v>
      </c>
      <c r="B222" s="60" t="str">
        <f>image("https://i.imgur.com/IRXqw6f.png",1)</f>
        <v/>
      </c>
      <c r="C222" s="17" t="str">
        <f>HYPERLINK("https://imgur.com/a/V8nZsGT","Yes")</f>
        <v>Yes</v>
      </c>
      <c r="D222" s="25" t="s">
        <v>28</v>
      </c>
      <c r="E222" s="15" t="s">
        <v>50</v>
      </c>
      <c r="F222" s="15">
        <v>1060.0</v>
      </c>
      <c r="G222" s="13">
        <v>265.0</v>
      </c>
      <c r="H222" s="19">
        <v>3056.0</v>
      </c>
      <c r="I222" s="19" t="s">
        <v>38</v>
      </c>
      <c r="J222" s="19" t="s">
        <v>43</v>
      </c>
      <c r="K222" s="19" t="s">
        <v>2749</v>
      </c>
      <c r="L222" s="19" t="s">
        <v>2764</v>
      </c>
      <c r="M222" s="19" t="s">
        <v>2744</v>
      </c>
    </row>
    <row r="223" ht="56.25" customHeight="1">
      <c r="A223" s="13" t="s">
        <v>3267</v>
      </c>
      <c r="B223" s="60" t="str">
        <f>image("https://i.imgur.com/OWUpsGA.png",1)</f>
        <v/>
      </c>
      <c r="C223" s="17" t="str">
        <f>HYPERLINK("https://imgur.com/a/5WsGxey","Yes")</f>
        <v>Yes</v>
      </c>
      <c r="D223" s="25" t="s">
        <v>28</v>
      </c>
      <c r="E223" s="15" t="s">
        <v>50</v>
      </c>
      <c r="F223" s="15">
        <v>640.0</v>
      </c>
      <c r="G223" s="13">
        <v>160.0</v>
      </c>
      <c r="H223" s="19">
        <v>8203.0</v>
      </c>
      <c r="I223" s="19" t="s">
        <v>38</v>
      </c>
      <c r="J223" s="19" t="s">
        <v>43</v>
      </c>
      <c r="K223" s="19" t="s">
        <v>2749</v>
      </c>
      <c r="L223" s="19" t="s">
        <v>2764</v>
      </c>
      <c r="M223" s="19" t="s">
        <v>2793</v>
      </c>
    </row>
    <row r="224" ht="56.25" customHeight="1">
      <c r="A224" s="13" t="s">
        <v>3268</v>
      </c>
      <c r="B224" s="60" t="str">
        <f>image("https://i.imgur.com/OXybK2s.png",1)</f>
        <v/>
      </c>
      <c r="C224" s="15" t="s">
        <v>40</v>
      </c>
      <c r="D224" s="25" t="s">
        <v>28</v>
      </c>
      <c r="E224" s="15" t="s">
        <v>50</v>
      </c>
      <c r="F224" s="15">
        <v>560.0</v>
      </c>
      <c r="G224" s="13">
        <v>140.0</v>
      </c>
      <c r="H224" s="19">
        <v>3323.0</v>
      </c>
      <c r="I224" s="19" t="s">
        <v>38</v>
      </c>
      <c r="J224" s="19" t="s">
        <v>43</v>
      </c>
      <c r="K224" s="19" t="s">
        <v>2743</v>
      </c>
      <c r="L224" s="19"/>
      <c r="M224" s="19" t="s">
        <v>2793</v>
      </c>
    </row>
    <row r="225" ht="56.25" customHeight="1">
      <c r="A225" s="13" t="s">
        <v>3269</v>
      </c>
      <c r="B225" s="60" t="str">
        <f>image("https://i.imgur.com/rX8yVOz.png",1)</f>
        <v/>
      </c>
      <c r="C225" s="17" t="str">
        <f>HYPERLINK("https://imgur.com/a/Uf0Fjuv","Yes")</f>
        <v>Yes</v>
      </c>
      <c r="D225" s="25" t="s">
        <v>28</v>
      </c>
      <c r="E225" s="15" t="s">
        <v>50</v>
      </c>
      <c r="F225" s="15">
        <v>1680.0</v>
      </c>
      <c r="G225" s="13">
        <v>420.0</v>
      </c>
      <c r="H225" s="19">
        <v>4448.0</v>
      </c>
      <c r="I225" s="19" t="s">
        <v>38</v>
      </c>
      <c r="J225" s="19" t="s">
        <v>43</v>
      </c>
      <c r="K225" s="19" t="s">
        <v>2749</v>
      </c>
      <c r="L225" s="19" t="s">
        <v>2751</v>
      </c>
      <c r="M225" s="19" t="s">
        <v>2793</v>
      </c>
    </row>
    <row r="226" ht="56.25" customHeight="1">
      <c r="A226" s="13" t="s">
        <v>3271</v>
      </c>
      <c r="B226" s="60" t="str">
        <f>image("https://i.imgur.com/rkD82Tn.png",1)</f>
        <v/>
      </c>
      <c r="C226" s="17" t="str">
        <f>HYPERLINK("https://imgur.com/a/sRp5ekK","Yes")</f>
        <v>Yes</v>
      </c>
      <c r="D226" s="25" t="s">
        <v>28</v>
      </c>
      <c r="E226" s="15" t="s">
        <v>50</v>
      </c>
      <c r="F226" s="15">
        <v>960.0</v>
      </c>
      <c r="G226" s="13">
        <v>240.0</v>
      </c>
      <c r="H226" s="19">
        <v>8208.0</v>
      </c>
      <c r="I226" s="19" t="s">
        <v>38</v>
      </c>
      <c r="J226" s="19" t="s">
        <v>43</v>
      </c>
      <c r="K226" s="19" t="s">
        <v>2749</v>
      </c>
      <c r="L226" s="19" t="s">
        <v>2764</v>
      </c>
      <c r="M226" s="19" t="s">
        <v>2756</v>
      </c>
    </row>
    <row r="227" ht="56.25" customHeight="1">
      <c r="A227" s="13" t="s">
        <v>3273</v>
      </c>
      <c r="B227" s="60" t="str">
        <f>image("https://i.imgur.com/dyjaqA9.png",1)</f>
        <v/>
      </c>
      <c r="C227" s="17" t="str">
        <f>HYPERLINK("https://imgur.com/a/OkoZWpM","Yes")</f>
        <v>Yes</v>
      </c>
      <c r="D227" s="25" t="s">
        <v>28</v>
      </c>
      <c r="E227" s="15" t="s">
        <v>50</v>
      </c>
      <c r="F227" s="15">
        <v>960.0</v>
      </c>
      <c r="G227" s="13">
        <v>240.0</v>
      </c>
      <c r="H227" s="19">
        <v>5132.0</v>
      </c>
      <c r="I227" s="19" t="s">
        <v>38</v>
      </c>
      <c r="J227" s="19" t="s">
        <v>43</v>
      </c>
      <c r="K227" s="19" t="s">
        <v>2749</v>
      </c>
      <c r="L227" s="19" t="s">
        <v>2764</v>
      </c>
      <c r="M227" s="19" t="s">
        <v>2793</v>
      </c>
    </row>
    <row r="228" ht="56.25" customHeight="1">
      <c r="A228" s="13" t="s">
        <v>3274</v>
      </c>
      <c r="B228" s="60" t="str">
        <f>image("https://i.imgur.com/pzCDDrv.png",1)</f>
        <v/>
      </c>
      <c r="C228" s="17" t="str">
        <f>HYPERLINK("https://imgur.com/a/tCkMNnw","Yes")</f>
        <v>Yes</v>
      </c>
      <c r="D228" s="25" t="s">
        <v>28</v>
      </c>
      <c r="E228" s="15" t="s">
        <v>50</v>
      </c>
      <c r="F228" s="15">
        <v>960.0</v>
      </c>
      <c r="G228" s="13">
        <v>240.0</v>
      </c>
      <c r="H228" s="19">
        <v>3145.0</v>
      </c>
      <c r="I228" s="19" t="s">
        <v>38</v>
      </c>
      <c r="J228" s="19" t="s">
        <v>43</v>
      </c>
      <c r="K228" s="19" t="s">
        <v>2749</v>
      </c>
      <c r="L228" s="19" t="s">
        <v>2764</v>
      </c>
      <c r="M228" s="19" t="s">
        <v>2744</v>
      </c>
    </row>
    <row r="229" ht="56.25" customHeight="1">
      <c r="A229" s="13" t="s">
        <v>3275</v>
      </c>
      <c r="B229" s="60" t="str">
        <f>image("https://i.imgur.com/v5syp5N.png",1)</f>
        <v/>
      </c>
      <c r="C229" s="17" t="str">
        <f>HYPERLINK("https://imgur.com/a/OZG5Djh","Yes")</f>
        <v>Yes</v>
      </c>
      <c r="D229" s="25" t="s">
        <v>28</v>
      </c>
      <c r="E229" s="15" t="s">
        <v>50</v>
      </c>
      <c r="F229" s="15">
        <v>1200.0</v>
      </c>
      <c r="G229" s="13">
        <v>300.0</v>
      </c>
      <c r="H229" s="19">
        <v>5774.0</v>
      </c>
      <c r="I229" s="19" t="s">
        <v>38</v>
      </c>
      <c r="J229" s="19" t="s">
        <v>43</v>
      </c>
      <c r="K229" s="19" t="s">
        <v>2749</v>
      </c>
      <c r="L229" s="19" t="s">
        <v>2764</v>
      </c>
      <c r="M229" s="19" t="s">
        <v>2793</v>
      </c>
    </row>
    <row r="230" ht="56.25" customHeight="1">
      <c r="A230" s="13" t="s">
        <v>3276</v>
      </c>
      <c r="B230" s="60" t="str">
        <f>image("https://i.imgur.com/1fwsWLg.png",1)</f>
        <v/>
      </c>
      <c r="C230" s="17" t="str">
        <f>HYPERLINK("https://imgur.com/a/BGtFIiu","Yes")</f>
        <v>Yes</v>
      </c>
      <c r="D230" s="25" t="s">
        <v>28</v>
      </c>
      <c r="E230" s="15" t="s">
        <v>50</v>
      </c>
      <c r="F230" s="15">
        <v>960.0</v>
      </c>
      <c r="G230" s="13">
        <v>240.0</v>
      </c>
      <c r="H230" s="19">
        <v>4599.0</v>
      </c>
      <c r="I230" s="19" t="s">
        <v>38</v>
      </c>
      <c r="J230" s="19" t="s">
        <v>43</v>
      </c>
      <c r="K230" s="19" t="s">
        <v>2749</v>
      </c>
      <c r="L230" s="19" t="s">
        <v>2764</v>
      </c>
      <c r="M230" s="19" t="s">
        <v>2744</v>
      </c>
    </row>
    <row r="231" ht="56.25" customHeight="1">
      <c r="A231" s="13" t="s">
        <v>3279</v>
      </c>
      <c r="B231" s="60" t="str">
        <f>image("https://i.imgur.com/RFLTFz5.png",1)</f>
        <v/>
      </c>
      <c r="C231" s="17" t="str">
        <f>HYPERLINK("https://imgur.com/a/DAgjHxF","Yes")</f>
        <v>Yes</v>
      </c>
      <c r="D231" s="25" t="s">
        <v>28</v>
      </c>
      <c r="E231" s="15" t="s">
        <v>50</v>
      </c>
      <c r="F231" s="15">
        <v>960.0</v>
      </c>
      <c r="G231" s="13">
        <v>240.0</v>
      </c>
      <c r="H231" s="19">
        <v>5122.0</v>
      </c>
      <c r="I231" s="19" t="s">
        <v>38</v>
      </c>
      <c r="J231" s="19" t="s">
        <v>43</v>
      </c>
      <c r="K231" s="19" t="s">
        <v>2749</v>
      </c>
      <c r="L231" s="19" t="s">
        <v>2764</v>
      </c>
      <c r="M231" s="19" t="s">
        <v>2744</v>
      </c>
    </row>
    <row r="232" ht="56.25" customHeight="1">
      <c r="A232" s="13" t="s">
        <v>3280</v>
      </c>
      <c r="B232" s="60" t="str">
        <f>image("https://i.imgur.com/YFFlsn7.png",1)</f>
        <v/>
      </c>
      <c r="C232" s="17" t="str">
        <f>HYPERLINK("https://imgur.com/a/igK3xOs","Yes")</f>
        <v>Yes</v>
      </c>
      <c r="D232" s="25" t="s">
        <v>28</v>
      </c>
      <c r="E232" s="15" t="s">
        <v>50</v>
      </c>
      <c r="F232" s="15">
        <v>1450.0</v>
      </c>
      <c r="G232" s="13">
        <v>362.0</v>
      </c>
      <c r="H232" s="19">
        <v>3631.0</v>
      </c>
      <c r="I232" s="19" t="s">
        <v>38</v>
      </c>
      <c r="J232" s="19" t="s">
        <v>43</v>
      </c>
      <c r="K232" s="19" t="s">
        <v>2749</v>
      </c>
      <c r="L232" s="19" t="s">
        <v>2764</v>
      </c>
      <c r="M232" s="19" t="s">
        <v>2744</v>
      </c>
    </row>
    <row r="233" ht="56.25" customHeight="1">
      <c r="A233" s="13" t="s">
        <v>3281</v>
      </c>
      <c r="B233" s="60" t="str">
        <f>image("https://i.imgur.com/MaKiKQ4.png",1)</f>
        <v/>
      </c>
      <c r="C233" s="17" t="str">
        <f>HYPERLINK("https://imgur.com/a/MxZMLEW","Yes")</f>
        <v>Yes</v>
      </c>
      <c r="D233" s="25" t="s">
        <v>28</v>
      </c>
      <c r="E233" s="15" t="s">
        <v>50</v>
      </c>
      <c r="F233" s="15">
        <v>1330.0</v>
      </c>
      <c r="G233" s="13">
        <v>332.0</v>
      </c>
      <c r="H233" s="19">
        <v>3249.0</v>
      </c>
      <c r="I233" s="19" t="s">
        <v>38</v>
      </c>
      <c r="J233" s="19" t="s">
        <v>43</v>
      </c>
      <c r="K233" s="19" t="s">
        <v>2749</v>
      </c>
      <c r="L233" s="19" t="s">
        <v>2751</v>
      </c>
      <c r="M233" s="19" t="s">
        <v>2793</v>
      </c>
    </row>
    <row r="234" ht="56.25" customHeight="1">
      <c r="A234" s="13" t="s">
        <v>3282</v>
      </c>
      <c r="B234" s="60" t="str">
        <f>image("https://i.imgur.com/dmUFAv2.png",1)</f>
        <v/>
      </c>
      <c r="C234" s="17" t="str">
        <f>HYPERLINK("https://imgur.com/a/IimF9l9","Yes")</f>
        <v>Yes</v>
      </c>
      <c r="D234" s="25" t="s">
        <v>28</v>
      </c>
      <c r="E234" s="15" t="s">
        <v>50</v>
      </c>
      <c r="F234" s="15">
        <v>1680.0</v>
      </c>
      <c r="G234" s="13">
        <v>420.0</v>
      </c>
      <c r="H234" s="19">
        <v>4418.0</v>
      </c>
      <c r="I234" s="19" t="s">
        <v>38</v>
      </c>
      <c r="J234" s="19" t="s">
        <v>43</v>
      </c>
      <c r="K234" s="19" t="s">
        <v>2749</v>
      </c>
      <c r="L234" s="19" t="s">
        <v>2764</v>
      </c>
      <c r="M234" s="19" t="s">
        <v>2756</v>
      </c>
    </row>
    <row r="235" ht="56.25" customHeight="1">
      <c r="A235" s="13" t="s">
        <v>3283</v>
      </c>
      <c r="B235" s="60" t="str">
        <f>image("https://i.imgur.com/7Wzub8T.png",1)</f>
        <v/>
      </c>
      <c r="C235" s="17" t="str">
        <f>HYPERLINK("https://imgur.com/a/n40ecXU","Yes")</f>
        <v>Yes</v>
      </c>
      <c r="D235" s="25" t="s">
        <v>28</v>
      </c>
      <c r="E235" s="15" t="s">
        <v>50</v>
      </c>
      <c r="F235" s="15">
        <v>960.0</v>
      </c>
      <c r="G235" s="13">
        <v>240.0</v>
      </c>
      <c r="H235" s="19">
        <v>4560.0</v>
      </c>
      <c r="I235" s="19" t="s">
        <v>38</v>
      </c>
      <c r="J235" s="19" t="s">
        <v>43</v>
      </c>
      <c r="K235" s="19" t="s">
        <v>2749</v>
      </c>
      <c r="L235" s="19" t="s">
        <v>2751</v>
      </c>
      <c r="M235" s="19" t="s">
        <v>384</v>
      </c>
    </row>
    <row r="236" ht="56.25" customHeight="1">
      <c r="A236" s="13" t="s">
        <v>3286</v>
      </c>
      <c r="B236" s="60" t="str">
        <f>image("https://i.imgur.com/KcI74GQ.png",1)</f>
        <v/>
      </c>
      <c r="C236" s="15" t="s">
        <v>40</v>
      </c>
      <c r="D236" s="25" t="s">
        <v>28</v>
      </c>
      <c r="E236" s="15" t="s">
        <v>50</v>
      </c>
      <c r="F236" s="15">
        <v>960.0</v>
      </c>
      <c r="G236" s="13">
        <v>240.0</v>
      </c>
      <c r="H236" s="19">
        <v>8207.0</v>
      </c>
      <c r="I236" s="19" t="s">
        <v>38</v>
      </c>
      <c r="J236" s="19" t="s">
        <v>43</v>
      </c>
      <c r="K236" s="19" t="s">
        <v>2749</v>
      </c>
      <c r="L236" s="19" t="s">
        <v>2764</v>
      </c>
      <c r="M236" s="19" t="s">
        <v>2756</v>
      </c>
    </row>
    <row r="237" ht="56.25" customHeight="1">
      <c r="A237" s="13" t="s">
        <v>3287</v>
      </c>
      <c r="B237" s="60" t="str">
        <f>image("https://i.imgur.com/r6KjS7m.png",1)</f>
        <v/>
      </c>
      <c r="C237" s="17" t="str">
        <f>HYPERLINK("https://imgur.com/a/Vomadhq","Yes")</f>
        <v>Yes</v>
      </c>
      <c r="D237" s="25" t="s">
        <v>28</v>
      </c>
      <c r="E237" s="15" t="s">
        <v>50</v>
      </c>
      <c r="F237" s="15">
        <v>640.0</v>
      </c>
      <c r="G237" s="13">
        <v>160.0</v>
      </c>
      <c r="H237" s="19">
        <v>4673.0</v>
      </c>
      <c r="I237" s="19" t="s">
        <v>38</v>
      </c>
      <c r="J237" s="19" t="s">
        <v>43</v>
      </c>
      <c r="K237" s="19" t="s">
        <v>2749</v>
      </c>
      <c r="L237" s="19" t="s">
        <v>2764</v>
      </c>
      <c r="M237" s="19" t="s">
        <v>2744</v>
      </c>
    </row>
    <row r="238" ht="56.25" customHeight="1">
      <c r="A238" s="13" t="s">
        <v>3289</v>
      </c>
      <c r="B238" s="60" t="str">
        <f>image("https://i.imgur.com/FsnyXvf.png",1)</f>
        <v/>
      </c>
      <c r="C238" s="17" t="str">
        <f>HYPERLINK("https://imgur.com/a/86vl7vv","Yes")</f>
        <v>Yes</v>
      </c>
      <c r="D238" s="25" t="s">
        <v>28</v>
      </c>
      <c r="E238" s="15" t="s">
        <v>50</v>
      </c>
      <c r="F238" s="15">
        <v>800.0</v>
      </c>
      <c r="G238" s="13">
        <v>200.0</v>
      </c>
      <c r="H238" s="19">
        <v>5841.0</v>
      </c>
      <c r="I238" s="19" t="s">
        <v>38</v>
      </c>
      <c r="J238" s="19" t="s">
        <v>43</v>
      </c>
      <c r="K238" s="19" t="s">
        <v>2749</v>
      </c>
      <c r="L238" s="19" t="s">
        <v>2751</v>
      </c>
      <c r="M238" s="19" t="s">
        <v>2744</v>
      </c>
    </row>
    <row r="239" ht="56.25" customHeight="1">
      <c r="A239" s="13" t="s">
        <v>3290</v>
      </c>
      <c r="B239" s="60" t="str">
        <f>image("https://i.imgur.com/VhBr9YL.png",1)</f>
        <v/>
      </c>
      <c r="C239" s="15" t="s">
        <v>40</v>
      </c>
      <c r="D239" s="25" t="s">
        <v>28</v>
      </c>
      <c r="E239" s="15" t="s">
        <v>50</v>
      </c>
      <c r="F239" s="15">
        <v>800.0</v>
      </c>
      <c r="G239" s="13">
        <v>200.0</v>
      </c>
      <c r="H239" s="19">
        <v>9535.0</v>
      </c>
      <c r="I239" s="19" t="s">
        <v>38</v>
      </c>
      <c r="J239" s="19" t="s">
        <v>43</v>
      </c>
      <c r="K239" s="19" t="s">
        <v>2743</v>
      </c>
      <c r="L239" s="19"/>
      <c r="M239" s="19" t="s">
        <v>2793</v>
      </c>
    </row>
    <row r="240" ht="56.25" customHeight="1">
      <c r="A240" s="13" t="s">
        <v>3291</v>
      </c>
      <c r="B240" s="60" t="str">
        <f>image("https://i.imgur.com/CR9bGgf.png",1)</f>
        <v/>
      </c>
      <c r="C240" s="17" t="str">
        <f>HYPERLINK("https://imgur.com/a/uctE8KD","Yes")</f>
        <v>Yes</v>
      </c>
      <c r="D240" s="25" t="s">
        <v>28</v>
      </c>
      <c r="E240" s="15" t="s">
        <v>50</v>
      </c>
      <c r="F240" s="15">
        <v>960.0</v>
      </c>
      <c r="G240" s="13">
        <v>240.0</v>
      </c>
      <c r="H240" s="19">
        <v>2655.0</v>
      </c>
      <c r="I240" s="19" t="s">
        <v>38</v>
      </c>
      <c r="J240" s="19" t="s">
        <v>43</v>
      </c>
      <c r="K240" s="19" t="s">
        <v>2749</v>
      </c>
      <c r="L240" s="19" t="s">
        <v>2764</v>
      </c>
      <c r="M240" s="19" t="s">
        <v>2744</v>
      </c>
    </row>
    <row r="241" ht="56.25" customHeight="1">
      <c r="A241" s="13" t="s">
        <v>3294</v>
      </c>
      <c r="B241" s="60" t="str">
        <f>image("https://i.imgur.com/k3zThsd.png",1)</f>
        <v/>
      </c>
      <c r="C241" s="17" t="str">
        <f>HYPERLINK("https://imgur.com/a/pEoG9od","Yes")</f>
        <v>Yes</v>
      </c>
      <c r="D241" s="25" t="s">
        <v>28</v>
      </c>
      <c r="E241" s="15" t="s">
        <v>50</v>
      </c>
      <c r="F241" s="15">
        <v>800.0</v>
      </c>
      <c r="G241" s="13">
        <v>200.0</v>
      </c>
      <c r="H241" s="19">
        <v>3383.0</v>
      </c>
      <c r="I241" s="19" t="s">
        <v>38</v>
      </c>
      <c r="J241" s="19" t="s">
        <v>43</v>
      </c>
      <c r="K241" s="19" t="s">
        <v>2749</v>
      </c>
      <c r="L241" s="19" t="s">
        <v>2764</v>
      </c>
      <c r="M241" s="19" t="s">
        <v>2744</v>
      </c>
    </row>
    <row r="242" ht="56.25" customHeight="1">
      <c r="A242" s="13" t="s">
        <v>3295</v>
      </c>
      <c r="B242" s="60" t="str">
        <f>image("https://i.imgur.com/Qi4DnK8.png",1)</f>
        <v/>
      </c>
      <c r="C242" s="17" t="str">
        <f>HYPERLINK("https://imgur.com/a/ijlA8YZ","Yes")</f>
        <v>Yes</v>
      </c>
      <c r="D242" s="25" t="s">
        <v>28</v>
      </c>
      <c r="E242" s="15" t="s">
        <v>50</v>
      </c>
      <c r="F242" s="15">
        <v>800.0</v>
      </c>
      <c r="G242" s="13">
        <v>200.0</v>
      </c>
      <c r="H242" s="19">
        <v>4275.0</v>
      </c>
      <c r="I242" s="19" t="s">
        <v>38</v>
      </c>
      <c r="J242" s="19" t="s">
        <v>43</v>
      </c>
      <c r="K242" s="19" t="s">
        <v>2749</v>
      </c>
      <c r="L242" s="19" t="s">
        <v>2764</v>
      </c>
      <c r="M242" s="19" t="s">
        <v>2744</v>
      </c>
    </row>
    <row r="243" ht="56.25" customHeight="1">
      <c r="A243" s="13" t="s">
        <v>3296</v>
      </c>
      <c r="B243" s="60" t="str">
        <f>image("https://i.imgur.com/AFMpVTo.png",1)</f>
        <v/>
      </c>
      <c r="C243" s="17" t="str">
        <f>HYPERLINK("https://imgur.com/a/4pCpYVq","Yes")</f>
        <v>Yes</v>
      </c>
      <c r="D243" s="25" t="s">
        <v>28</v>
      </c>
      <c r="E243" s="15" t="s">
        <v>50</v>
      </c>
      <c r="F243" s="15">
        <v>1800.0</v>
      </c>
      <c r="G243" s="13">
        <v>450.0</v>
      </c>
      <c r="H243" s="19">
        <v>3268.0</v>
      </c>
      <c r="I243" s="19" t="s">
        <v>38</v>
      </c>
      <c r="J243" s="19" t="s">
        <v>43</v>
      </c>
      <c r="K243" s="19" t="s">
        <v>2749</v>
      </c>
      <c r="L243" s="19" t="s">
        <v>2751</v>
      </c>
      <c r="M243" s="19" t="s">
        <v>2744</v>
      </c>
    </row>
    <row r="244" ht="56.25" customHeight="1">
      <c r="A244" s="13" t="s">
        <v>3298</v>
      </c>
      <c r="B244" s="60" t="str">
        <f>image("https://i.imgur.com/Sg9PD4G.png",1)</f>
        <v/>
      </c>
      <c r="C244" s="17" t="str">
        <f>HYPERLINK("https://imgur.com/a/kIKQhLA","Yes")</f>
        <v>Yes</v>
      </c>
      <c r="D244" s="25" t="s">
        <v>28</v>
      </c>
      <c r="E244" s="15" t="s">
        <v>50</v>
      </c>
      <c r="F244" s="15">
        <v>960.0</v>
      </c>
      <c r="G244" s="13">
        <v>240.0</v>
      </c>
      <c r="H244" s="19">
        <v>3328.0</v>
      </c>
      <c r="I244" s="19" t="s">
        <v>38</v>
      </c>
      <c r="J244" s="19" t="s">
        <v>43</v>
      </c>
      <c r="K244" s="19" t="s">
        <v>2749</v>
      </c>
      <c r="L244" s="19" t="s">
        <v>2764</v>
      </c>
      <c r="M244" s="19" t="s">
        <v>2863</v>
      </c>
    </row>
    <row r="245" ht="56.25" customHeight="1">
      <c r="A245" s="13" t="s">
        <v>3301</v>
      </c>
      <c r="B245" s="60" t="str">
        <f>image("https://i.imgur.com/P569uTg.png",1)</f>
        <v/>
      </c>
      <c r="C245" s="17" t="str">
        <f>HYPERLINK("https://imgur.com/a/Xno6JA0","Yes")</f>
        <v>Yes</v>
      </c>
      <c r="D245" s="25" t="s">
        <v>28</v>
      </c>
      <c r="E245" s="15" t="s">
        <v>50</v>
      </c>
      <c r="F245" s="15">
        <v>1400.0</v>
      </c>
      <c r="G245" s="13">
        <v>350.0</v>
      </c>
      <c r="H245" s="19">
        <v>3489.0</v>
      </c>
      <c r="I245" s="19" t="s">
        <v>38</v>
      </c>
      <c r="J245" s="19" t="s">
        <v>43</v>
      </c>
      <c r="K245" s="19" t="s">
        <v>2749</v>
      </c>
      <c r="L245" s="19" t="s">
        <v>2764</v>
      </c>
      <c r="M245" s="19" t="s">
        <v>2744</v>
      </c>
    </row>
    <row r="246" ht="56.25" customHeight="1">
      <c r="A246" s="13" t="s">
        <v>3302</v>
      </c>
      <c r="B246" s="60" t="str">
        <f>image("https://i.imgur.com/pkhNM2C.png",1)</f>
        <v/>
      </c>
      <c r="C246" s="17" t="str">
        <f>HYPERLINK("https://imgur.com/a/N909JKU","Yes")</f>
        <v>Yes</v>
      </c>
      <c r="D246" s="25" t="s">
        <v>28</v>
      </c>
      <c r="E246" s="15" t="s">
        <v>50</v>
      </c>
      <c r="F246" s="15">
        <v>700.0</v>
      </c>
      <c r="G246" s="13">
        <v>175.0</v>
      </c>
      <c r="H246" s="19">
        <v>3671.0</v>
      </c>
      <c r="I246" s="19" t="s">
        <v>38</v>
      </c>
      <c r="J246" s="19" t="s">
        <v>43</v>
      </c>
      <c r="K246" s="19" t="s">
        <v>2749</v>
      </c>
      <c r="L246" s="19" t="s">
        <v>2764</v>
      </c>
      <c r="M246" s="19" t="s">
        <v>2744</v>
      </c>
    </row>
    <row r="247" ht="56.25" customHeight="1">
      <c r="A247" s="13" t="s">
        <v>3304</v>
      </c>
      <c r="B247" s="60" t="str">
        <f>image("https://i.imgur.com/eesV98d.png",1)</f>
        <v/>
      </c>
      <c r="C247" s="17" t="str">
        <f>HYPERLINK("https://imgur.com/a/cYWrHzC","Yes")</f>
        <v>Yes</v>
      </c>
      <c r="D247" s="25" t="s">
        <v>28</v>
      </c>
      <c r="E247" s="15" t="s">
        <v>50</v>
      </c>
      <c r="F247" s="15">
        <v>1200.0</v>
      </c>
      <c r="G247" s="13">
        <v>300.0</v>
      </c>
      <c r="H247" s="19">
        <v>4578.0</v>
      </c>
      <c r="I247" s="19" t="s">
        <v>38</v>
      </c>
      <c r="J247" s="19" t="s">
        <v>43</v>
      </c>
      <c r="K247" s="19" t="s">
        <v>2749</v>
      </c>
      <c r="L247" s="19" t="s">
        <v>2764</v>
      </c>
      <c r="M247" s="19" t="s">
        <v>2863</v>
      </c>
    </row>
    <row r="248" ht="56.25" customHeight="1">
      <c r="A248" s="13" t="s">
        <v>3305</v>
      </c>
      <c r="B248" s="60" t="str">
        <f>image("https://i.imgur.com/ho9QL6d.png",1)</f>
        <v/>
      </c>
      <c r="C248" s="17" t="str">
        <f>HYPERLINK("https://imgur.com/a/Ogtroty","Yes")</f>
        <v>Yes</v>
      </c>
      <c r="D248" s="25" t="s">
        <v>28</v>
      </c>
      <c r="E248" s="15" t="s">
        <v>50</v>
      </c>
      <c r="F248" s="15">
        <v>2500.0</v>
      </c>
      <c r="G248" s="13">
        <v>625.0</v>
      </c>
      <c r="H248" s="19">
        <v>4440.0</v>
      </c>
      <c r="I248" s="19" t="s">
        <v>38</v>
      </c>
      <c r="J248" s="19" t="s">
        <v>43</v>
      </c>
      <c r="K248" s="19" t="s">
        <v>2749</v>
      </c>
      <c r="L248" s="19" t="s">
        <v>2751</v>
      </c>
      <c r="M248" s="19" t="s">
        <v>2863</v>
      </c>
    </row>
    <row r="249" ht="56.25" customHeight="1">
      <c r="A249" s="13" t="s">
        <v>3308</v>
      </c>
      <c r="B249" s="60" t="str">
        <f>image("https://i.imgur.com/jNP0j0G.png",1)</f>
        <v/>
      </c>
      <c r="C249" s="17" t="str">
        <f>HYPERLINK("https://imgur.com/a/AnFyRME","Yes")</f>
        <v>Yes</v>
      </c>
      <c r="D249" s="25" t="s">
        <v>28</v>
      </c>
      <c r="E249" s="15" t="s">
        <v>50</v>
      </c>
      <c r="F249" s="15">
        <v>1400.0</v>
      </c>
      <c r="G249" s="13">
        <v>350.0</v>
      </c>
      <c r="H249" s="19">
        <v>3474.0</v>
      </c>
      <c r="I249" s="19" t="s">
        <v>38</v>
      </c>
      <c r="J249" s="19" t="s">
        <v>43</v>
      </c>
      <c r="K249" s="19" t="s">
        <v>2749</v>
      </c>
      <c r="L249" s="19" t="s">
        <v>2764</v>
      </c>
      <c r="M249" s="19" t="s">
        <v>2744</v>
      </c>
    </row>
    <row r="250" ht="56.25" customHeight="1">
      <c r="A250" s="13" t="s">
        <v>3309</v>
      </c>
      <c r="B250" s="60" t="str">
        <f>image("https://i.imgur.com/DlQ53rN.png",1)</f>
        <v/>
      </c>
      <c r="C250" s="17" t="str">
        <f>HYPERLINK("https://imgur.com/a/SxM3PGN","Yes")</f>
        <v>Yes</v>
      </c>
      <c r="D250" s="25" t="s">
        <v>28</v>
      </c>
      <c r="E250" s="15" t="s">
        <v>50</v>
      </c>
      <c r="F250" s="15">
        <v>350.0</v>
      </c>
      <c r="G250" s="13">
        <v>87.0</v>
      </c>
      <c r="H250" s="19">
        <v>3192.0</v>
      </c>
      <c r="I250" s="19" t="s">
        <v>38</v>
      </c>
      <c r="J250" s="19" t="s">
        <v>43</v>
      </c>
      <c r="K250" s="19" t="s">
        <v>2749</v>
      </c>
      <c r="L250" s="19" t="s">
        <v>2764</v>
      </c>
      <c r="M250" s="19" t="s">
        <v>2744</v>
      </c>
    </row>
    <row r="251" ht="56.25" customHeight="1">
      <c r="A251" s="13" t="s">
        <v>3311</v>
      </c>
      <c r="B251" s="60" t="str">
        <f>image("https://i.imgur.com/4Fgsa8q.png",1)</f>
        <v/>
      </c>
      <c r="C251" s="17" t="str">
        <f>HYPERLINK("https://imgur.com/a/dMVeeTh","Yes")</f>
        <v>Yes</v>
      </c>
      <c r="D251" s="25" t="s">
        <v>28</v>
      </c>
      <c r="E251" s="15" t="s">
        <v>50</v>
      </c>
      <c r="F251" s="15">
        <v>1400.0</v>
      </c>
      <c r="G251" s="13">
        <v>350.0</v>
      </c>
      <c r="H251" s="19">
        <v>4423.0</v>
      </c>
      <c r="I251" s="19" t="s">
        <v>38</v>
      </c>
      <c r="J251" s="19" t="s">
        <v>43</v>
      </c>
      <c r="K251" s="19" t="s">
        <v>2749</v>
      </c>
      <c r="L251" s="19" t="s">
        <v>2764</v>
      </c>
      <c r="M251" s="19" t="s">
        <v>2744</v>
      </c>
    </row>
    <row r="252" ht="56.25" customHeight="1">
      <c r="A252" s="13" t="s">
        <v>3312</v>
      </c>
      <c r="B252" s="60" t="str">
        <f>image("https://i.imgur.com/uWemSlt.png",1)</f>
        <v/>
      </c>
      <c r="C252" s="17" t="str">
        <f>HYPERLINK("https://imgur.com/a/3BE5TH2","Yes")</f>
        <v>Yes</v>
      </c>
      <c r="D252" s="25" t="s">
        <v>28</v>
      </c>
      <c r="E252" s="15" t="s">
        <v>50</v>
      </c>
      <c r="F252" s="15">
        <v>1440.0</v>
      </c>
      <c r="G252" s="13">
        <v>360.0</v>
      </c>
      <c r="H252" s="19">
        <v>3599.0</v>
      </c>
      <c r="I252" s="19" t="s">
        <v>38</v>
      </c>
      <c r="J252" s="19" t="s">
        <v>43</v>
      </c>
      <c r="K252" s="19" t="s">
        <v>2749</v>
      </c>
      <c r="L252" s="19" t="s">
        <v>2751</v>
      </c>
      <c r="M252" s="19" t="s">
        <v>2744</v>
      </c>
    </row>
    <row r="253" ht="56.25" customHeight="1">
      <c r="A253" s="13" t="s">
        <v>3313</v>
      </c>
      <c r="B253" s="60" t="str">
        <f>image("https://i.imgur.com/lNysynQ.png",1)</f>
        <v/>
      </c>
      <c r="C253" s="17" t="str">
        <f>HYPERLINK("https://imgur.com/a/Hq6S8wA","Yes")</f>
        <v>Yes</v>
      </c>
      <c r="D253" s="25" t="s">
        <v>28</v>
      </c>
      <c r="E253" s="15" t="s">
        <v>50</v>
      </c>
      <c r="F253" s="15">
        <v>1440.0</v>
      </c>
      <c r="G253" s="13">
        <v>360.0</v>
      </c>
      <c r="H253" s="19">
        <v>11095.0</v>
      </c>
      <c r="I253" s="19" t="s">
        <v>38</v>
      </c>
      <c r="J253" s="19" t="s">
        <v>43</v>
      </c>
      <c r="K253" s="19" t="s">
        <v>2749</v>
      </c>
      <c r="L253" s="19" t="s">
        <v>2764</v>
      </c>
      <c r="M253" s="19" t="s">
        <v>384</v>
      </c>
    </row>
    <row r="254" ht="56.25" customHeight="1">
      <c r="A254" s="13" t="s">
        <v>3316</v>
      </c>
      <c r="B254" s="60" t="str">
        <f>image("https://i.imgur.com/m0R5MGB.png",1)</f>
        <v/>
      </c>
      <c r="C254" s="17" t="str">
        <f>HYPERLINK("https://imgur.com/a/i9FiSFH","Yes")</f>
        <v>Yes</v>
      </c>
      <c r="D254" s="25" t="s">
        <v>28</v>
      </c>
      <c r="E254" s="15" t="s">
        <v>50</v>
      </c>
      <c r="F254" s="15">
        <v>800.0</v>
      </c>
      <c r="G254" s="13">
        <v>200.0</v>
      </c>
      <c r="H254" s="19">
        <v>4340.0</v>
      </c>
      <c r="I254" s="19" t="s">
        <v>38</v>
      </c>
      <c r="J254" s="19" t="s">
        <v>43</v>
      </c>
      <c r="K254" s="19" t="s">
        <v>2749</v>
      </c>
      <c r="L254" s="19" t="s">
        <v>2764</v>
      </c>
      <c r="M254" s="19" t="s">
        <v>2756</v>
      </c>
    </row>
    <row r="255" ht="56.25" customHeight="1">
      <c r="A255" s="13" t="s">
        <v>3317</v>
      </c>
      <c r="B255" s="60" t="str">
        <f>image("https://i.imgur.com/sZBeSbr.png",1)</f>
        <v/>
      </c>
      <c r="C255" s="17" t="str">
        <f>HYPERLINK("https://imgur.com/a/yYi2jfI","Yes")</f>
        <v>Yes</v>
      </c>
      <c r="D255" s="25" t="s">
        <v>28</v>
      </c>
      <c r="E255" s="15" t="s">
        <v>50</v>
      </c>
      <c r="F255" s="15">
        <v>1120.0</v>
      </c>
      <c r="G255" s="13">
        <v>280.0</v>
      </c>
      <c r="H255" s="19">
        <v>3666.0</v>
      </c>
      <c r="I255" s="19" t="s">
        <v>38</v>
      </c>
      <c r="J255" s="19" t="s">
        <v>43</v>
      </c>
      <c r="K255" s="19" t="s">
        <v>2749</v>
      </c>
      <c r="L255" s="19" t="s">
        <v>2764</v>
      </c>
      <c r="M255" s="19" t="s">
        <v>2793</v>
      </c>
    </row>
    <row r="256" ht="56.25" customHeight="1">
      <c r="A256" s="13" t="s">
        <v>3319</v>
      </c>
      <c r="B256" s="60" t="str">
        <f>image("https://i.imgur.com/8LvbNId.png",1)</f>
        <v/>
      </c>
      <c r="C256" s="15" t="s">
        <v>40</v>
      </c>
      <c r="D256" s="25" t="s">
        <v>28</v>
      </c>
      <c r="E256" s="15" t="s">
        <v>50</v>
      </c>
      <c r="F256" s="15">
        <v>2600.0</v>
      </c>
      <c r="G256" s="13">
        <v>650.0</v>
      </c>
      <c r="H256" s="19">
        <v>5134.0</v>
      </c>
      <c r="I256" s="19" t="s">
        <v>38</v>
      </c>
      <c r="J256" s="19" t="s">
        <v>43</v>
      </c>
      <c r="K256" s="19" t="s">
        <v>2749</v>
      </c>
      <c r="L256" s="19" t="s">
        <v>2751</v>
      </c>
      <c r="M256" s="19" t="s">
        <v>2756</v>
      </c>
    </row>
    <row r="257" ht="56.25" customHeight="1">
      <c r="A257" s="13" t="s">
        <v>3320</v>
      </c>
      <c r="B257" s="60" t="str">
        <f>image("https://i.imgur.com/fdsek7k.png",1)</f>
        <v/>
      </c>
      <c r="C257" s="17" t="str">
        <f>HYPERLINK("https://imgur.com/a/kFNLipN","Yes")</f>
        <v>Yes</v>
      </c>
      <c r="D257" s="25" t="s">
        <v>28</v>
      </c>
      <c r="E257" s="15" t="s">
        <v>50</v>
      </c>
      <c r="F257" s="15">
        <v>980.0</v>
      </c>
      <c r="G257" s="13">
        <v>245.0</v>
      </c>
      <c r="H257" s="19">
        <v>5126.0</v>
      </c>
      <c r="I257" s="19" t="s">
        <v>38</v>
      </c>
      <c r="J257" s="19" t="s">
        <v>43</v>
      </c>
      <c r="K257" s="19" t="s">
        <v>2749</v>
      </c>
      <c r="L257" s="19" t="s">
        <v>2764</v>
      </c>
      <c r="M257" s="19" t="s">
        <v>2756</v>
      </c>
    </row>
    <row r="258" ht="56.25" customHeight="1">
      <c r="A258" s="13" t="s">
        <v>3322</v>
      </c>
      <c r="B258" s="60" t="str">
        <f>image("https://i.imgur.com/7leUlNx.png",1)</f>
        <v/>
      </c>
      <c r="C258" s="15" t="s">
        <v>40</v>
      </c>
      <c r="D258" s="25" t="s">
        <v>28</v>
      </c>
      <c r="E258" s="15" t="s">
        <v>50</v>
      </c>
      <c r="F258" s="15">
        <v>560.0</v>
      </c>
      <c r="G258" s="13">
        <v>140.0</v>
      </c>
      <c r="H258" s="19">
        <v>2498.0</v>
      </c>
      <c r="I258" s="19" t="s">
        <v>38</v>
      </c>
      <c r="J258" s="19" t="s">
        <v>43</v>
      </c>
      <c r="K258" s="19" t="s">
        <v>2743</v>
      </c>
      <c r="L258" s="19"/>
      <c r="M258" s="19" t="s">
        <v>2793</v>
      </c>
    </row>
    <row r="259" ht="56.25" customHeight="1">
      <c r="A259" s="13" t="s">
        <v>3324</v>
      </c>
      <c r="B259" s="60" t="str">
        <f>image("https://i.imgur.com/0QeyoqG.png",1)</f>
        <v/>
      </c>
      <c r="C259" s="15" t="s">
        <v>40</v>
      </c>
      <c r="D259" s="25" t="s">
        <v>28</v>
      </c>
      <c r="E259" s="15" t="s">
        <v>50</v>
      </c>
      <c r="F259" s="15">
        <v>800.0</v>
      </c>
      <c r="G259" s="13">
        <v>200.0</v>
      </c>
      <c r="H259" s="19">
        <v>4211.0</v>
      </c>
      <c r="I259" s="19" t="s">
        <v>38</v>
      </c>
      <c r="J259" s="19" t="s">
        <v>43</v>
      </c>
      <c r="K259" s="19" t="s">
        <v>2743</v>
      </c>
      <c r="L259" s="19"/>
      <c r="M259" s="19" t="s">
        <v>2793</v>
      </c>
    </row>
    <row r="260" ht="56.25" customHeight="1">
      <c r="A260" s="13" t="s">
        <v>3325</v>
      </c>
      <c r="B260" s="60" t="str">
        <f>image("https://i.imgur.com/WcBWpd6.png",1)</f>
        <v/>
      </c>
      <c r="C260" s="15" t="s">
        <v>40</v>
      </c>
      <c r="D260" s="25" t="s">
        <v>28</v>
      </c>
      <c r="E260" s="15" t="s">
        <v>50</v>
      </c>
      <c r="F260" s="15">
        <v>1750.0</v>
      </c>
      <c r="G260" s="13">
        <v>437.0</v>
      </c>
      <c r="H260" s="19">
        <v>3253.0</v>
      </c>
      <c r="I260" s="19" t="s">
        <v>38</v>
      </c>
      <c r="J260" s="19" t="s">
        <v>43</v>
      </c>
      <c r="K260" s="19" t="s">
        <v>2749</v>
      </c>
      <c r="L260" s="19" t="s">
        <v>2751</v>
      </c>
      <c r="M260" s="19" t="s">
        <v>2793</v>
      </c>
    </row>
    <row r="261" ht="56.25" customHeight="1">
      <c r="A261" s="13" t="s">
        <v>3326</v>
      </c>
      <c r="B261" s="60" t="str">
        <f>image("https://i.imgur.com/njz5V0m.png",1)</f>
        <v/>
      </c>
      <c r="C261" s="17" t="str">
        <f>HYPERLINK("https://imgur.com/a/4a1zON4","Yes")</f>
        <v>Yes</v>
      </c>
      <c r="D261" s="25" t="s">
        <v>28</v>
      </c>
      <c r="E261" s="15" t="s">
        <v>50</v>
      </c>
      <c r="F261" s="15">
        <v>800.0</v>
      </c>
      <c r="G261" s="13">
        <v>200.0</v>
      </c>
      <c r="H261" s="19">
        <v>4302.0</v>
      </c>
      <c r="I261" s="19" t="s">
        <v>38</v>
      </c>
      <c r="J261" s="19" t="s">
        <v>43</v>
      </c>
      <c r="K261" s="19" t="s">
        <v>2749</v>
      </c>
      <c r="L261" s="19" t="s">
        <v>2764</v>
      </c>
      <c r="M261" s="19" t="s">
        <v>2744</v>
      </c>
    </row>
    <row r="262" ht="56.25" customHeight="1">
      <c r="A262" s="13" t="s">
        <v>3327</v>
      </c>
      <c r="B262" s="60" t="str">
        <f>image("https://i.imgur.com/DANobcl.png",1)</f>
        <v/>
      </c>
      <c r="C262" s="17" t="str">
        <f>HYPERLINK("https://imgur.com/a/UjzyfMJ","Yes")</f>
        <v>Yes</v>
      </c>
      <c r="D262" s="25" t="s">
        <v>28</v>
      </c>
      <c r="E262" s="15" t="s">
        <v>50</v>
      </c>
      <c r="F262" s="15">
        <v>2000.0</v>
      </c>
      <c r="G262" s="13">
        <v>500.0</v>
      </c>
      <c r="H262" s="19">
        <v>4574.0</v>
      </c>
      <c r="I262" s="19" t="s">
        <v>38</v>
      </c>
      <c r="J262" s="19" t="s">
        <v>43</v>
      </c>
      <c r="K262" s="19" t="s">
        <v>2749</v>
      </c>
      <c r="L262" s="19" t="s">
        <v>2764</v>
      </c>
      <c r="M262" s="19" t="s">
        <v>2744</v>
      </c>
    </row>
    <row r="263" ht="56.25" customHeight="1">
      <c r="A263" s="13" t="s">
        <v>3330</v>
      </c>
      <c r="B263" s="60" t="str">
        <f>image("https://i.imgur.com/eB3OSZ2.png",1)</f>
        <v/>
      </c>
      <c r="C263" s="17" t="str">
        <f>HYPERLINK("https://imgur.com/a/kqa9nWx","Yes")</f>
        <v>Yes</v>
      </c>
      <c r="D263" s="25" t="s">
        <v>28</v>
      </c>
      <c r="E263" s="15" t="s">
        <v>50</v>
      </c>
      <c r="F263" s="15">
        <v>910.0</v>
      </c>
      <c r="G263" s="13">
        <v>227.0</v>
      </c>
      <c r="H263" s="19">
        <v>3334.0</v>
      </c>
      <c r="I263" s="19" t="s">
        <v>38</v>
      </c>
      <c r="J263" s="19" t="s">
        <v>43</v>
      </c>
      <c r="K263" s="19" t="s">
        <v>2749</v>
      </c>
      <c r="L263" s="19" t="s">
        <v>2764</v>
      </c>
      <c r="M263" s="19" t="s">
        <v>2793</v>
      </c>
    </row>
    <row r="264" ht="56.25" customHeight="1">
      <c r="A264" s="13" t="s">
        <v>3331</v>
      </c>
      <c r="B264" s="60" t="str">
        <f>image("https://i.imgur.com/MACbhLC.png",1)</f>
        <v/>
      </c>
      <c r="C264" s="15" t="s">
        <v>40</v>
      </c>
      <c r="D264" s="25" t="s">
        <v>50</v>
      </c>
      <c r="E264" s="25" t="s">
        <v>28</v>
      </c>
      <c r="F264" s="25" t="s">
        <v>51</v>
      </c>
      <c r="G264" s="13">
        <v>160.0</v>
      </c>
      <c r="H264" s="19">
        <v>5291.0</v>
      </c>
      <c r="I264" s="19" t="s">
        <v>38</v>
      </c>
      <c r="J264" s="19" t="s">
        <v>54</v>
      </c>
      <c r="K264" s="19" t="s">
        <v>55</v>
      </c>
      <c r="L264" s="19"/>
      <c r="M264" s="19" t="s">
        <v>2744</v>
      </c>
    </row>
    <row r="265" ht="56.25" customHeight="1">
      <c r="A265" s="13" t="s">
        <v>3332</v>
      </c>
      <c r="B265" s="60" t="str">
        <f>image("https://i.imgur.com/4q4XYvb.png",1)</f>
        <v/>
      </c>
      <c r="C265" s="15" t="s">
        <v>40</v>
      </c>
      <c r="D265" s="25" t="s">
        <v>28</v>
      </c>
      <c r="E265" s="15" t="s">
        <v>50</v>
      </c>
      <c r="F265" s="15">
        <v>880.0</v>
      </c>
      <c r="G265" s="13">
        <v>220.0</v>
      </c>
      <c r="H265" s="19">
        <v>8194.0</v>
      </c>
      <c r="I265" s="19" t="s">
        <v>38</v>
      </c>
      <c r="J265" s="19" t="s">
        <v>43</v>
      </c>
      <c r="K265" s="19" t="s">
        <v>2743</v>
      </c>
      <c r="L265" s="19"/>
      <c r="M265" s="19" t="s">
        <v>2744</v>
      </c>
    </row>
    <row r="266" ht="56.25" customHeight="1">
      <c r="A266" s="13" t="s">
        <v>3333</v>
      </c>
      <c r="B266" s="60" t="str">
        <f>image("https://i.imgur.com/eKLdR8D.png",1)</f>
        <v/>
      </c>
      <c r="C266" s="17" t="str">
        <f>HYPERLINK("https://imgur.com/a/DXNHP8i","Yes")</f>
        <v>Yes</v>
      </c>
      <c r="D266" s="25" t="s">
        <v>28</v>
      </c>
      <c r="E266" s="15" t="s">
        <v>50</v>
      </c>
      <c r="F266" s="15">
        <v>1680.0</v>
      </c>
      <c r="G266" s="13">
        <v>420.0</v>
      </c>
      <c r="H266" s="19">
        <v>2402.0</v>
      </c>
      <c r="I266" s="19" t="s">
        <v>38</v>
      </c>
      <c r="J266" s="19" t="s">
        <v>43</v>
      </c>
      <c r="K266" s="19" t="s">
        <v>2749</v>
      </c>
      <c r="L266" s="19" t="s">
        <v>2764</v>
      </c>
      <c r="M266" s="19" t="s">
        <v>2863</v>
      </c>
    </row>
    <row r="267" ht="56.25" customHeight="1">
      <c r="A267" s="13" t="s">
        <v>3334</v>
      </c>
      <c r="B267" s="60" t="str">
        <f>image("https://i.imgur.com/i64NBiC.png",1)</f>
        <v/>
      </c>
      <c r="C267" s="17" t="str">
        <f>HYPERLINK("https://imgur.com/a/eoSqh7z","Yes")</f>
        <v>Yes</v>
      </c>
      <c r="D267" s="25" t="s">
        <v>28</v>
      </c>
      <c r="E267" s="15" t="s">
        <v>50</v>
      </c>
      <c r="F267" s="15">
        <v>640.0</v>
      </c>
      <c r="G267" s="13">
        <v>160.0</v>
      </c>
      <c r="H267" s="19">
        <v>4253.0</v>
      </c>
      <c r="I267" s="19" t="s">
        <v>38</v>
      </c>
      <c r="J267" s="19" t="s">
        <v>43</v>
      </c>
      <c r="K267" s="19" t="s">
        <v>2749</v>
      </c>
      <c r="L267" s="19" t="s">
        <v>2764</v>
      </c>
      <c r="M267" s="19" t="s">
        <v>384</v>
      </c>
    </row>
    <row r="268" ht="56.25" customHeight="1">
      <c r="A268" s="13" t="s">
        <v>3336</v>
      </c>
      <c r="B268" s="60" t="str">
        <f>image("https://i.imgur.com/PEIaJnW.png",1)</f>
        <v/>
      </c>
      <c r="C268" s="17" t="str">
        <f>HYPERLINK("https://imgur.com/a/OmKcl3T","Yes")</f>
        <v>Yes</v>
      </c>
      <c r="D268" s="25" t="s">
        <v>28</v>
      </c>
      <c r="E268" s="15" t="s">
        <v>50</v>
      </c>
      <c r="F268" s="15">
        <v>800.0</v>
      </c>
      <c r="G268" s="13">
        <v>200.0</v>
      </c>
      <c r="H268" s="19">
        <v>4668.0</v>
      </c>
      <c r="I268" s="19" t="s">
        <v>38</v>
      </c>
      <c r="J268" s="19" t="s">
        <v>43</v>
      </c>
      <c r="K268" s="19" t="s">
        <v>2749</v>
      </c>
      <c r="L268" s="19" t="s">
        <v>2764</v>
      </c>
      <c r="M268" s="19" t="s">
        <v>2744</v>
      </c>
    </row>
    <row r="269" ht="56.25" customHeight="1">
      <c r="A269" s="13" t="s">
        <v>3338</v>
      </c>
      <c r="B269" s="60" t="str">
        <f>image("https://i.imgur.com/hOlpHIF.png",1)</f>
        <v/>
      </c>
      <c r="C269" s="17" t="str">
        <f>HYPERLINK("https://imgur.com/a/pjC7UFA","Yes")</f>
        <v>Yes</v>
      </c>
      <c r="D269" s="25" t="s">
        <v>28</v>
      </c>
      <c r="E269" s="15" t="s">
        <v>50</v>
      </c>
      <c r="F269" s="15">
        <v>2500.0</v>
      </c>
      <c r="G269" s="13">
        <v>625.0</v>
      </c>
      <c r="H269" s="19">
        <v>3388.0</v>
      </c>
      <c r="I269" s="19" t="s">
        <v>38</v>
      </c>
      <c r="J269" s="19" t="s">
        <v>43</v>
      </c>
      <c r="K269" s="19" t="s">
        <v>2749</v>
      </c>
      <c r="L269" s="19" t="s">
        <v>2751</v>
      </c>
      <c r="M269" s="19" t="s">
        <v>2756</v>
      </c>
    </row>
    <row r="270" ht="56.25" customHeight="1">
      <c r="A270" s="13" t="s">
        <v>3339</v>
      </c>
      <c r="B270" s="60" t="str">
        <f>image("https://i.imgur.com/NY0rs0p.png",1)</f>
        <v/>
      </c>
      <c r="C270" s="17" t="str">
        <f>HYPERLINK("https://imgur.com/a/Ivvc6Rs","Yes")</f>
        <v>Yes</v>
      </c>
      <c r="D270" s="25" t="s">
        <v>28</v>
      </c>
      <c r="E270" s="15" t="s">
        <v>50</v>
      </c>
      <c r="F270" s="15">
        <v>1680.0</v>
      </c>
      <c r="G270" s="13">
        <v>420.0</v>
      </c>
      <c r="H270" s="19">
        <v>3706.0</v>
      </c>
      <c r="I270" s="19" t="s">
        <v>38</v>
      </c>
      <c r="J270" s="19" t="s">
        <v>43</v>
      </c>
      <c r="K270" s="19" t="s">
        <v>2749</v>
      </c>
      <c r="L270" s="19" t="s">
        <v>2764</v>
      </c>
      <c r="M270" s="19" t="s">
        <v>2863</v>
      </c>
    </row>
    <row r="271" ht="56.25" customHeight="1">
      <c r="A271" s="13" t="s">
        <v>3341</v>
      </c>
      <c r="B271" s="60" t="str">
        <f>image("https://i.imgur.com/r7o9qWj.png",1)</f>
        <v/>
      </c>
      <c r="C271" s="17" t="str">
        <f>HYPERLINK("https://imgur.com/a/rjKjxGl","Yes")</f>
        <v>Yes</v>
      </c>
      <c r="D271" s="25" t="s">
        <v>28</v>
      </c>
      <c r="E271" s="15" t="s">
        <v>50</v>
      </c>
      <c r="F271" s="15">
        <v>1400.0</v>
      </c>
      <c r="G271" s="13">
        <v>350.0</v>
      </c>
      <c r="H271" s="19">
        <v>4524.0</v>
      </c>
      <c r="I271" s="19" t="s">
        <v>38</v>
      </c>
      <c r="J271" s="19" t="s">
        <v>43</v>
      </c>
      <c r="K271" s="19" t="s">
        <v>2749</v>
      </c>
      <c r="L271" s="19" t="s">
        <v>2764</v>
      </c>
      <c r="M271" s="19" t="s">
        <v>2744</v>
      </c>
    </row>
    <row r="272" ht="56.25" customHeight="1">
      <c r="A272" s="13" t="s">
        <v>3342</v>
      </c>
      <c r="B272" s="60" t="str">
        <f>image("https://i.imgur.com/sSJ2sAV.png",1)</f>
        <v/>
      </c>
      <c r="C272" s="15" t="s">
        <v>40</v>
      </c>
      <c r="D272" s="25" t="s">
        <v>28</v>
      </c>
      <c r="E272" s="15" t="s">
        <v>50</v>
      </c>
      <c r="F272" s="15">
        <v>560.0</v>
      </c>
      <c r="G272" s="13">
        <v>140.0</v>
      </c>
      <c r="H272" s="19">
        <v>2541.0</v>
      </c>
      <c r="I272" s="19" t="s">
        <v>38</v>
      </c>
      <c r="J272" s="19" t="s">
        <v>43</v>
      </c>
      <c r="K272" s="19" t="s">
        <v>2743</v>
      </c>
      <c r="L272" s="19"/>
      <c r="M272" s="19" t="s">
        <v>2793</v>
      </c>
    </row>
    <row r="273" ht="56.25" customHeight="1">
      <c r="A273" s="13" t="s">
        <v>3343</v>
      </c>
      <c r="B273" s="60" t="str">
        <f>image("https://i.imgur.com/3TdrlQW.png",1)</f>
        <v/>
      </c>
      <c r="C273" s="17" t="str">
        <f>HYPERLINK("https://imgur.com/a/Sr51MOi","Yes")</f>
        <v>Yes</v>
      </c>
      <c r="D273" s="25" t="s">
        <v>28</v>
      </c>
      <c r="E273" s="15" t="s">
        <v>50</v>
      </c>
      <c r="F273" s="15">
        <v>840.0</v>
      </c>
      <c r="G273" s="13">
        <v>210.0</v>
      </c>
      <c r="H273" s="19">
        <v>3700.0</v>
      </c>
      <c r="I273" s="19" t="s">
        <v>38</v>
      </c>
      <c r="J273" s="19" t="s">
        <v>43</v>
      </c>
      <c r="K273" s="19" t="s">
        <v>2749</v>
      </c>
      <c r="L273" s="19" t="s">
        <v>2764</v>
      </c>
      <c r="M273" s="19" t="s">
        <v>2744</v>
      </c>
    </row>
    <row r="274" ht="56.25" customHeight="1">
      <c r="A274" s="13" t="s">
        <v>3345</v>
      </c>
      <c r="B274" s="60" t="str">
        <f>image("https://i.imgur.com/myanVwL.png",1)</f>
        <v/>
      </c>
      <c r="C274" s="17" t="str">
        <f>HYPERLINK("https://imgur.com/a/vKR2wD3","Yes")</f>
        <v>Yes</v>
      </c>
      <c r="D274" s="25" t="s">
        <v>28</v>
      </c>
      <c r="E274" s="15" t="s">
        <v>50</v>
      </c>
      <c r="F274" s="15">
        <v>2600.0</v>
      </c>
      <c r="G274" s="13">
        <v>650.0</v>
      </c>
      <c r="H274" s="19">
        <v>4395.0</v>
      </c>
      <c r="I274" s="19" t="s">
        <v>38</v>
      </c>
      <c r="J274" s="19" t="s">
        <v>43</v>
      </c>
      <c r="K274" s="19" t="s">
        <v>2749</v>
      </c>
      <c r="L274" s="19" t="s">
        <v>2751</v>
      </c>
      <c r="M274" s="19" t="s">
        <v>2756</v>
      </c>
    </row>
    <row r="275" ht="56.25" customHeight="1">
      <c r="A275" s="13" t="s">
        <v>3346</v>
      </c>
      <c r="B275" s="60" t="str">
        <f>image("https://i.imgur.com/8Vuu6bd.png",1)</f>
        <v/>
      </c>
      <c r="C275" s="17" t="str">
        <f>HYPERLINK("https://imgur.com/a/g2pzg2D","Yes")</f>
        <v>Yes</v>
      </c>
      <c r="D275" s="25" t="s">
        <v>28</v>
      </c>
      <c r="E275" s="15" t="s">
        <v>50</v>
      </c>
      <c r="F275" s="15">
        <v>960.0</v>
      </c>
      <c r="G275" s="13">
        <v>240.0</v>
      </c>
      <c r="H275" s="19">
        <v>3677.0</v>
      </c>
      <c r="I275" s="19" t="s">
        <v>38</v>
      </c>
      <c r="J275" s="19" t="s">
        <v>43</v>
      </c>
      <c r="K275" s="19" t="s">
        <v>2749</v>
      </c>
      <c r="L275" s="19" t="s">
        <v>2764</v>
      </c>
      <c r="M275" s="19" t="s">
        <v>2744</v>
      </c>
    </row>
    <row r="276" ht="56.25" customHeight="1">
      <c r="A276" s="13" t="s">
        <v>3347</v>
      </c>
      <c r="B276" s="60" t="str">
        <f>image("https://i.imgur.com/ZjN3RqC.png",1)</f>
        <v/>
      </c>
      <c r="C276" s="15" t="s">
        <v>40</v>
      </c>
      <c r="D276" s="25" t="s">
        <v>28</v>
      </c>
      <c r="E276" s="15" t="s">
        <v>50</v>
      </c>
      <c r="F276" s="15">
        <v>1440.0</v>
      </c>
      <c r="G276" s="13">
        <v>360.0</v>
      </c>
      <c r="H276" s="19">
        <v>5433.0</v>
      </c>
      <c r="I276" s="19" t="s">
        <v>38</v>
      </c>
      <c r="J276" s="19" t="s">
        <v>43</v>
      </c>
      <c r="K276" s="19" t="s">
        <v>2743</v>
      </c>
      <c r="L276" s="19"/>
      <c r="M276" s="19" t="s">
        <v>2744</v>
      </c>
    </row>
    <row r="277" ht="56.25" customHeight="1">
      <c r="A277" s="13" t="s">
        <v>3348</v>
      </c>
      <c r="B277" s="60" t="str">
        <f>image("https://i.imgur.com/NsXlYEv.png",1)</f>
        <v/>
      </c>
      <c r="C277" s="17" t="str">
        <f>HYPERLINK("https://imgur.com/a/BHIdJJo","Yes")</f>
        <v>Yes</v>
      </c>
      <c r="D277" s="25" t="s">
        <v>28</v>
      </c>
      <c r="E277" s="15" t="s">
        <v>50</v>
      </c>
      <c r="F277" s="15">
        <v>2500.0</v>
      </c>
      <c r="G277" s="13">
        <v>625.0</v>
      </c>
      <c r="H277" s="19">
        <v>9768.0</v>
      </c>
      <c r="I277" s="19" t="s">
        <v>38</v>
      </c>
      <c r="J277" s="19" t="s">
        <v>43</v>
      </c>
      <c r="K277" s="19" t="s">
        <v>2749</v>
      </c>
      <c r="L277" s="19" t="s">
        <v>2751</v>
      </c>
      <c r="M277" s="19" t="s">
        <v>2756</v>
      </c>
    </row>
    <row r="278" ht="56.25" customHeight="1">
      <c r="A278" s="13" t="s">
        <v>3349</v>
      </c>
      <c r="B278" s="60" t="str">
        <f>image("https://i.imgur.com/Tqr0Dld.png",1)</f>
        <v/>
      </c>
      <c r="C278" s="17" t="str">
        <f>HYPERLINK("https://imgur.com/a/cwiMJhS","Yes")</f>
        <v>Yes</v>
      </c>
      <c r="D278" s="25" t="s">
        <v>28</v>
      </c>
      <c r="E278" s="15" t="s">
        <v>50</v>
      </c>
      <c r="F278" s="15">
        <v>1750.0</v>
      </c>
      <c r="G278" s="13">
        <v>437.0</v>
      </c>
      <c r="H278" s="19">
        <v>3339.0</v>
      </c>
      <c r="I278" s="19" t="s">
        <v>38</v>
      </c>
      <c r="J278" s="19" t="s">
        <v>43</v>
      </c>
      <c r="K278" s="19" t="s">
        <v>2749</v>
      </c>
      <c r="L278" s="19" t="s">
        <v>2751</v>
      </c>
      <c r="M278" s="19" t="s">
        <v>2744</v>
      </c>
    </row>
    <row r="279" ht="56.25" customHeight="1">
      <c r="A279" s="13" t="s">
        <v>3350</v>
      </c>
      <c r="B279" s="60" t="str">
        <f>image("https://i.imgur.com/nhj8Owq.png",1)</f>
        <v/>
      </c>
      <c r="C279" s="17" t="str">
        <f>HYPERLINK("https://imgur.com/a/vMD8BGa","Yes")</f>
        <v>Yes</v>
      </c>
      <c r="D279" s="25" t="s">
        <v>28</v>
      </c>
      <c r="E279" s="15" t="s">
        <v>50</v>
      </c>
      <c r="F279" s="15">
        <v>2100.0</v>
      </c>
      <c r="G279" s="13">
        <v>525.0</v>
      </c>
      <c r="H279" s="19">
        <v>3245.0</v>
      </c>
      <c r="I279" s="19" t="s">
        <v>38</v>
      </c>
      <c r="J279" s="19" t="s">
        <v>43</v>
      </c>
      <c r="K279" s="19" t="s">
        <v>2749</v>
      </c>
      <c r="L279" s="19" t="s">
        <v>2751</v>
      </c>
      <c r="M279" s="19" t="s">
        <v>2793</v>
      </c>
    </row>
    <row r="280" ht="56.25" customHeight="1">
      <c r="A280" s="13" t="s">
        <v>3352</v>
      </c>
      <c r="B280" s="60" t="str">
        <f>image("https://i.imgur.com/2o3Ydcm.png",1)</f>
        <v/>
      </c>
      <c r="C280" s="17" t="str">
        <f>HYPERLINK("https://imgur.com/a/Qu12d24","Yes")</f>
        <v>Yes</v>
      </c>
      <c r="D280" s="25" t="s">
        <v>28</v>
      </c>
      <c r="E280" s="15" t="s">
        <v>50</v>
      </c>
      <c r="F280" s="15">
        <v>1100.0</v>
      </c>
      <c r="G280" s="13">
        <v>275.0</v>
      </c>
      <c r="H280" s="19">
        <v>9830.0</v>
      </c>
      <c r="I280" s="19" t="s">
        <v>38</v>
      </c>
      <c r="J280" s="19" t="s">
        <v>43</v>
      </c>
      <c r="K280" s="19" t="s">
        <v>2749</v>
      </c>
      <c r="L280" s="19" t="s">
        <v>2764</v>
      </c>
      <c r="M280" s="19" t="s">
        <v>2793</v>
      </c>
    </row>
    <row r="281" ht="56.25" customHeight="1">
      <c r="A281" s="13" t="s">
        <v>3354</v>
      </c>
      <c r="B281" s="60" t="str">
        <f>image("https://i.imgur.com/eG3SF3q.png",1)</f>
        <v/>
      </c>
      <c r="C281" s="17" t="str">
        <f>HYPERLINK("https://imgur.com/a/rHEkWPh","Yes")</f>
        <v>Yes</v>
      </c>
      <c r="D281" s="25" t="s">
        <v>28</v>
      </c>
      <c r="E281" s="15" t="s">
        <v>50</v>
      </c>
      <c r="F281" s="15">
        <v>1040.0</v>
      </c>
      <c r="G281" s="13">
        <v>260.0</v>
      </c>
      <c r="H281" s="19">
        <v>3266.0</v>
      </c>
      <c r="I281" s="19" t="s">
        <v>38</v>
      </c>
      <c r="J281" s="19" t="s">
        <v>43</v>
      </c>
      <c r="K281" s="19" t="s">
        <v>2749</v>
      </c>
      <c r="L281" s="19" t="s">
        <v>2751</v>
      </c>
      <c r="M281" s="19" t="s">
        <v>2756</v>
      </c>
    </row>
    <row r="282" ht="56.25" customHeight="1">
      <c r="A282" s="13" t="s">
        <v>3355</v>
      </c>
      <c r="B282" s="60" t="str">
        <f>image("https://i.imgur.com/JNXDOs7.png",1)</f>
        <v/>
      </c>
      <c r="C282" s="17" t="str">
        <f>HYPERLINK("https://imgur.com/a/LACH3zF","Yes")</f>
        <v>Yes</v>
      </c>
      <c r="D282" s="25" t="s">
        <v>28</v>
      </c>
      <c r="E282" s="15" t="s">
        <v>50</v>
      </c>
      <c r="F282" s="15">
        <v>800.0</v>
      </c>
      <c r="G282" s="13">
        <v>200.0</v>
      </c>
      <c r="H282" s="19">
        <v>4765.0</v>
      </c>
      <c r="I282" s="19" t="s">
        <v>38</v>
      </c>
      <c r="J282" s="19" t="s">
        <v>43</v>
      </c>
      <c r="K282" s="19" t="s">
        <v>2749</v>
      </c>
      <c r="L282" s="19" t="s">
        <v>2764</v>
      </c>
      <c r="M282" s="19" t="s">
        <v>2793</v>
      </c>
    </row>
    <row r="283" ht="56.25" customHeight="1">
      <c r="A283" s="13" t="s">
        <v>3356</v>
      </c>
      <c r="B283" s="60" t="str">
        <f>image("https://i.imgur.com/aTyHDJY.png",1)</f>
        <v/>
      </c>
      <c r="C283" s="17" t="str">
        <f>HYPERLINK("https://imgur.com/a/jVjytpD","Yes")</f>
        <v>Yes</v>
      </c>
      <c r="D283" s="25" t="s">
        <v>28</v>
      </c>
      <c r="E283" s="15" t="s">
        <v>50</v>
      </c>
      <c r="F283" s="15">
        <v>560.0</v>
      </c>
      <c r="G283" s="13">
        <v>140.0</v>
      </c>
      <c r="H283" s="19">
        <v>4421.0</v>
      </c>
      <c r="I283" s="19" t="s">
        <v>38</v>
      </c>
      <c r="J283" s="19" t="s">
        <v>43</v>
      </c>
      <c r="K283" s="19" t="s">
        <v>2749</v>
      </c>
      <c r="L283" s="19" t="s">
        <v>2764</v>
      </c>
      <c r="M283" s="19" t="s">
        <v>2793</v>
      </c>
    </row>
    <row r="284" ht="56.25" customHeight="1">
      <c r="A284" s="13" t="s">
        <v>3357</v>
      </c>
      <c r="B284" s="60" t="str">
        <f>image("https://i.imgur.com/dFkgZXf.png",1)</f>
        <v/>
      </c>
      <c r="C284" s="17" t="str">
        <f>HYPERLINK("https://imgur.com/a/qL6yMDS","Yes")</f>
        <v>Yes</v>
      </c>
      <c r="D284" s="25" t="s">
        <v>28</v>
      </c>
      <c r="E284" s="15" t="s">
        <v>50</v>
      </c>
      <c r="F284" s="15">
        <v>1440.0</v>
      </c>
      <c r="G284" s="13">
        <v>360.0</v>
      </c>
      <c r="H284" s="19">
        <v>3632.0</v>
      </c>
      <c r="I284" s="19" t="s">
        <v>38</v>
      </c>
      <c r="J284" s="19" t="s">
        <v>43</v>
      </c>
      <c r="K284" s="19" t="s">
        <v>2749</v>
      </c>
      <c r="L284" s="19" t="s">
        <v>2764</v>
      </c>
      <c r="M284" s="19" t="s">
        <v>2744</v>
      </c>
    </row>
    <row r="285" ht="56.25" customHeight="1">
      <c r="A285" s="13" t="s">
        <v>3358</v>
      </c>
      <c r="B285" s="60" t="str">
        <f>image("https://i.imgur.com/64VoB5T.png",1)</f>
        <v/>
      </c>
      <c r="C285" s="17" t="str">
        <f>HYPERLINK("https://imgur.com/a/vBkZAkO","Yes")</f>
        <v>Yes</v>
      </c>
      <c r="D285" s="25" t="s">
        <v>28</v>
      </c>
      <c r="E285" s="15" t="s">
        <v>50</v>
      </c>
      <c r="F285" s="15">
        <v>1440.0</v>
      </c>
      <c r="G285" s="13">
        <v>360.0</v>
      </c>
      <c r="H285" s="19">
        <v>3630.0</v>
      </c>
      <c r="I285" s="19" t="s">
        <v>38</v>
      </c>
      <c r="J285" s="19" t="s">
        <v>43</v>
      </c>
      <c r="K285" s="19" t="s">
        <v>2749</v>
      </c>
      <c r="L285" s="19" t="s">
        <v>2764</v>
      </c>
      <c r="M285" s="19" t="s">
        <v>2744</v>
      </c>
    </row>
    <row r="286" ht="56.25" customHeight="1">
      <c r="A286" s="13" t="s">
        <v>3360</v>
      </c>
      <c r="B286" s="60" t="str">
        <f>image("https://i.imgur.com/3UepIUE.png",1)</f>
        <v/>
      </c>
      <c r="C286" s="17" t="str">
        <f>HYPERLINK("https://imgur.com/a/d5jy7g9","Yes")</f>
        <v>Yes</v>
      </c>
      <c r="D286" s="25" t="s">
        <v>28</v>
      </c>
      <c r="E286" s="15" t="s">
        <v>50</v>
      </c>
      <c r="F286" s="15">
        <v>1440.0</v>
      </c>
      <c r="G286" s="13">
        <v>360.0</v>
      </c>
      <c r="H286" s="19">
        <v>4198.0</v>
      </c>
      <c r="I286" s="19" t="s">
        <v>38</v>
      </c>
      <c r="J286" s="19" t="s">
        <v>43</v>
      </c>
      <c r="K286" s="19" t="s">
        <v>2749</v>
      </c>
      <c r="L286" s="19" t="s">
        <v>2751</v>
      </c>
      <c r="M286" s="19" t="s">
        <v>852</v>
      </c>
    </row>
    <row r="287" ht="56.25" customHeight="1">
      <c r="A287" s="13" t="s">
        <v>3361</v>
      </c>
      <c r="B287" s="60" t="str">
        <f>image("https://i.imgur.com/dVe7GOg.png",1)</f>
        <v/>
      </c>
      <c r="C287" s="15" t="s">
        <v>40</v>
      </c>
      <c r="D287" s="25" t="s">
        <v>28</v>
      </c>
      <c r="E287" s="15" t="s">
        <v>50</v>
      </c>
      <c r="F287" s="15">
        <v>960.0</v>
      </c>
      <c r="G287" s="13">
        <v>240.0</v>
      </c>
      <c r="H287" s="19">
        <v>8204.0</v>
      </c>
      <c r="I287" s="19" t="s">
        <v>38</v>
      </c>
      <c r="J287" s="19" t="s">
        <v>43</v>
      </c>
      <c r="K287" s="19" t="s">
        <v>2743</v>
      </c>
      <c r="L287" s="19"/>
      <c r="M287" s="19" t="s">
        <v>2793</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4.14"/>
    <col customWidth="1" min="2" max="2" width="10.86"/>
    <col customWidth="1" min="3" max="3" width="9.29"/>
    <col customWidth="1" min="4" max="4" width="4.29"/>
    <col customWidth="1" min="5" max="5" width="5.14"/>
    <col customWidth="1" min="6" max="6" width="5.71"/>
    <col customWidth="1" min="7" max="7" width="10.57"/>
    <col customWidth="1" min="8" max="8" width="5.14"/>
    <col customWidth="1" min="9" max="9" width="10.57"/>
    <col customWidth="1" min="10" max="10" width="11.29"/>
    <col customWidth="1" min="11" max="11" width="55.43"/>
    <col customWidth="1" min="12" max="12" width="9.14"/>
  </cols>
  <sheetData>
    <row r="1" ht="21.0" customHeight="1">
      <c r="A1" s="47" t="s">
        <v>0</v>
      </c>
      <c r="B1" s="3" t="s">
        <v>1</v>
      </c>
      <c r="C1" s="54" t="s">
        <v>3</v>
      </c>
      <c r="D1" s="55" t="s">
        <v>4</v>
      </c>
      <c r="E1" s="1" t="s">
        <v>6</v>
      </c>
      <c r="F1" s="1" t="s">
        <v>7</v>
      </c>
      <c r="G1" s="7" t="s">
        <v>8</v>
      </c>
      <c r="H1" s="7" t="s">
        <v>12</v>
      </c>
      <c r="I1" s="7" t="s">
        <v>18</v>
      </c>
      <c r="J1" s="7" t="s">
        <v>19</v>
      </c>
      <c r="K1" s="7" t="s">
        <v>20</v>
      </c>
      <c r="L1" s="7" t="s">
        <v>2739</v>
      </c>
    </row>
    <row r="2" ht="56.25" customHeight="1">
      <c r="A2" s="23" t="s">
        <v>3070</v>
      </c>
      <c r="B2" s="15" t="str">
        <f>image("https://storage.googleapis.com/acdb/bottoms/BottomsTexPantsNormalChemical0.png")</f>
        <v/>
      </c>
      <c r="C2" s="15"/>
      <c r="D2" s="25" t="s">
        <v>28</v>
      </c>
      <c r="E2" s="13">
        <v>1320.0</v>
      </c>
      <c r="F2" s="13">
        <v>330.0</v>
      </c>
      <c r="G2" s="15">
        <v>5286.0</v>
      </c>
      <c r="H2" s="15" t="s">
        <v>38</v>
      </c>
      <c r="I2" s="15" t="s">
        <v>43</v>
      </c>
      <c r="J2" s="15" t="s">
        <v>2749</v>
      </c>
      <c r="K2" s="15" t="s">
        <v>2764</v>
      </c>
      <c r="L2" s="15" t="s">
        <v>2744</v>
      </c>
    </row>
    <row r="3" ht="56.25" customHeight="1">
      <c r="A3" s="23" t="s">
        <v>3070</v>
      </c>
      <c r="B3" s="15" t="str">
        <f>image("https://storage.googleapis.com/acdb/bottoms/BottomsTexPantsNormalChemical1.png")</f>
        <v/>
      </c>
      <c r="C3" s="15"/>
      <c r="D3" s="25" t="s">
        <v>28</v>
      </c>
      <c r="E3" s="13">
        <v>1320.0</v>
      </c>
      <c r="F3" s="13">
        <v>330.0</v>
      </c>
      <c r="G3" s="15">
        <v>5286.0</v>
      </c>
      <c r="H3" s="15" t="s">
        <v>38</v>
      </c>
      <c r="I3" s="15" t="s">
        <v>43</v>
      </c>
      <c r="J3" s="15" t="s">
        <v>2749</v>
      </c>
      <c r="K3" s="15" t="s">
        <v>2764</v>
      </c>
      <c r="L3" s="15" t="s">
        <v>2744</v>
      </c>
    </row>
    <row r="4" ht="56.25" customHeight="1">
      <c r="A4" s="23" t="s">
        <v>3072</v>
      </c>
      <c r="B4" s="15" t="str">
        <f>image("https://storage.googleapis.com/acdb/bottoms/BottomsTexSkirtBoxStripe0.png")</f>
        <v/>
      </c>
      <c r="C4" s="15"/>
      <c r="D4" s="25" t="s">
        <v>28</v>
      </c>
      <c r="E4" s="13">
        <v>1100.0</v>
      </c>
      <c r="F4" s="13">
        <v>275.0</v>
      </c>
      <c r="G4" s="15">
        <v>9842.0</v>
      </c>
      <c r="H4" s="15" t="s">
        <v>38</v>
      </c>
      <c r="I4" s="15" t="s">
        <v>43</v>
      </c>
      <c r="J4" s="15" t="s">
        <v>2749</v>
      </c>
      <c r="K4" s="15" t="s">
        <v>2764</v>
      </c>
      <c r="L4" s="15" t="s">
        <v>2756</v>
      </c>
    </row>
    <row r="5" ht="56.25" customHeight="1">
      <c r="A5" s="23" t="s">
        <v>3072</v>
      </c>
      <c r="B5" s="15" t="str">
        <f>image("https://storage.googleapis.com/acdb/bottoms/BottomsTexSkirtBoxStripe1.png")</f>
        <v/>
      </c>
      <c r="C5" s="15"/>
      <c r="D5" s="25" t="s">
        <v>28</v>
      </c>
      <c r="E5" s="13">
        <v>1100.0</v>
      </c>
      <c r="F5" s="13">
        <v>275.0</v>
      </c>
      <c r="G5" s="15">
        <v>9842.0</v>
      </c>
      <c r="H5" s="15" t="s">
        <v>38</v>
      </c>
      <c r="I5" s="15" t="s">
        <v>43</v>
      </c>
      <c r="J5" s="15" t="s">
        <v>2749</v>
      </c>
      <c r="K5" s="15" t="s">
        <v>2764</v>
      </c>
      <c r="L5" s="15" t="s">
        <v>2756</v>
      </c>
    </row>
    <row r="6" ht="56.25" customHeight="1">
      <c r="A6" s="23" t="s">
        <v>3074</v>
      </c>
      <c r="B6" s="15" t="str">
        <f>image("https://storage.googleapis.com/acdb/bottoms/BottomsTexSkirtBoxApron0.png")</f>
        <v/>
      </c>
      <c r="C6" s="15"/>
      <c r="D6" s="25" t="s">
        <v>28</v>
      </c>
      <c r="E6" s="13">
        <v>700.0</v>
      </c>
      <c r="F6" s="13">
        <v>175.0</v>
      </c>
      <c r="G6" s="15">
        <v>5710.0</v>
      </c>
      <c r="H6" s="15" t="s">
        <v>38</v>
      </c>
      <c r="I6" s="15" t="s">
        <v>43</v>
      </c>
      <c r="J6" s="15" t="s">
        <v>2749</v>
      </c>
      <c r="K6" s="15" t="s">
        <v>2751</v>
      </c>
      <c r="L6" s="15" t="s">
        <v>2744</v>
      </c>
    </row>
    <row r="7" ht="56.25" customHeight="1">
      <c r="A7" s="23" t="s">
        <v>3074</v>
      </c>
      <c r="B7" s="15" t="str">
        <f>image("https://storage.googleapis.com/acdb/bottoms/BottomsTexSkirtBoxApron1.png")</f>
        <v/>
      </c>
      <c r="C7" s="15"/>
      <c r="D7" s="25" t="s">
        <v>28</v>
      </c>
      <c r="E7" s="13">
        <v>700.0</v>
      </c>
      <c r="F7" s="13">
        <v>175.0</v>
      </c>
      <c r="G7" s="15">
        <v>5710.0</v>
      </c>
      <c r="H7" s="15" t="s">
        <v>38</v>
      </c>
      <c r="I7" s="15" t="s">
        <v>43</v>
      </c>
      <c r="J7" s="15" t="s">
        <v>2749</v>
      </c>
      <c r="K7" s="15" t="s">
        <v>2751</v>
      </c>
      <c r="L7" s="15" t="s">
        <v>2744</v>
      </c>
    </row>
    <row r="8" ht="56.25" customHeight="1">
      <c r="A8" s="23" t="s">
        <v>3074</v>
      </c>
      <c r="B8" s="15" t="str">
        <f>image("https://storage.googleapis.com/acdb/bottoms/BottomsTexSkirtBoxApron2.png")</f>
        <v/>
      </c>
      <c r="C8" s="15"/>
      <c r="D8" s="25" t="s">
        <v>28</v>
      </c>
      <c r="E8" s="13">
        <v>700.0</v>
      </c>
      <c r="F8" s="13">
        <v>175.0</v>
      </c>
      <c r="G8" s="15">
        <v>5710.0</v>
      </c>
      <c r="H8" s="15" t="s">
        <v>38</v>
      </c>
      <c r="I8" s="15" t="s">
        <v>43</v>
      </c>
      <c r="J8" s="15" t="s">
        <v>2749</v>
      </c>
      <c r="K8" s="15" t="s">
        <v>2751</v>
      </c>
      <c r="L8" s="15" t="s">
        <v>2744</v>
      </c>
    </row>
    <row r="9" ht="56.25" customHeight="1">
      <c r="A9" s="23" t="s">
        <v>3078</v>
      </c>
      <c r="B9" s="15" t="str">
        <f>image("https://storage.googleapis.com/acdb/bottoms/BottomsTexPantsNormalJersey0.png")</f>
        <v/>
      </c>
      <c r="C9" s="15"/>
      <c r="D9" s="25" t="s">
        <v>28</v>
      </c>
      <c r="E9" s="13">
        <v>880.0</v>
      </c>
      <c r="F9" s="13">
        <v>220.0</v>
      </c>
      <c r="G9" s="15">
        <v>3311.0</v>
      </c>
      <c r="H9" s="15" t="s">
        <v>38</v>
      </c>
      <c r="I9" s="15" t="s">
        <v>43</v>
      </c>
      <c r="J9" s="15" t="s">
        <v>2749</v>
      </c>
      <c r="K9" s="15" t="s">
        <v>2764</v>
      </c>
      <c r="L9" s="15" t="s">
        <v>2793</v>
      </c>
    </row>
    <row r="10" ht="56.25" customHeight="1">
      <c r="A10" s="23" t="s">
        <v>3078</v>
      </c>
      <c r="B10" s="15" t="str">
        <f>image("https://storage.googleapis.com/acdb/bottoms/BottomsTexPantsNormalJersey1.png")</f>
        <v/>
      </c>
      <c r="C10" s="15"/>
      <c r="D10" s="25" t="s">
        <v>28</v>
      </c>
      <c r="E10" s="13">
        <v>880.0</v>
      </c>
      <c r="F10" s="13">
        <v>220.0</v>
      </c>
      <c r="G10" s="15">
        <v>3311.0</v>
      </c>
      <c r="H10" s="15" t="s">
        <v>38</v>
      </c>
      <c r="I10" s="15" t="s">
        <v>43</v>
      </c>
      <c r="J10" s="15" t="s">
        <v>2749</v>
      </c>
      <c r="K10" s="15" t="s">
        <v>2764</v>
      </c>
      <c r="L10" s="15" t="s">
        <v>2793</v>
      </c>
    </row>
    <row r="11" ht="56.25" customHeight="1">
      <c r="A11" s="23" t="s">
        <v>3078</v>
      </c>
      <c r="B11" s="15" t="str">
        <f>image("https://storage.googleapis.com/acdb/bottoms/BottomsTexPantsNormalJersey2.png")</f>
        <v/>
      </c>
      <c r="C11" s="15"/>
      <c r="D11" s="25" t="s">
        <v>28</v>
      </c>
      <c r="E11" s="13">
        <v>880.0</v>
      </c>
      <c r="F11" s="13">
        <v>220.0</v>
      </c>
      <c r="G11" s="15">
        <v>3311.0</v>
      </c>
      <c r="H11" s="15" t="s">
        <v>38</v>
      </c>
      <c r="I11" s="15" t="s">
        <v>43</v>
      </c>
      <c r="J11" s="15" t="s">
        <v>2749</v>
      </c>
      <c r="K11" s="15" t="s">
        <v>2764</v>
      </c>
      <c r="L11" s="15" t="s">
        <v>2793</v>
      </c>
    </row>
    <row r="12" ht="56.25" customHeight="1">
      <c r="A12" s="23" t="s">
        <v>3078</v>
      </c>
      <c r="B12" s="15" t="str">
        <f>image("https://storage.googleapis.com/acdb/bottoms/BottomsTexPantsNormalJersey3.png")</f>
        <v/>
      </c>
      <c r="C12" s="15"/>
      <c r="D12" s="25" t="s">
        <v>28</v>
      </c>
      <c r="E12" s="13">
        <v>880.0</v>
      </c>
      <c r="F12" s="13">
        <v>220.0</v>
      </c>
      <c r="G12" s="15">
        <v>3311.0</v>
      </c>
      <c r="H12" s="15" t="s">
        <v>38</v>
      </c>
      <c r="I12" s="15" t="s">
        <v>43</v>
      </c>
      <c r="J12" s="15" t="s">
        <v>2749</v>
      </c>
      <c r="K12" s="15" t="s">
        <v>2764</v>
      </c>
      <c r="L12" s="15" t="s">
        <v>2793</v>
      </c>
    </row>
    <row r="13" ht="56.25" customHeight="1">
      <c r="A13" s="23" t="s">
        <v>3078</v>
      </c>
      <c r="B13" s="15" t="str">
        <f>image("https://storage.googleapis.com/acdb/bottoms/BottomsTexPantsNormalJersey4.png")</f>
        <v/>
      </c>
      <c r="C13" s="15"/>
      <c r="D13" s="25" t="s">
        <v>28</v>
      </c>
      <c r="E13" s="13">
        <v>880.0</v>
      </c>
      <c r="F13" s="13">
        <v>220.0</v>
      </c>
      <c r="G13" s="15">
        <v>3311.0</v>
      </c>
      <c r="H13" s="15" t="s">
        <v>38</v>
      </c>
      <c r="I13" s="15" t="s">
        <v>43</v>
      </c>
      <c r="J13" s="15" t="s">
        <v>2749</v>
      </c>
      <c r="K13" s="15" t="s">
        <v>2764</v>
      </c>
      <c r="L13" s="15" t="s">
        <v>2793</v>
      </c>
    </row>
    <row r="14" ht="56.25" customHeight="1">
      <c r="A14" s="23" t="s">
        <v>3078</v>
      </c>
      <c r="B14" s="15" t="str">
        <f>image("https://storage.googleapis.com/acdb/bottoms/BottomsTexPantsNormalJersey5.png")</f>
        <v/>
      </c>
      <c r="C14" s="15"/>
      <c r="D14" s="25" t="s">
        <v>28</v>
      </c>
      <c r="E14" s="13">
        <v>880.0</v>
      </c>
      <c r="F14" s="13">
        <v>220.0</v>
      </c>
      <c r="G14" s="15">
        <v>3311.0</v>
      </c>
      <c r="H14" s="15" t="s">
        <v>38</v>
      </c>
      <c r="I14" s="15" t="s">
        <v>43</v>
      </c>
      <c r="J14" s="15" t="s">
        <v>2749</v>
      </c>
      <c r="K14" s="15" t="s">
        <v>2764</v>
      </c>
      <c r="L14" s="15" t="s">
        <v>2793</v>
      </c>
    </row>
    <row r="15" ht="56.25" customHeight="1">
      <c r="A15" s="23" t="s">
        <v>3082</v>
      </c>
      <c r="B15" s="15" t="str">
        <f>image("https://storage.googleapis.com/acdb/bottoms/BottomsTexPantsHalfJersey0.png")</f>
        <v/>
      </c>
      <c r="C15" s="15"/>
      <c r="D15" s="25" t="s">
        <v>28</v>
      </c>
      <c r="E15" s="13">
        <v>560.0</v>
      </c>
      <c r="F15" s="13">
        <v>140.0</v>
      </c>
      <c r="G15" s="15">
        <v>4518.0</v>
      </c>
      <c r="H15" s="15" t="s">
        <v>38</v>
      </c>
      <c r="I15" s="15" t="s">
        <v>43</v>
      </c>
      <c r="J15" s="15" t="s">
        <v>2749</v>
      </c>
      <c r="K15" s="15" t="s">
        <v>2764</v>
      </c>
      <c r="L15" s="15" t="s">
        <v>2793</v>
      </c>
    </row>
    <row r="16" ht="56.25" customHeight="1">
      <c r="A16" s="23" t="s">
        <v>3082</v>
      </c>
      <c r="B16" s="15" t="str">
        <f>image("https://storage.googleapis.com/acdb/bottoms/BottomsTexPantsHalfJersey1.png")</f>
        <v/>
      </c>
      <c r="C16" s="15"/>
      <c r="D16" s="25" t="s">
        <v>28</v>
      </c>
      <c r="E16" s="13">
        <v>560.0</v>
      </c>
      <c r="F16" s="13">
        <v>140.0</v>
      </c>
      <c r="G16" s="15">
        <v>4518.0</v>
      </c>
      <c r="H16" s="15" t="s">
        <v>38</v>
      </c>
      <c r="I16" s="15" t="s">
        <v>43</v>
      </c>
      <c r="J16" s="15" t="s">
        <v>2749</v>
      </c>
      <c r="K16" s="15" t="s">
        <v>2764</v>
      </c>
      <c r="L16" s="15" t="s">
        <v>2793</v>
      </c>
    </row>
    <row r="17" ht="56.25" customHeight="1">
      <c r="A17" s="23" t="s">
        <v>3082</v>
      </c>
      <c r="B17" s="15" t="str">
        <f>image("https://storage.googleapis.com/acdb/bottoms/BottomsTexPantsHalfJersey2.png")</f>
        <v/>
      </c>
      <c r="C17" s="15"/>
      <c r="D17" s="25" t="s">
        <v>28</v>
      </c>
      <c r="E17" s="13">
        <v>560.0</v>
      </c>
      <c r="F17" s="13">
        <v>140.0</v>
      </c>
      <c r="G17" s="15">
        <v>4518.0</v>
      </c>
      <c r="H17" s="15" t="s">
        <v>38</v>
      </c>
      <c r="I17" s="15" t="s">
        <v>43</v>
      </c>
      <c r="J17" s="15" t="s">
        <v>2749</v>
      </c>
      <c r="K17" s="15" t="s">
        <v>2764</v>
      </c>
      <c r="L17" s="15" t="s">
        <v>2793</v>
      </c>
    </row>
    <row r="18" ht="56.25" customHeight="1">
      <c r="A18" s="23" t="s">
        <v>3082</v>
      </c>
      <c r="B18" s="15" t="str">
        <f>image("https://storage.googleapis.com/acdb/bottoms/BottomsTexPantsHalfJersey3.png")</f>
        <v/>
      </c>
      <c r="C18" s="15"/>
      <c r="D18" s="25" t="s">
        <v>28</v>
      </c>
      <c r="E18" s="13">
        <v>560.0</v>
      </c>
      <c r="F18" s="13">
        <v>140.0</v>
      </c>
      <c r="G18" s="15">
        <v>4518.0</v>
      </c>
      <c r="H18" s="15" t="s">
        <v>38</v>
      </c>
      <c r="I18" s="15" t="s">
        <v>43</v>
      </c>
      <c r="J18" s="15" t="s">
        <v>2749</v>
      </c>
      <c r="K18" s="15" t="s">
        <v>2764</v>
      </c>
      <c r="L18" s="15" t="s">
        <v>2793</v>
      </c>
    </row>
    <row r="19" ht="56.25" customHeight="1">
      <c r="A19" s="23" t="s">
        <v>3082</v>
      </c>
      <c r="B19" s="15" t="str">
        <f>image("https://storage.googleapis.com/acdb/bottoms/BottomsTexPantsHalfJersey4.png")</f>
        <v/>
      </c>
      <c r="C19" s="15"/>
      <c r="D19" s="25" t="s">
        <v>28</v>
      </c>
      <c r="E19" s="13">
        <v>560.0</v>
      </c>
      <c r="F19" s="13">
        <v>140.0</v>
      </c>
      <c r="G19" s="15">
        <v>4518.0</v>
      </c>
      <c r="H19" s="15" t="s">
        <v>38</v>
      </c>
      <c r="I19" s="15" t="s">
        <v>43</v>
      </c>
      <c r="J19" s="15" t="s">
        <v>2749</v>
      </c>
      <c r="K19" s="15" t="s">
        <v>2764</v>
      </c>
      <c r="L19" s="15" t="s">
        <v>2793</v>
      </c>
    </row>
    <row r="20" ht="56.25" customHeight="1">
      <c r="A20" s="23" t="s">
        <v>3082</v>
      </c>
      <c r="B20" s="15" t="str">
        <f>image("https://storage.googleapis.com/acdb/bottoms/BottomsTexPantsHalfJersey5.png")</f>
        <v/>
      </c>
      <c r="C20" s="15"/>
      <c r="D20" s="25" t="s">
        <v>28</v>
      </c>
      <c r="E20" s="13">
        <v>560.0</v>
      </c>
      <c r="F20" s="13">
        <v>140.0</v>
      </c>
      <c r="G20" s="15">
        <v>4518.0</v>
      </c>
      <c r="H20" s="15" t="s">
        <v>38</v>
      </c>
      <c r="I20" s="15" t="s">
        <v>43</v>
      </c>
      <c r="J20" s="15" t="s">
        <v>2749</v>
      </c>
      <c r="K20" s="15" t="s">
        <v>2764</v>
      </c>
      <c r="L20" s="15" t="s">
        <v>2793</v>
      </c>
    </row>
    <row r="21" ht="56.25" customHeight="1">
      <c r="A21" s="23" t="s">
        <v>3088</v>
      </c>
      <c r="B21" s="15" t="str">
        <f>image("https://storage.googleapis.com/acdb/bottoms/BottomsTexPantsHalfBasketball0.png")</f>
        <v/>
      </c>
      <c r="C21" s="15"/>
      <c r="D21" s="25" t="s">
        <v>28</v>
      </c>
      <c r="E21" s="13">
        <v>980.0</v>
      </c>
      <c r="F21" s="13">
        <v>245.0</v>
      </c>
      <c r="G21" s="15">
        <v>5720.0</v>
      </c>
      <c r="H21" s="15" t="s">
        <v>38</v>
      </c>
      <c r="I21" s="15" t="s">
        <v>43</v>
      </c>
      <c r="J21" s="15" t="s">
        <v>2749</v>
      </c>
      <c r="K21" s="15" t="s">
        <v>2764</v>
      </c>
      <c r="L21" s="15" t="s">
        <v>2793</v>
      </c>
    </row>
    <row r="22" ht="56.25" customHeight="1">
      <c r="A22" s="23" t="s">
        <v>3088</v>
      </c>
      <c r="B22" s="15" t="str">
        <f>image("https://storage.googleapis.com/acdb/bottoms/BottomsTexPantsHalfBasketball1.png")</f>
        <v/>
      </c>
      <c r="C22" s="15"/>
      <c r="D22" s="25" t="s">
        <v>28</v>
      </c>
      <c r="E22" s="13">
        <v>980.0</v>
      </c>
      <c r="F22" s="13">
        <v>245.0</v>
      </c>
      <c r="G22" s="15">
        <v>5720.0</v>
      </c>
      <c r="H22" s="15" t="s">
        <v>38</v>
      </c>
      <c r="I22" s="15" t="s">
        <v>43</v>
      </c>
      <c r="J22" s="15" t="s">
        <v>2749</v>
      </c>
      <c r="K22" s="15" t="s">
        <v>2764</v>
      </c>
      <c r="L22" s="15" t="s">
        <v>2793</v>
      </c>
    </row>
    <row r="23" ht="56.25" customHeight="1">
      <c r="A23" s="23" t="s">
        <v>3088</v>
      </c>
      <c r="B23" s="15" t="str">
        <f>image("https://storage.googleapis.com/acdb/bottoms/BottomsTexPantsHalfBasketball2.png")</f>
        <v/>
      </c>
      <c r="C23" s="15"/>
      <c r="D23" s="25" t="s">
        <v>28</v>
      </c>
      <c r="E23" s="13">
        <v>980.0</v>
      </c>
      <c r="F23" s="13">
        <v>245.0</v>
      </c>
      <c r="G23" s="15">
        <v>5720.0</v>
      </c>
      <c r="H23" s="15" t="s">
        <v>38</v>
      </c>
      <c r="I23" s="15" t="s">
        <v>43</v>
      </c>
      <c r="J23" s="15" t="s">
        <v>2749</v>
      </c>
      <c r="K23" s="15" t="s">
        <v>2764</v>
      </c>
      <c r="L23" s="15" t="s">
        <v>2793</v>
      </c>
    </row>
    <row r="24" ht="56.25" customHeight="1">
      <c r="A24" s="23" t="s">
        <v>3088</v>
      </c>
      <c r="B24" s="15" t="str">
        <f>image("https://storage.googleapis.com/acdb/bottoms/BottomsTexPantsHalfBasketball3.png")</f>
        <v/>
      </c>
      <c r="C24" s="15"/>
      <c r="D24" s="25" t="s">
        <v>28</v>
      </c>
      <c r="E24" s="13">
        <v>980.0</v>
      </c>
      <c r="F24" s="13">
        <v>245.0</v>
      </c>
      <c r="G24" s="15">
        <v>5720.0</v>
      </c>
      <c r="H24" s="15" t="s">
        <v>38</v>
      </c>
      <c r="I24" s="15" t="s">
        <v>43</v>
      </c>
      <c r="J24" s="15" t="s">
        <v>2749</v>
      </c>
      <c r="K24" s="15" t="s">
        <v>2764</v>
      </c>
      <c r="L24" s="15" t="s">
        <v>2793</v>
      </c>
    </row>
    <row r="25" ht="56.25" customHeight="1">
      <c r="A25" s="23" t="s">
        <v>3088</v>
      </c>
      <c r="B25" s="15" t="str">
        <f>image("https://storage.googleapis.com/acdb/bottoms/BottomsTexPantsHalfBasketball4.png")</f>
        <v/>
      </c>
      <c r="C25" s="15"/>
      <c r="D25" s="25" t="s">
        <v>28</v>
      </c>
      <c r="E25" s="13">
        <v>980.0</v>
      </c>
      <c r="F25" s="13">
        <v>245.0</v>
      </c>
      <c r="G25" s="15">
        <v>5720.0</v>
      </c>
      <c r="H25" s="15" t="s">
        <v>38</v>
      </c>
      <c r="I25" s="15" t="s">
        <v>43</v>
      </c>
      <c r="J25" s="15" t="s">
        <v>2749</v>
      </c>
      <c r="K25" s="15" t="s">
        <v>2764</v>
      </c>
      <c r="L25" s="15" t="s">
        <v>2793</v>
      </c>
    </row>
    <row r="26" ht="56.25" customHeight="1">
      <c r="A26" s="23" t="s">
        <v>3088</v>
      </c>
      <c r="B26" s="15" t="str">
        <f>image("https://storage.googleapis.com/acdb/bottoms/BottomsTexPantsHalfBasketball5.png")</f>
        <v/>
      </c>
      <c r="C26" s="15"/>
      <c r="D26" s="25" t="s">
        <v>28</v>
      </c>
      <c r="E26" s="13">
        <v>980.0</v>
      </c>
      <c r="F26" s="13">
        <v>245.0</v>
      </c>
      <c r="G26" s="15">
        <v>5720.0</v>
      </c>
      <c r="H26" s="15" t="s">
        <v>38</v>
      </c>
      <c r="I26" s="15" t="s">
        <v>43</v>
      </c>
      <c r="J26" s="15" t="s">
        <v>2749</v>
      </c>
      <c r="K26" s="15" t="s">
        <v>2764</v>
      </c>
      <c r="L26" s="15" t="s">
        <v>2793</v>
      </c>
    </row>
    <row r="27" ht="56.25" customHeight="1">
      <c r="A27" s="23" t="s">
        <v>3088</v>
      </c>
      <c r="B27" s="15" t="str">
        <f>image("https://storage.googleapis.com/acdb/bottoms/BottomsTexPantsHalfBasketball6.png")</f>
        <v/>
      </c>
      <c r="C27" s="15"/>
      <c r="D27" s="25" t="s">
        <v>28</v>
      </c>
      <c r="E27" s="13">
        <v>980.0</v>
      </c>
      <c r="F27" s="13">
        <v>245.0</v>
      </c>
      <c r="G27" s="15">
        <v>5720.0</v>
      </c>
      <c r="H27" s="15" t="s">
        <v>38</v>
      </c>
      <c r="I27" s="15" t="s">
        <v>43</v>
      </c>
      <c r="J27" s="15" t="s">
        <v>2749</v>
      </c>
      <c r="K27" s="15" t="s">
        <v>2764</v>
      </c>
      <c r="L27" s="15" t="s">
        <v>2793</v>
      </c>
    </row>
    <row r="28" ht="56.25" customHeight="1">
      <c r="A28" s="23" t="s">
        <v>3088</v>
      </c>
      <c r="B28" s="15" t="str">
        <f>image("https://storage.googleapis.com/acdb/bottoms/BottomsTexPantsHalfBasketball7.png")</f>
        <v/>
      </c>
      <c r="C28" s="15"/>
      <c r="D28" s="25" t="s">
        <v>28</v>
      </c>
      <c r="E28" s="13">
        <v>980.0</v>
      </c>
      <c r="F28" s="13">
        <v>245.0</v>
      </c>
      <c r="G28" s="15">
        <v>5720.0</v>
      </c>
      <c r="H28" s="15" t="s">
        <v>38</v>
      </c>
      <c r="I28" s="15" t="s">
        <v>43</v>
      </c>
      <c r="J28" s="15" t="s">
        <v>2749</v>
      </c>
      <c r="K28" s="15" t="s">
        <v>2764</v>
      </c>
      <c r="L28" s="15" t="s">
        <v>2793</v>
      </c>
    </row>
    <row r="29" ht="56.25" customHeight="1">
      <c r="A29" s="23" t="s">
        <v>3094</v>
      </c>
      <c r="B29" s="15" t="str">
        <f>image("https://storage.googleapis.com/acdb/bottoms/BottomsTexPantsWideBellbottoms0.png")</f>
        <v/>
      </c>
      <c r="C29" s="15"/>
      <c r="D29" s="25" t="s">
        <v>28</v>
      </c>
      <c r="E29" s="13">
        <v>1320.0</v>
      </c>
      <c r="F29" s="13">
        <v>330.0</v>
      </c>
      <c r="G29" s="15">
        <v>4364.0</v>
      </c>
      <c r="H29" s="15" t="s">
        <v>38</v>
      </c>
      <c r="I29" s="15" t="s">
        <v>43</v>
      </c>
      <c r="J29" s="15" t="s">
        <v>2749</v>
      </c>
      <c r="K29" s="15" t="s">
        <v>2751</v>
      </c>
      <c r="L29" s="15" t="s">
        <v>852</v>
      </c>
    </row>
    <row r="30" ht="56.25" customHeight="1">
      <c r="A30" s="23" t="s">
        <v>3094</v>
      </c>
      <c r="B30" s="15" t="str">
        <f>image("https://storage.googleapis.com/acdb/bottoms/BottomsTexPantsWideBellbottoms1.png")</f>
        <v/>
      </c>
      <c r="C30" s="15"/>
      <c r="D30" s="25" t="s">
        <v>28</v>
      </c>
      <c r="E30" s="13">
        <v>1320.0</v>
      </c>
      <c r="F30" s="13">
        <v>330.0</v>
      </c>
      <c r="G30" s="15">
        <v>4364.0</v>
      </c>
      <c r="H30" s="15" t="s">
        <v>38</v>
      </c>
      <c r="I30" s="15" t="s">
        <v>43</v>
      </c>
      <c r="J30" s="15" t="s">
        <v>2749</v>
      </c>
      <c r="K30" s="15" t="s">
        <v>2751</v>
      </c>
      <c r="L30" s="15" t="s">
        <v>852</v>
      </c>
    </row>
    <row r="31" ht="56.25" customHeight="1">
      <c r="A31" s="23" t="s">
        <v>3094</v>
      </c>
      <c r="B31" s="15" t="str">
        <f>image("https://storage.googleapis.com/acdb/bottoms/BottomsTexPantsWideBellbottoms2.png")</f>
        <v/>
      </c>
      <c r="C31" s="15"/>
      <c r="D31" s="25" t="s">
        <v>28</v>
      </c>
      <c r="E31" s="13">
        <v>1320.0</v>
      </c>
      <c r="F31" s="13">
        <v>330.0</v>
      </c>
      <c r="G31" s="15">
        <v>4364.0</v>
      </c>
      <c r="H31" s="15" t="s">
        <v>38</v>
      </c>
      <c r="I31" s="15" t="s">
        <v>43</v>
      </c>
      <c r="J31" s="15" t="s">
        <v>2749</v>
      </c>
      <c r="K31" s="15" t="s">
        <v>2751</v>
      </c>
      <c r="L31" s="15" t="s">
        <v>852</v>
      </c>
    </row>
    <row r="32" ht="56.25" customHeight="1">
      <c r="A32" s="23" t="s">
        <v>3094</v>
      </c>
      <c r="B32" s="15" t="str">
        <f>image("https://storage.googleapis.com/acdb/bottoms/BottomsTexPantsWideBellbottoms3.png")</f>
        <v/>
      </c>
      <c r="C32" s="15"/>
      <c r="D32" s="25" t="s">
        <v>28</v>
      </c>
      <c r="E32" s="13">
        <v>1320.0</v>
      </c>
      <c r="F32" s="13">
        <v>330.0</v>
      </c>
      <c r="G32" s="15">
        <v>4364.0</v>
      </c>
      <c r="H32" s="15" t="s">
        <v>38</v>
      </c>
      <c r="I32" s="15" t="s">
        <v>43</v>
      </c>
      <c r="J32" s="15" t="s">
        <v>2749</v>
      </c>
      <c r="K32" s="15" t="s">
        <v>2751</v>
      </c>
      <c r="L32" s="15" t="s">
        <v>852</v>
      </c>
    </row>
    <row r="33" ht="56.25" customHeight="1">
      <c r="A33" s="23" t="s">
        <v>3094</v>
      </c>
      <c r="B33" s="15" t="str">
        <f>image("https://storage.googleapis.com/acdb/bottoms/BottomsTexPantsWideBellbottoms4.png")</f>
        <v/>
      </c>
      <c r="C33" s="15"/>
      <c r="D33" s="25" t="s">
        <v>28</v>
      </c>
      <c r="E33" s="13">
        <v>1320.0</v>
      </c>
      <c r="F33" s="13">
        <v>330.0</v>
      </c>
      <c r="G33" s="15">
        <v>4364.0</v>
      </c>
      <c r="H33" s="15" t="s">
        <v>38</v>
      </c>
      <c r="I33" s="15" t="s">
        <v>43</v>
      </c>
      <c r="J33" s="15" t="s">
        <v>2749</v>
      </c>
      <c r="K33" s="15" t="s">
        <v>2751</v>
      </c>
      <c r="L33" s="15" t="s">
        <v>852</v>
      </c>
    </row>
    <row r="34" ht="56.25" customHeight="1">
      <c r="A34" s="23" t="s">
        <v>3099</v>
      </c>
      <c r="B34" s="15" t="str">
        <f>image("https://storage.googleapis.com/acdb/bottoms/BottomsTexSkirtLongWrap0.png")</f>
        <v/>
      </c>
      <c r="C34" s="15"/>
      <c r="D34" s="25" t="s">
        <v>28</v>
      </c>
      <c r="E34" s="13">
        <v>1040.0</v>
      </c>
      <c r="F34" s="13">
        <v>260.0</v>
      </c>
      <c r="G34" s="15">
        <v>4545.0</v>
      </c>
      <c r="H34" s="15" t="s">
        <v>38</v>
      </c>
      <c r="I34" s="15" t="s">
        <v>43</v>
      </c>
      <c r="J34" s="15" t="s">
        <v>2749</v>
      </c>
      <c r="K34" s="15" t="s">
        <v>2751</v>
      </c>
      <c r="L34" s="15" t="s">
        <v>2744</v>
      </c>
    </row>
    <row r="35" ht="56.25" customHeight="1">
      <c r="A35" s="23" t="s">
        <v>3099</v>
      </c>
      <c r="B35" s="15" t="str">
        <f>image("https://storage.googleapis.com/acdb/bottoms/BottomsTexSkirtLongWrap1.png")</f>
        <v/>
      </c>
      <c r="C35" s="15"/>
      <c r="D35" s="25" t="s">
        <v>28</v>
      </c>
      <c r="E35" s="13">
        <v>1040.0</v>
      </c>
      <c r="F35" s="13">
        <v>260.0</v>
      </c>
      <c r="G35" s="15">
        <v>4545.0</v>
      </c>
      <c r="H35" s="15" t="s">
        <v>38</v>
      </c>
      <c r="I35" s="15" t="s">
        <v>43</v>
      </c>
      <c r="J35" s="15" t="s">
        <v>2749</v>
      </c>
      <c r="K35" s="15" t="s">
        <v>2751</v>
      </c>
      <c r="L35" s="15" t="s">
        <v>2744</v>
      </c>
    </row>
    <row r="36" ht="56.25" customHeight="1">
      <c r="A36" s="23" t="s">
        <v>3099</v>
      </c>
      <c r="B36" s="15" t="str">
        <f>image("https://storage.googleapis.com/acdb/bottoms/BottomsTexSkirtLongWrap2.png")</f>
        <v/>
      </c>
      <c r="C36" s="15"/>
      <c r="D36" s="25" t="s">
        <v>28</v>
      </c>
      <c r="E36" s="13">
        <v>1040.0</v>
      </c>
      <c r="F36" s="13">
        <v>260.0</v>
      </c>
      <c r="G36" s="15">
        <v>4545.0</v>
      </c>
      <c r="H36" s="15" t="s">
        <v>38</v>
      </c>
      <c r="I36" s="15" t="s">
        <v>43</v>
      </c>
      <c r="J36" s="15" t="s">
        <v>2749</v>
      </c>
      <c r="K36" s="15" t="s">
        <v>2751</v>
      </c>
      <c r="L36" s="15" t="s">
        <v>2744</v>
      </c>
    </row>
    <row r="37" ht="56.25" customHeight="1">
      <c r="A37" s="23" t="s">
        <v>3099</v>
      </c>
      <c r="B37" s="15" t="str">
        <f>image("https://storage.googleapis.com/acdb/bottoms/BottomsTexSkirtLongWrap3.png")</f>
        <v/>
      </c>
      <c r="C37" s="15"/>
      <c r="D37" s="25" t="s">
        <v>28</v>
      </c>
      <c r="E37" s="13">
        <v>1040.0</v>
      </c>
      <c r="F37" s="13">
        <v>260.0</v>
      </c>
      <c r="G37" s="15">
        <v>4545.0</v>
      </c>
      <c r="H37" s="15" t="s">
        <v>38</v>
      </c>
      <c r="I37" s="15" t="s">
        <v>43</v>
      </c>
      <c r="J37" s="15" t="s">
        <v>2749</v>
      </c>
      <c r="K37" s="15" t="s">
        <v>2751</v>
      </c>
      <c r="L37" s="15" t="s">
        <v>2744</v>
      </c>
    </row>
    <row r="38" ht="56.25" customHeight="1">
      <c r="A38" s="23" t="s">
        <v>3102</v>
      </c>
      <c r="B38" s="15" t="str">
        <f>image("https://storage.googleapis.com/acdb/bottoms/BottomsTexPantsHalfBoa0.png")</f>
        <v/>
      </c>
      <c r="C38" s="15"/>
      <c r="D38" s="25" t="s">
        <v>28</v>
      </c>
      <c r="E38" s="24">
        <v>1200.0</v>
      </c>
      <c r="F38" s="13">
        <v>300.0</v>
      </c>
      <c r="G38" s="15">
        <v>5419.0</v>
      </c>
      <c r="H38" s="15" t="s">
        <v>38</v>
      </c>
      <c r="I38" s="15" t="s">
        <v>43</v>
      </c>
      <c r="J38" s="15" t="s">
        <v>2749</v>
      </c>
      <c r="K38" s="15" t="s">
        <v>2751</v>
      </c>
      <c r="L38" s="15" t="s">
        <v>2793</v>
      </c>
    </row>
    <row r="39" ht="56.25" customHeight="1">
      <c r="A39" s="23" t="s">
        <v>3102</v>
      </c>
      <c r="B39" s="15" t="str">
        <f>image("https://storage.googleapis.com/acdb/bottoms/BottomsTexPantsHalfBoa1.png")</f>
        <v/>
      </c>
      <c r="C39" s="15"/>
      <c r="D39" s="25" t="s">
        <v>28</v>
      </c>
      <c r="E39" s="24">
        <v>1200.0</v>
      </c>
      <c r="F39" s="13">
        <v>300.0</v>
      </c>
      <c r="G39" s="15">
        <v>5419.0</v>
      </c>
      <c r="H39" s="15" t="s">
        <v>38</v>
      </c>
      <c r="I39" s="15" t="s">
        <v>43</v>
      </c>
      <c r="J39" s="15" t="s">
        <v>2749</v>
      </c>
      <c r="K39" s="15" t="s">
        <v>2751</v>
      </c>
      <c r="L39" s="15" t="s">
        <v>2793</v>
      </c>
    </row>
    <row r="40" ht="56.25" customHeight="1">
      <c r="A40" s="23" t="s">
        <v>3102</v>
      </c>
      <c r="B40" s="15" t="str">
        <f>image("https://storage.googleapis.com/acdb/bottoms/BottomsTexPantsHalfBoa2.png")</f>
        <v/>
      </c>
      <c r="C40" s="15"/>
      <c r="D40" s="25" t="s">
        <v>28</v>
      </c>
      <c r="E40" s="24">
        <v>1200.0</v>
      </c>
      <c r="F40" s="13">
        <v>300.0</v>
      </c>
      <c r="G40" s="15">
        <v>5419.0</v>
      </c>
      <c r="H40" s="15" t="s">
        <v>38</v>
      </c>
      <c r="I40" s="15" t="s">
        <v>43</v>
      </c>
      <c r="J40" s="15" t="s">
        <v>2749</v>
      </c>
      <c r="K40" s="15" t="s">
        <v>2751</v>
      </c>
      <c r="L40" s="15" t="s">
        <v>2793</v>
      </c>
    </row>
    <row r="41" ht="56.25" customHeight="1">
      <c r="A41" s="23" t="s">
        <v>3102</v>
      </c>
      <c r="B41" s="15" t="str">
        <f>image("https://storage.googleapis.com/acdb/bottoms/BottomsTexPantsHalfBoa3.png")</f>
        <v/>
      </c>
      <c r="C41" s="15"/>
      <c r="D41" s="25" t="s">
        <v>28</v>
      </c>
      <c r="E41" s="24">
        <v>1200.0</v>
      </c>
      <c r="F41" s="13">
        <v>300.0</v>
      </c>
      <c r="G41" s="15">
        <v>5419.0</v>
      </c>
      <c r="H41" s="15" t="s">
        <v>38</v>
      </c>
      <c r="I41" s="15" t="s">
        <v>43</v>
      </c>
      <c r="J41" s="15" t="s">
        <v>2749</v>
      </c>
      <c r="K41" s="15" t="s">
        <v>2751</v>
      </c>
      <c r="L41" s="15" t="s">
        <v>2793</v>
      </c>
    </row>
    <row r="42" ht="56.25" customHeight="1">
      <c r="A42" s="23" t="s">
        <v>3102</v>
      </c>
      <c r="B42" s="15" t="str">
        <f>image("https://storage.googleapis.com/acdb/bottoms/BottomsTexPantsHalfBoa4.png")</f>
        <v/>
      </c>
      <c r="C42" s="15"/>
      <c r="D42" s="25" t="s">
        <v>28</v>
      </c>
      <c r="E42" s="24">
        <v>1200.0</v>
      </c>
      <c r="F42" s="13">
        <v>300.0</v>
      </c>
      <c r="G42" s="15">
        <v>5419.0</v>
      </c>
      <c r="H42" s="15" t="s">
        <v>38</v>
      </c>
      <c r="I42" s="15" t="s">
        <v>43</v>
      </c>
      <c r="J42" s="15" t="s">
        <v>2749</v>
      </c>
      <c r="K42" s="15" t="s">
        <v>2751</v>
      </c>
      <c r="L42" s="15" t="s">
        <v>2793</v>
      </c>
    </row>
    <row r="43" ht="56.25" customHeight="1">
      <c r="A43" s="23" t="s">
        <v>3102</v>
      </c>
      <c r="B43" s="15" t="str">
        <f>image("https://storage.googleapis.com/acdb/bottoms/BottomsTexPantsHalfBoa5.png")</f>
        <v/>
      </c>
      <c r="C43" s="15"/>
      <c r="D43" s="25" t="s">
        <v>28</v>
      </c>
      <c r="E43" s="24">
        <v>1200.0</v>
      </c>
      <c r="F43" s="13">
        <v>300.0</v>
      </c>
      <c r="G43" s="15">
        <v>5419.0</v>
      </c>
      <c r="H43" s="15" t="s">
        <v>38</v>
      </c>
      <c r="I43" s="15" t="s">
        <v>43</v>
      </c>
      <c r="J43" s="15" t="s">
        <v>2749</v>
      </c>
      <c r="K43" s="15" t="s">
        <v>2751</v>
      </c>
      <c r="L43" s="15" t="s">
        <v>2793</v>
      </c>
    </row>
    <row r="44" ht="56.25" customHeight="1">
      <c r="A44" s="23" t="s">
        <v>3102</v>
      </c>
      <c r="B44" s="15" t="str">
        <f>image("https://storage.googleapis.com/acdb/bottoms/BottomsTexPantsHalfBoa6.png")</f>
        <v/>
      </c>
      <c r="C44" s="15"/>
      <c r="D44" s="25" t="s">
        <v>28</v>
      </c>
      <c r="E44" s="24">
        <v>1200.0</v>
      </c>
      <c r="F44" s="13">
        <v>300.0</v>
      </c>
      <c r="G44" s="15">
        <v>5419.0</v>
      </c>
      <c r="H44" s="15" t="s">
        <v>38</v>
      </c>
      <c r="I44" s="15" t="s">
        <v>43</v>
      </c>
      <c r="J44" s="15" t="s">
        <v>2749</v>
      </c>
      <c r="K44" s="15" t="s">
        <v>2751</v>
      </c>
      <c r="L44" s="15" t="s">
        <v>2793</v>
      </c>
    </row>
    <row r="45" ht="56.25" customHeight="1">
      <c r="A45" s="23" t="s">
        <v>3102</v>
      </c>
      <c r="B45" s="15" t="str">
        <f>image("https://storage.googleapis.com/acdb/bottoms/BottomsTexPantsHalfBoa7.png")</f>
        <v/>
      </c>
      <c r="C45" s="15"/>
      <c r="D45" s="25" t="s">
        <v>28</v>
      </c>
      <c r="E45" s="24">
        <v>1200.0</v>
      </c>
      <c r="F45" s="13">
        <v>300.0</v>
      </c>
      <c r="G45" s="15">
        <v>5419.0</v>
      </c>
      <c r="H45" s="15" t="s">
        <v>38</v>
      </c>
      <c r="I45" s="15" t="s">
        <v>43</v>
      </c>
      <c r="J45" s="15" t="s">
        <v>2749</v>
      </c>
      <c r="K45" s="15" t="s">
        <v>2751</v>
      </c>
      <c r="L45" s="15" t="s">
        <v>2793</v>
      </c>
    </row>
    <row r="46" ht="56.25" customHeight="1">
      <c r="A46" s="23" t="s">
        <v>3108</v>
      </c>
      <c r="B46" s="15" t="str">
        <f>image("https://storage.googleapis.com/acdb/bottoms/BottomsTexSkirtBoxBoa0.png")</f>
        <v/>
      </c>
      <c r="C46" s="15"/>
      <c r="D46" s="25" t="s">
        <v>28</v>
      </c>
      <c r="E46" s="13">
        <v>1300.0</v>
      </c>
      <c r="F46" s="13">
        <v>325.0</v>
      </c>
      <c r="G46" s="15">
        <v>5418.0</v>
      </c>
      <c r="H46" s="15" t="s">
        <v>38</v>
      </c>
      <c r="I46" s="15" t="s">
        <v>43</v>
      </c>
      <c r="J46" s="15" t="s">
        <v>2749</v>
      </c>
      <c r="K46" s="15" t="s">
        <v>2751</v>
      </c>
      <c r="L46" s="15" t="s">
        <v>2793</v>
      </c>
    </row>
    <row r="47" ht="56.25" customHeight="1">
      <c r="A47" s="23" t="s">
        <v>3108</v>
      </c>
      <c r="B47" s="15" t="str">
        <f>image("https://storage.googleapis.com/acdb/bottoms/BottomsTexSkirtBoxBoa1.png")</f>
        <v/>
      </c>
      <c r="C47" s="15"/>
      <c r="D47" s="25" t="s">
        <v>28</v>
      </c>
      <c r="E47" s="13">
        <v>1300.0</v>
      </c>
      <c r="F47" s="13">
        <v>325.0</v>
      </c>
      <c r="G47" s="15">
        <v>5418.0</v>
      </c>
      <c r="H47" s="15" t="s">
        <v>38</v>
      </c>
      <c r="I47" s="15" t="s">
        <v>43</v>
      </c>
      <c r="J47" s="15" t="s">
        <v>2749</v>
      </c>
      <c r="K47" s="15" t="s">
        <v>2751</v>
      </c>
      <c r="L47" s="15" t="s">
        <v>2793</v>
      </c>
    </row>
    <row r="48" ht="56.25" customHeight="1">
      <c r="A48" s="23" t="s">
        <v>3108</v>
      </c>
      <c r="B48" s="15" t="str">
        <f>image("https://storage.googleapis.com/acdb/bottoms/BottomsTexSkirtBoxBoa2.png")</f>
        <v/>
      </c>
      <c r="C48" s="15"/>
      <c r="D48" s="25" t="s">
        <v>28</v>
      </c>
      <c r="E48" s="13">
        <v>1300.0</v>
      </c>
      <c r="F48" s="13">
        <v>325.0</v>
      </c>
      <c r="G48" s="15">
        <v>5418.0</v>
      </c>
      <c r="H48" s="15" t="s">
        <v>38</v>
      </c>
      <c r="I48" s="15" t="s">
        <v>43</v>
      </c>
      <c r="J48" s="15" t="s">
        <v>2749</v>
      </c>
      <c r="K48" s="15" t="s">
        <v>2751</v>
      </c>
      <c r="L48" s="15" t="s">
        <v>2793</v>
      </c>
    </row>
    <row r="49" ht="56.25" customHeight="1">
      <c r="A49" s="23" t="s">
        <v>3108</v>
      </c>
      <c r="B49" s="15" t="str">
        <f>image("https://storage.googleapis.com/acdb/bottoms/BottomsTexSkirtBoxBoa3.png")</f>
        <v/>
      </c>
      <c r="C49" s="15"/>
      <c r="D49" s="25" t="s">
        <v>28</v>
      </c>
      <c r="E49" s="13">
        <v>1300.0</v>
      </c>
      <c r="F49" s="13">
        <v>325.0</v>
      </c>
      <c r="G49" s="15">
        <v>5418.0</v>
      </c>
      <c r="H49" s="15" t="s">
        <v>38</v>
      </c>
      <c r="I49" s="15" t="s">
        <v>43</v>
      </c>
      <c r="J49" s="15" t="s">
        <v>2749</v>
      </c>
      <c r="K49" s="15" t="s">
        <v>2751</v>
      </c>
      <c r="L49" s="15" t="s">
        <v>2793</v>
      </c>
    </row>
    <row r="50" ht="56.25" customHeight="1">
      <c r="A50" s="23" t="s">
        <v>3108</v>
      </c>
      <c r="B50" s="15" t="str">
        <f>image("https://storage.googleapis.com/acdb/bottoms/BottomsTexSkirtBoxBoa4.png")</f>
        <v/>
      </c>
      <c r="C50" s="15"/>
      <c r="D50" s="25" t="s">
        <v>28</v>
      </c>
      <c r="E50" s="13">
        <v>1300.0</v>
      </c>
      <c r="F50" s="13">
        <v>325.0</v>
      </c>
      <c r="G50" s="15">
        <v>5418.0</v>
      </c>
      <c r="H50" s="15" t="s">
        <v>38</v>
      </c>
      <c r="I50" s="15" t="s">
        <v>43</v>
      </c>
      <c r="J50" s="15" t="s">
        <v>2749</v>
      </c>
      <c r="K50" s="15" t="s">
        <v>2751</v>
      </c>
      <c r="L50" s="15" t="s">
        <v>2793</v>
      </c>
    </row>
    <row r="51" ht="56.25" customHeight="1">
      <c r="A51" s="23" t="s">
        <v>3108</v>
      </c>
      <c r="B51" s="15" t="str">
        <f>image("https://storage.googleapis.com/acdb/bottoms/BottomsTexSkirtBoxBoa5.png")</f>
        <v/>
      </c>
      <c r="C51" s="15"/>
      <c r="D51" s="25" t="s">
        <v>28</v>
      </c>
      <c r="E51" s="13">
        <v>1300.0</v>
      </c>
      <c r="F51" s="13">
        <v>325.0</v>
      </c>
      <c r="G51" s="15">
        <v>5418.0</v>
      </c>
      <c r="H51" s="15" t="s">
        <v>38</v>
      </c>
      <c r="I51" s="15" t="s">
        <v>43</v>
      </c>
      <c r="J51" s="15" t="s">
        <v>2749</v>
      </c>
      <c r="K51" s="15" t="s">
        <v>2751</v>
      </c>
      <c r="L51" s="15" t="s">
        <v>2793</v>
      </c>
    </row>
    <row r="52" ht="56.25" customHeight="1">
      <c r="A52" s="23" t="s">
        <v>3108</v>
      </c>
      <c r="B52" s="15" t="str">
        <f>image("https://storage.googleapis.com/acdb/bottoms/BottomsTexSkirtBoxBoa6.png")</f>
        <v/>
      </c>
      <c r="C52" s="15"/>
      <c r="D52" s="25" t="s">
        <v>28</v>
      </c>
      <c r="E52" s="13">
        <v>1300.0</v>
      </c>
      <c r="F52" s="13">
        <v>325.0</v>
      </c>
      <c r="G52" s="15">
        <v>5418.0</v>
      </c>
      <c r="H52" s="15" t="s">
        <v>38</v>
      </c>
      <c r="I52" s="15" t="s">
        <v>43</v>
      </c>
      <c r="J52" s="15" t="s">
        <v>2749</v>
      </c>
      <c r="K52" s="15" t="s">
        <v>2751</v>
      </c>
      <c r="L52" s="15" t="s">
        <v>2793</v>
      </c>
    </row>
    <row r="53" ht="56.25" customHeight="1">
      <c r="A53" s="23" t="s">
        <v>3108</v>
      </c>
      <c r="B53" s="15" t="str">
        <f>image("https://storage.googleapis.com/acdb/bottoms/BottomsTexSkirtBoxBoa7.png")</f>
        <v/>
      </c>
      <c r="C53" s="15"/>
      <c r="D53" s="25" t="s">
        <v>28</v>
      </c>
      <c r="E53" s="13">
        <v>1300.0</v>
      </c>
      <c r="F53" s="13">
        <v>325.0</v>
      </c>
      <c r="G53" s="15">
        <v>5418.0</v>
      </c>
      <c r="H53" s="15" t="s">
        <v>38</v>
      </c>
      <c r="I53" s="15" t="s">
        <v>43</v>
      </c>
      <c r="J53" s="15" t="s">
        <v>2749</v>
      </c>
      <c r="K53" s="15" t="s">
        <v>2751</v>
      </c>
      <c r="L53" s="15" t="s">
        <v>2793</v>
      </c>
    </row>
    <row r="54" ht="56.25" customHeight="1">
      <c r="A54" s="23" t="s">
        <v>3115</v>
      </c>
      <c r="B54" s="15" t="str">
        <f>image("https://storage.googleapis.com/acdb/bottoms/BottomsTexSkirtLongMaone0.png")</f>
        <v/>
      </c>
      <c r="C54" s="15"/>
      <c r="D54" s="25" t="s">
        <v>28</v>
      </c>
      <c r="E54" s="13">
        <v>1320.0</v>
      </c>
      <c r="F54" s="13">
        <v>330.0</v>
      </c>
      <c r="G54" s="15">
        <v>5722.0</v>
      </c>
      <c r="H54" s="15" t="s">
        <v>38</v>
      </c>
      <c r="I54" s="15" t="s">
        <v>43</v>
      </c>
      <c r="J54" s="15" t="s">
        <v>2749</v>
      </c>
      <c r="K54" s="15" t="s">
        <v>2764</v>
      </c>
      <c r="L54" s="15" t="s">
        <v>2756</v>
      </c>
    </row>
    <row r="55" ht="56.25" customHeight="1">
      <c r="A55" s="23" t="s">
        <v>3115</v>
      </c>
      <c r="B55" s="15" t="str">
        <f>image("https://storage.googleapis.com/acdb/bottoms/BottomsTexSkirtLongMaone1.png")</f>
        <v/>
      </c>
      <c r="C55" s="15"/>
      <c r="D55" s="25" t="s">
        <v>28</v>
      </c>
      <c r="E55" s="13">
        <v>1320.0</v>
      </c>
      <c r="F55" s="13">
        <v>330.0</v>
      </c>
      <c r="G55" s="15">
        <v>5722.0</v>
      </c>
      <c r="H55" s="15" t="s">
        <v>38</v>
      </c>
      <c r="I55" s="15" t="s">
        <v>43</v>
      </c>
      <c r="J55" s="15" t="s">
        <v>2749</v>
      </c>
      <c r="K55" s="15" t="s">
        <v>2764</v>
      </c>
      <c r="L55" s="15" t="s">
        <v>2756</v>
      </c>
    </row>
    <row r="56" ht="56.25" customHeight="1">
      <c r="A56" s="23" t="s">
        <v>3115</v>
      </c>
      <c r="B56" s="15" t="str">
        <f>image("https://storage.googleapis.com/acdb/bottoms/BottomsTexSkirtLongMaone2.png")</f>
        <v/>
      </c>
      <c r="C56" s="15"/>
      <c r="D56" s="25" t="s">
        <v>28</v>
      </c>
      <c r="E56" s="13">
        <v>1320.0</v>
      </c>
      <c r="F56" s="13">
        <v>330.0</v>
      </c>
      <c r="G56" s="15">
        <v>5722.0</v>
      </c>
      <c r="H56" s="15" t="s">
        <v>38</v>
      </c>
      <c r="I56" s="15" t="s">
        <v>43</v>
      </c>
      <c r="J56" s="15" t="s">
        <v>2749</v>
      </c>
      <c r="K56" s="15" t="s">
        <v>2764</v>
      </c>
      <c r="L56" s="15" t="s">
        <v>2756</v>
      </c>
    </row>
    <row r="57" ht="56.25" customHeight="1">
      <c r="A57" s="23" t="s">
        <v>3115</v>
      </c>
      <c r="B57" s="15" t="str">
        <f>image("https://storage.googleapis.com/acdb/bottoms/BottomsTexSkirtLongMaone3.png")</f>
        <v/>
      </c>
      <c r="C57" s="15"/>
      <c r="D57" s="25" t="s">
        <v>28</v>
      </c>
      <c r="E57" s="13">
        <v>1320.0</v>
      </c>
      <c r="F57" s="13">
        <v>330.0</v>
      </c>
      <c r="G57" s="15">
        <v>5722.0</v>
      </c>
      <c r="H57" s="15" t="s">
        <v>38</v>
      </c>
      <c r="I57" s="15" t="s">
        <v>43</v>
      </c>
      <c r="J57" s="15" t="s">
        <v>2749</v>
      </c>
      <c r="K57" s="15" t="s">
        <v>2764</v>
      </c>
      <c r="L57" s="15" t="s">
        <v>2756</v>
      </c>
    </row>
    <row r="58" ht="56.25" customHeight="1">
      <c r="A58" s="23" t="s">
        <v>3120</v>
      </c>
      <c r="B58" s="15" t="str">
        <f>image("https://storage.googleapis.com/acdb/bottoms/BottomsTexPantsHalfBotanical0.png")</f>
        <v/>
      </c>
      <c r="C58" s="15"/>
      <c r="D58" s="25" t="s">
        <v>28</v>
      </c>
      <c r="E58" s="13">
        <v>700.0</v>
      </c>
      <c r="F58" s="13">
        <v>175.0</v>
      </c>
      <c r="G58" s="15">
        <v>5854.0</v>
      </c>
      <c r="H58" s="15" t="s">
        <v>38</v>
      </c>
      <c r="I58" s="15" t="s">
        <v>43</v>
      </c>
      <c r="J58" s="15" t="s">
        <v>2749</v>
      </c>
      <c r="K58" s="15" t="s">
        <v>2764</v>
      </c>
      <c r="L58" s="15" t="s">
        <v>2756</v>
      </c>
    </row>
    <row r="59" ht="56.25" customHeight="1">
      <c r="A59" s="23" t="s">
        <v>3120</v>
      </c>
      <c r="B59" s="15" t="str">
        <f>image("https://storage.googleapis.com/acdb/bottoms/BottomsTexPantsHalfBotanical1.png")</f>
        <v/>
      </c>
      <c r="C59" s="15"/>
      <c r="D59" s="25" t="s">
        <v>28</v>
      </c>
      <c r="E59" s="13">
        <v>700.0</v>
      </c>
      <c r="F59" s="13">
        <v>175.0</v>
      </c>
      <c r="G59" s="15">
        <v>5854.0</v>
      </c>
      <c r="H59" s="15" t="s">
        <v>38</v>
      </c>
      <c r="I59" s="15" t="s">
        <v>43</v>
      </c>
      <c r="J59" s="15" t="s">
        <v>2749</v>
      </c>
      <c r="K59" s="15" t="s">
        <v>2764</v>
      </c>
      <c r="L59" s="15" t="s">
        <v>2756</v>
      </c>
    </row>
    <row r="60" ht="56.25" customHeight="1">
      <c r="A60" s="23" t="s">
        <v>3122</v>
      </c>
      <c r="B60" s="15" t="str">
        <f>image("https://storage.googleapis.com/acdb/bottoms/BottomsTexSkirtBoxBoxpleats0.png")</f>
        <v/>
      </c>
      <c r="C60" s="15"/>
      <c r="D60" s="25" t="s">
        <v>28</v>
      </c>
      <c r="E60" s="13">
        <v>1320.0</v>
      </c>
      <c r="F60" s="13">
        <v>330.0</v>
      </c>
      <c r="G60" s="15">
        <v>5703.0</v>
      </c>
      <c r="H60" s="15" t="s">
        <v>38</v>
      </c>
      <c r="I60" s="15" t="s">
        <v>43</v>
      </c>
      <c r="J60" s="15" t="s">
        <v>2749</v>
      </c>
      <c r="K60" s="15" t="s">
        <v>2764</v>
      </c>
      <c r="L60" s="15" t="s">
        <v>2744</v>
      </c>
    </row>
    <row r="61" ht="56.25" customHeight="1">
      <c r="A61" s="23" t="s">
        <v>3122</v>
      </c>
      <c r="B61" s="15" t="str">
        <f>image("https://storage.googleapis.com/acdb/bottoms/BottomsTexSkirtBoxBoxpleats1.png")</f>
        <v/>
      </c>
      <c r="C61" s="15"/>
      <c r="D61" s="25" t="s">
        <v>28</v>
      </c>
      <c r="E61" s="13">
        <v>1320.0</v>
      </c>
      <c r="F61" s="13">
        <v>330.0</v>
      </c>
      <c r="G61" s="15">
        <v>5703.0</v>
      </c>
      <c r="H61" s="15" t="s">
        <v>38</v>
      </c>
      <c r="I61" s="15" t="s">
        <v>43</v>
      </c>
      <c r="J61" s="15" t="s">
        <v>2749</v>
      </c>
      <c r="K61" s="15" t="s">
        <v>2764</v>
      </c>
      <c r="L61" s="15" t="s">
        <v>2744</v>
      </c>
    </row>
    <row r="62" ht="56.25" customHeight="1">
      <c r="A62" s="23" t="s">
        <v>3122</v>
      </c>
      <c r="B62" s="15" t="str">
        <f>image("https://storage.googleapis.com/acdb/bottoms/BottomsTexSkirtBoxBoxpleats2.png")</f>
        <v/>
      </c>
      <c r="C62" s="15"/>
      <c r="D62" s="25" t="s">
        <v>28</v>
      </c>
      <c r="E62" s="13">
        <v>1320.0</v>
      </c>
      <c r="F62" s="13">
        <v>330.0</v>
      </c>
      <c r="G62" s="15">
        <v>5703.0</v>
      </c>
      <c r="H62" s="15" t="s">
        <v>38</v>
      </c>
      <c r="I62" s="15" t="s">
        <v>43</v>
      </c>
      <c r="J62" s="15" t="s">
        <v>2749</v>
      </c>
      <c r="K62" s="15" t="s">
        <v>2764</v>
      </c>
      <c r="L62" s="15" t="s">
        <v>2744</v>
      </c>
    </row>
    <row r="63" ht="56.25" customHeight="1">
      <c r="A63" s="23" t="s">
        <v>3122</v>
      </c>
      <c r="B63" s="15" t="str">
        <f>image("https://storage.googleapis.com/acdb/bottoms/BottomsTexSkirtBoxBoxpleats3.png")</f>
        <v/>
      </c>
      <c r="C63" s="15"/>
      <c r="D63" s="25" t="s">
        <v>28</v>
      </c>
      <c r="E63" s="13">
        <v>1320.0</v>
      </c>
      <c r="F63" s="13">
        <v>330.0</v>
      </c>
      <c r="G63" s="15">
        <v>5703.0</v>
      </c>
      <c r="H63" s="15" t="s">
        <v>38</v>
      </c>
      <c r="I63" s="15" t="s">
        <v>43</v>
      </c>
      <c r="J63" s="15" t="s">
        <v>2749</v>
      </c>
      <c r="K63" s="15" t="s">
        <v>2764</v>
      </c>
      <c r="L63" s="15" t="s">
        <v>2744</v>
      </c>
    </row>
    <row r="64" ht="56.25" customHeight="1">
      <c r="A64" s="23" t="s">
        <v>3127</v>
      </c>
      <c r="B64" s="15" t="str">
        <f>image("https://storage.googleapis.com/acdb/bottoms/BottomsTexSkirtLongLace0.png")</f>
        <v/>
      </c>
      <c r="C64" s="15"/>
      <c r="D64" s="25" t="s">
        <v>28</v>
      </c>
      <c r="E64" s="13">
        <v>1200.0</v>
      </c>
      <c r="F64" s="13">
        <v>300.0</v>
      </c>
      <c r="G64" s="15">
        <v>5421.0</v>
      </c>
      <c r="H64" s="15" t="s">
        <v>38</v>
      </c>
      <c r="I64" s="15" t="s">
        <v>43</v>
      </c>
      <c r="J64" s="15" t="s">
        <v>2749</v>
      </c>
      <c r="K64" s="15" t="s">
        <v>2764</v>
      </c>
      <c r="L64" s="15" t="s">
        <v>2744</v>
      </c>
    </row>
    <row r="65" ht="56.25" customHeight="1">
      <c r="A65" s="23" t="s">
        <v>3127</v>
      </c>
      <c r="B65" s="15" t="str">
        <f>image("https://storage.googleapis.com/acdb/bottoms/BottomsTexSkirtLongLace1.png")</f>
        <v/>
      </c>
      <c r="C65" s="15"/>
      <c r="D65" s="25" t="s">
        <v>28</v>
      </c>
      <c r="E65" s="13">
        <v>1200.0</v>
      </c>
      <c r="F65" s="13">
        <v>300.0</v>
      </c>
      <c r="G65" s="15">
        <v>5421.0</v>
      </c>
      <c r="H65" s="15" t="s">
        <v>38</v>
      </c>
      <c r="I65" s="15" t="s">
        <v>43</v>
      </c>
      <c r="J65" s="15" t="s">
        <v>2749</v>
      </c>
      <c r="K65" s="15" t="s">
        <v>2764</v>
      </c>
      <c r="L65" s="15" t="s">
        <v>2744</v>
      </c>
    </row>
    <row r="66" ht="56.25" customHeight="1">
      <c r="A66" s="23" t="s">
        <v>3127</v>
      </c>
      <c r="B66" s="15" t="str">
        <f>image("https://storage.googleapis.com/acdb/bottoms/BottomsTexSkirtLongLace2.png")</f>
        <v/>
      </c>
      <c r="C66" s="15"/>
      <c r="D66" s="25" t="s">
        <v>28</v>
      </c>
      <c r="E66" s="13">
        <v>1200.0</v>
      </c>
      <c r="F66" s="13">
        <v>300.0</v>
      </c>
      <c r="G66" s="15">
        <v>5421.0</v>
      </c>
      <c r="H66" s="15" t="s">
        <v>38</v>
      </c>
      <c r="I66" s="15" t="s">
        <v>43</v>
      </c>
      <c r="J66" s="15" t="s">
        <v>2749</v>
      </c>
      <c r="K66" s="15" t="s">
        <v>2764</v>
      </c>
      <c r="L66" s="15" t="s">
        <v>2744</v>
      </c>
    </row>
    <row r="67" ht="56.25" customHeight="1">
      <c r="A67" s="23" t="s">
        <v>3127</v>
      </c>
      <c r="B67" s="15" t="str">
        <f>image("https://storage.googleapis.com/acdb/bottoms/BottomsTexSkirtLongLace3.png")</f>
        <v/>
      </c>
      <c r="C67" s="15"/>
      <c r="D67" s="25" t="s">
        <v>28</v>
      </c>
      <c r="E67" s="13">
        <v>1200.0</v>
      </c>
      <c r="F67" s="13">
        <v>300.0</v>
      </c>
      <c r="G67" s="15">
        <v>5421.0</v>
      </c>
      <c r="H67" s="15" t="s">
        <v>38</v>
      </c>
      <c r="I67" s="15" t="s">
        <v>43</v>
      </c>
      <c r="J67" s="15" t="s">
        <v>2749</v>
      </c>
      <c r="K67" s="15" t="s">
        <v>2764</v>
      </c>
      <c r="L67" s="15" t="s">
        <v>2744</v>
      </c>
    </row>
    <row r="68" ht="56.25" customHeight="1">
      <c r="A68" s="23" t="s">
        <v>3127</v>
      </c>
      <c r="B68" s="15" t="str">
        <f>image("https://storage.googleapis.com/acdb/bottoms/BottomsTexSkirtLongLace4.png")</f>
        <v/>
      </c>
      <c r="C68" s="15"/>
      <c r="D68" s="25" t="s">
        <v>28</v>
      </c>
      <c r="E68" s="13">
        <v>1200.0</v>
      </c>
      <c r="F68" s="13">
        <v>300.0</v>
      </c>
      <c r="G68" s="15">
        <v>5421.0</v>
      </c>
      <c r="H68" s="15" t="s">
        <v>38</v>
      </c>
      <c r="I68" s="15" t="s">
        <v>43</v>
      </c>
      <c r="J68" s="15" t="s">
        <v>2749</v>
      </c>
      <c r="K68" s="15" t="s">
        <v>2764</v>
      </c>
      <c r="L68" s="15" t="s">
        <v>2744</v>
      </c>
    </row>
    <row r="69" ht="56.25" customHeight="1">
      <c r="A69" s="23" t="s">
        <v>3131</v>
      </c>
      <c r="B69" s="15" t="str">
        <f>image("https://storage.googleapis.com/acdb/bottoms/BottomsTexSkirtLongWrapbicolor0.png")</f>
        <v/>
      </c>
      <c r="C69" s="15"/>
      <c r="D69" s="25" t="s">
        <v>28</v>
      </c>
      <c r="E69" s="13">
        <v>1820.0</v>
      </c>
      <c r="F69" s="13">
        <v>455.0</v>
      </c>
      <c r="G69" s="15">
        <v>5816.0</v>
      </c>
      <c r="H69" s="15" t="s">
        <v>38</v>
      </c>
      <c r="I69" s="15" t="s">
        <v>43</v>
      </c>
      <c r="J69" s="15" t="s">
        <v>2749</v>
      </c>
      <c r="K69" s="15" t="s">
        <v>2751</v>
      </c>
      <c r="L69" s="15" t="s">
        <v>2863</v>
      </c>
    </row>
    <row r="70" ht="56.25" customHeight="1">
      <c r="A70" s="23" t="s">
        <v>3131</v>
      </c>
      <c r="B70" s="15" t="str">
        <f>image("https://storage.googleapis.com/acdb/bottoms/BottomsTexSkirtLongWrapbicolor1.png")</f>
        <v/>
      </c>
      <c r="C70" s="15"/>
      <c r="D70" s="25" t="s">
        <v>28</v>
      </c>
      <c r="E70" s="13">
        <v>1820.0</v>
      </c>
      <c r="F70" s="13">
        <v>455.0</v>
      </c>
      <c r="G70" s="15">
        <v>5816.0</v>
      </c>
      <c r="H70" s="15" t="s">
        <v>38</v>
      </c>
      <c r="I70" s="15" t="s">
        <v>43</v>
      </c>
      <c r="J70" s="15" t="s">
        <v>2749</v>
      </c>
      <c r="K70" s="15" t="s">
        <v>2751</v>
      </c>
      <c r="L70" s="15" t="s">
        <v>2863</v>
      </c>
    </row>
    <row r="71" ht="56.25" customHeight="1">
      <c r="A71" s="23" t="s">
        <v>3131</v>
      </c>
      <c r="B71" s="15" t="str">
        <f>image("https://storage.googleapis.com/acdb/bottoms/BottomsTexSkirtLongWrapbicolor2.png")</f>
        <v/>
      </c>
      <c r="C71" s="15"/>
      <c r="D71" s="25" t="s">
        <v>28</v>
      </c>
      <c r="E71" s="13">
        <v>1820.0</v>
      </c>
      <c r="F71" s="13">
        <v>455.0</v>
      </c>
      <c r="G71" s="15">
        <v>5816.0</v>
      </c>
      <c r="H71" s="15" t="s">
        <v>38</v>
      </c>
      <c r="I71" s="15" t="s">
        <v>43</v>
      </c>
      <c r="J71" s="15" t="s">
        <v>2749</v>
      </c>
      <c r="K71" s="15" t="s">
        <v>2751</v>
      </c>
      <c r="L71" s="15" t="s">
        <v>2863</v>
      </c>
    </row>
    <row r="72" ht="56.25" customHeight="1">
      <c r="A72" s="23" t="s">
        <v>3131</v>
      </c>
      <c r="B72" s="15" t="str">
        <f>image("https://storage.googleapis.com/acdb/bottoms/BottomsTexSkirtLongWrapbicolor3.png")</f>
        <v/>
      </c>
      <c r="C72" s="15"/>
      <c r="D72" s="25" t="s">
        <v>28</v>
      </c>
      <c r="E72" s="13">
        <v>1820.0</v>
      </c>
      <c r="F72" s="13">
        <v>455.0</v>
      </c>
      <c r="G72" s="15">
        <v>5816.0</v>
      </c>
      <c r="H72" s="15" t="s">
        <v>38</v>
      </c>
      <c r="I72" s="15" t="s">
        <v>43</v>
      </c>
      <c r="J72" s="15" t="s">
        <v>2749</v>
      </c>
      <c r="K72" s="15" t="s">
        <v>2751</v>
      </c>
      <c r="L72" s="15" t="s">
        <v>2863</v>
      </c>
    </row>
    <row r="73" ht="56.25" customHeight="1">
      <c r="A73" s="23" t="s">
        <v>3131</v>
      </c>
      <c r="B73" s="15" t="str">
        <f>image("https://storage.googleapis.com/acdb/bottoms/BottomsTexSkirtLongWrapbicolor4.png")</f>
        <v/>
      </c>
      <c r="C73" s="15"/>
      <c r="D73" s="25" t="s">
        <v>28</v>
      </c>
      <c r="E73" s="13">
        <v>1820.0</v>
      </c>
      <c r="F73" s="13">
        <v>455.0</v>
      </c>
      <c r="G73" s="15">
        <v>5816.0</v>
      </c>
      <c r="H73" s="15" t="s">
        <v>38</v>
      </c>
      <c r="I73" s="15" t="s">
        <v>43</v>
      </c>
      <c r="J73" s="15" t="s">
        <v>2749</v>
      </c>
      <c r="K73" s="15" t="s">
        <v>2751</v>
      </c>
      <c r="L73" s="15" t="s">
        <v>2863</v>
      </c>
    </row>
    <row r="74" ht="56.25" customHeight="1">
      <c r="A74" s="23" t="s">
        <v>3131</v>
      </c>
      <c r="B74" s="15" t="str">
        <f>image("https://storage.googleapis.com/acdb/bottoms/BottomsTexSkirtLongWrapbicolor5.png")</f>
        <v/>
      </c>
      <c r="C74" s="15"/>
      <c r="D74" s="25" t="s">
        <v>28</v>
      </c>
      <c r="E74" s="13">
        <v>1820.0</v>
      </c>
      <c r="F74" s="13">
        <v>455.0</v>
      </c>
      <c r="G74" s="15">
        <v>5816.0</v>
      </c>
      <c r="H74" s="15" t="s">
        <v>38</v>
      </c>
      <c r="I74" s="15" t="s">
        <v>43</v>
      </c>
      <c r="J74" s="15" t="s">
        <v>2749</v>
      </c>
      <c r="K74" s="15" t="s">
        <v>2751</v>
      </c>
      <c r="L74" s="15" t="s">
        <v>2863</v>
      </c>
    </row>
    <row r="75" ht="56.25" customHeight="1">
      <c r="A75" s="23" t="s">
        <v>3138</v>
      </c>
      <c r="B75" s="15" t="str">
        <f>image("https://storage.googleapis.com/acdb/bottoms/BottomsTexPantsNormalCamouflage0.png")</f>
        <v/>
      </c>
      <c r="C75" s="15"/>
      <c r="D75" s="25" t="s">
        <v>28</v>
      </c>
      <c r="E75" s="13">
        <v>1300.0</v>
      </c>
      <c r="F75" s="13">
        <v>325.0</v>
      </c>
      <c r="G75" s="15">
        <v>3342.0</v>
      </c>
      <c r="H75" s="15" t="s">
        <v>38</v>
      </c>
      <c r="I75" s="15" t="s">
        <v>43</v>
      </c>
      <c r="J75" s="15" t="s">
        <v>2749</v>
      </c>
      <c r="K75" s="15" t="s">
        <v>2764</v>
      </c>
      <c r="L75" s="15" t="s">
        <v>2756</v>
      </c>
    </row>
    <row r="76" ht="56.25" customHeight="1">
      <c r="A76" s="23" t="s">
        <v>3138</v>
      </c>
      <c r="B76" s="15" t="str">
        <f>image("https://storage.googleapis.com/acdb/bottoms/BottomsTexPantsNormalCamouflage1.png")</f>
        <v/>
      </c>
      <c r="C76" s="15"/>
      <c r="D76" s="25" t="s">
        <v>28</v>
      </c>
      <c r="E76" s="13">
        <v>1300.0</v>
      </c>
      <c r="F76" s="13">
        <v>325.0</v>
      </c>
      <c r="G76" s="15">
        <v>3342.0</v>
      </c>
      <c r="H76" s="15" t="s">
        <v>38</v>
      </c>
      <c r="I76" s="15" t="s">
        <v>43</v>
      </c>
      <c r="J76" s="15" t="s">
        <v>2749</v>
      </c>
      <c r="K76" s="15" t="s">
        <v>2764</v>
      </c>
      <c r="L76" s="15" t="s">
        <v>2756</v>
      </c>
    </row>
    <row r="77" ht="56.25" customHeight="1">
      <c r="A77" s="23" t="s">
        <v>3138</v>
      </c>
      <c r="B77" s="15" t="str">
        <f>image("https://storage.googleapis.com/acdb/bottoms/BottomsTexPantsNormalCamouflage2.png")</f>
        <v/>
      </c>
      <c r="C77" s="15"/>
      <c r="D77" s="25" t="s">
        <v>28</v>
      </c>
      <c r="E77" s="13">
        <v>1300.0</v>
      </c>
      <c r="F77" s="13">
        <v>325.0</v>
      </c>
      <c r="G77" s="15">
        <v>3342.0</v>
      </c>
      <c r="H77" s="15" t="s">
        <v>38</v>
      </c>
      <c r="I77" s="15" t="s">
        <v>43</v>
      </c>
      <c r="J77" s="15" t="s">
        <v>2749</v>
      </c>
      <c r="K77" s="15" t="s">
        <v>2764</v>
      </c>
      <c r="L77" s="15" t="s">
        <v>2756</v>
      </c>
    </row>
    <row r="78" ht="56.25" customHeight="1">
      <c r="A78" s="23" t="s">
        <v>3138</v>
      </c>
      <c r="B78" s="15" t="str">
        <f>image("https://storage.googleapis.com/acdb/bottoms/BottomsTexPantsNormalCamouflage3.png")</f>
        <v/>
      </c>
      <c r="C78" s="15"/>
      <c r="D78" s="25" t="s">
        <v>28</v>
      </c>
      <c r="E78" s="13">
        <v>1300.0</v>
      </c>
      <c r="F78" s="13">
        <v>325.0</v>
      </c>
      <c r="G78" s="15">
        <v>3342.0</v>
      </c>
      <c r="H78" s="15" t="s">
        <v>38</v>
      </c>
      <c r="I78" s="15" t="s">
        <v>43</v>
      </c>
      <c r="J78" s="15" t="s">
        <v>2749</v>
      </c>
      <c r="K78" s="15" t="s">
        <v>2764</v>
      </c>
      <c r="L78" s="15" t="s">
        <v>2756</v>
      </c>
    </row>
    <row r="79" ht="56.25" customHeight="1">
      <c r="A79" s="23" t="s">
        <v>3138</v>
      </c>
      <c r="B79" s="15" t="str">
        <f>image("https://storage.googleapis.com/acdb/bottoms/BottomsTexPantsNormalCamouflage4.png")</f>
        <v/>
      </c>
      <c r="C79" s="15"/>
      <c r="D79" s="25" t="s">
        <v>28</v>
      </c>
      <c r="E79" s="13">
        <v>1300.0</v>
      </c>
      <c r="F79" s="13">
        <v>325.0</v>
      </c>
      <c r="G79" s="15">
        <v>3342.0</v>
      </c>
      <c r="H79" s="15" t="s">
        <v>38</v>
      </c>
      <c r="I79" s="15" t="s">
        <v>43</v>
      </c>
      <c r="J79" s="15" t="s">
        <v>2749</v>
      </c>
      <c r="K79" s="15" t="s">
        <v>2764</v>
      </c>
      <c r="L79" s="15" t="s">
        <v>2756</v>
      </c>
    </row>
    <row r="80" ht="56.25" customHeight="1">
      <c r="A80" s="23" t="s">
        <v>3138</v>
      </c>
      <c r="B80" s="15" t="str">
        <f>image("https://storage.googleapis.com/acdb/bottoms/BottomsTexPantsNormalCamouflage5.png")</f>
        <v/>
      </c>
      <c r="C80" s="15"/>
      <c r="D80" s="25" t="s">
        <v>28</v>
      </c>
      <c r="E80" s="13">
        <v>1300.0</v>
      </c>
      <c r="F80" s="13">
        <v>325.0</v>
      </c>
      <c r="G80" s="15">
        <v>3342.0</v>
      </c>
      <c r="H80" s="15" t="s">
        <v>38</v>
      </c>
      <c r="I80" s="15" t="s">
        <v>43</v>
      </c>
      <c r="J80" s="15" t="s">
        <v>2749</v>
      </c>
      <c r="K80" s="15" t="s">
        <v>2764</v>
      </c>
      <c r="L80" s="15" t="s">
        <v>2756</v>
      </c>
    </row>
    <row r="81" ht="56.25" customHeight="1">
      <c r="A81" s="23" t="s">
        <v>3138</v>
      </c>
      <c r="B81" s="15" t="str">
        <f>image("https://storage.googleapis.com/acdb/bottoms/BottomsTexPantsNormalCamouflage6.png")</f>
        <v/>
      </c>
      <c r="C81" s="15"/>
      <c r="D81" s="25" t="s">
        <v>28</v>
      </c>
      <c r="E81" s="13">
        <v>1300.0</v>
      </c>
      <c r="F81" s="13">
        <v>325.0</v>
      </c>
      <c r="G81" s="15">
        <v>3342.0</v>
      </c>
      <c r="H81" s="15" t="s">
        <v>38</v>
      </c>
      <c r="I81" s="15" t="s">
        <v>43</v>
      </c>
      <c r="J81" s="15" t="s">
        <v>2749</v>
      </c>
      <c r="K81" s="15" t="s">
        <v>2764</v>
      </c>
      <c r="L81" s="15" t="s">
        <v>2756</v>
      </c>
    </row>
    <row r="82" ht="56.25" customHeight="1">
      <c r="A82" s="23" t="s">
        <v>3144</v>
      </c>
      <c r="B82" s="15" t="str">
        <f>image("https://storage.googleapis.com/acdb/bottoms/BottomsTexSkirtBoxCamo0.png")</f>
        <v/>
      </c>
      <c r="C82" s="15"/>
      <c r="D82" s="25" t="s">
        <v>28</v>
      </c>
      <c r="E82" s="13">
        <v>1300.0</v>
      </c>
      <c r="F82" s="13">
        <v>325.0</v>
      </c>
      <c r="G82" s="15">
        <v>4434.0</v>
      </c>
      <c r="H82" s="15" t="s">
        <v>38</v>
      </c>
      <c r="I82" s="15" t="s">
        <v>43</v>
      </c>
      <c r="J82" s="15" t="s">
        <v>2749</v>
      </c>
      <c r="K82" s="15" t="s">
        <v>2764</v>
      </c>
      <c r="L82" s="15" t="s">
        <v>2756</v>
      </c>
    </row>
    <row r="83" ht="56.25" customHeight="1">
      <c r="A83" s="23" t="s">
        <v>3144</v>
      </c>
      <c r="B83" s="15" t="str">
        <f>image("https://storage.googleapis.com/acdb/bottoms/BottomsTexSkirtBoxCamo1.png")</f>
        <v/>
      </c>
      <c r="C83" s="15"/>
      <c r="D83" s="25" t="s">
        <v>28</v>
      </c>
      <c r="E83" s="13">
        <v>1300.0</v>
      </c>
      <c r="F83" s="13">
        <v>325.0</v>
      </c>
      <c r="G83" s="15">
        <v>4434.0</v>
      </c>
      <c r="H83" s="15" t="s">
        <v>38</v>
      </c>
      <c r="I83" s="15" t="s">
        <v>43</v>
      </c>
      <c r="J83" s="15" t="s">
        <v>2749</v>
      </c>
      <c r="K83" s="15" t="s">
        <v>2764</v>
      </c>
      <c r="L83" s="15" t="s">
        <v>2756</v>
      </c>
    </row>
    <row r="84" ht="56.25" customHeight="1">
      <c r="A84" s="23" t="s">
        <v>3144</v>
      </c>
      <c r="B84" s="15" t="str">
        <f>image("https://storage.googleapis.com/acdb/bottoms/BottomsTexSkirtBoxCamo2.png")</f>
        <v/>
      </c>
      <c r="C84" s="15"/>
      <c r="D84" s="25" t="s">
        <v>28</v>
      </c>
      <c r="E84" s="13">
        <v>1300.0</v>
      </c>
      <c r="F84" s="13">
        <v>325.0</v>
      </c>
      <c r="G84" s="15">
        <v>4434.0</v>
      </c>
      <c r="H84" s="15" t="s">
        <v>38</v>
      </c>
      <c r="I84" s="15" t="s">
        <v>43</v>
      </c>
      <c r="J84" s="15" t="s">
        <v>2749</v>
      </c>
      <c r="K84" s="15" t="s">
        <v>2764</v>
      </c>
      <c r="L84" s="15" t="s">
        <v>2756</v>
      </c>
    </row>
    <row r="85" ht="56.25" customHeight="1">
      <c r="A85" s="23" t="s">
        <v>3144</v>
      </c>
      <c r="B85" s="15" t="str">
        <f>image("https://storage.googleapis.com/acdb/bottoms/BottomsTexSkirtBoxCamo3.png")</f>
        <v/>
      </c>
      <c r="C85" s="15"/>
      <c r="D85" s="25" t="s">
        <v>28</v>
      </c>
      <c r="E85" s="13">
        <v>1300.0</v>
      </c>
      <c r="F85" s="13">
        <v>325.0</v>
      </c>
      <c r="G85" s="15">
        <v>4434.0</v>
      </c>
      <c r="H85" s="15" t="s">
        <v>38</v>
      </c>
      <c r="I85" s="15" t="s">
        <v>43</v>
      </c>
      <c r="J85" s="15" t="s">
        <v>2749</v>
      </c>
      <c r="K85" s="15" t="s">
        <v>2764</v>
      </c>
      <c r="L85" s="15" t="s">
        <v>2756</v>
      </c>
    </row>
    <row r="86" ht="56.25" customHeight="1">
      <c r="A86" s="23" t="s">
        <v>3144</v>
      </c>
      <c r="B86" s="15" t="str">
        <f>image("https://storage.googleapis.com/acdb/bottoms/BottomsTexSkirtBoxCamo4.png")</f>
        <v/>
      </c>
      <c r="C86" s="15"/>
      <c r="D86" s="25" t="s">
        <v>28</v>
      </c>
      <c r="E86" s="13">
        <v>1300.0</v>
      </c>
      <c r="F86" s="13">
        <v>325.0</v>
      </c>
      <c r="G86" s="15">
        <v>4434.0</v>
      </c>
      <c r="H86" s="15" t="s">
        <v>38</v>
      </c>
      <c r="I86" s="15" t="s">
        <v>43</v>
      </c>
      <c r="J86" s="15" t="s">
        <v>2749</v>
      </c>
      <c r="K86" s="15" t="s">
        <v>2764</v>
      </c>
      <c r="L86" s="15" t="s">
        <v>2756</v>
      </c>
    </row>
    <row r="87" ht="56.25" customHeight="1">
      <c r="A87" s="23" t="s">
        <v>3144</v>
      </c>
      <c r="B87" s="15" t="str">
        <f>image("https://storage.googleapis.com/acdb/bottoms/BottomsTexSkirtBoxCamo5.png")</f>
        <v/>
      </c>
      <c r="C87" s="15"/>
      <c r="D87" s="25" t="s">
        <v>28</v>
      </c>
      <c r="E87" s="13">
        <v>1300.0</v>
      </c>
      <c r="F87" s="13">
        <v>325.0</v>
      </c>
      <c r="G87" s="15">
        <v>4434.0</v>
      </c>
      <c r="H87" s="15" t="s">
        <v>38</v>
      </c>
      <c r="I87" s="15" t="s">
        <v>43</v>
      </c>
      <c r="J87" s="15" t="s">
        <v>2749</v>
      </c>
      <c r="K87" s="15" t="s">
        <v>2764</v>
      </c>
      <c r="L87" s="15" t="s">
        <v>2756</v>
      </c>
    </row>
    <row r="88" ht="56.25" customHeight="1">
      <c r="A88" s="23" t="s">
        <v>3144</v>
      </c>
      <c r="B88" s="15" t="str">
        <f>image("https://storage.googleapis.com/acdb/bottoms/BottomsTexSkirtBoxCamo6.png")</f>
        <v/>
      </c>
      <c r="C88" s="15"/>
      <c r="D88" s="25" t="s">
        <v>28</v>
      </c>
      <c r="E88" s="13">
        <v>1300.0</v>
      </c>
      <c r="F88" s="13">
        <v>325.0</v>
      </c>
      <c r="G88" s="15">
        <v>4434.0</v>
      </c>
      <c r="H88" s="15" t="s">
        <v>38</v>
      </c>
      <c r="I88" s="15" t="s">
        <v>43</v>
      </c>
      <c r="J88" s="15" t="s">
        <v>2749</v>
      </c>
      <c r="K88" s="15" t="s">
        <v>2764</v>
      </c>
      <c r="L88" s="15" t="s">
        <v>2756</v>
      </c>
    </row>
    <row r="89" ht="56.25" customHeight="1">
      <c r="A89" s="23" t="s">
        <v>3151</v>
      </c>
      <c r="B89" s="15" t="str">
        <f>image("https://storage.googleapis.com/acdb/bottoms/BottomsTexSkirtBoxCareer0.png")</f>
        <v/>
      </c>
      <c r="C89" s="15"/>
      <c r="D89" s="25" t="s">
        <v>28</v>
      </c>
      <c r="E89" s="13">
        <v>1560.0</v>
      </c>
      <c r="F89" s="13">
        <v>390.0</v>
      </c>
      <c r="G89" s="15">
        <v>4504.0</v>
      </c>
      <c r="H89" s="15" t="s">
        <v>38</v>
      </c>
      <c r="I89" s="15" t="s">
        <v>43</v>
      </c>
      <c r="J89" s="15" t="s">
        <v>2749</v>
      </c>
      <c r="K89" s="15" t="s">
        <v>2751</v>
      </c>
      <c r="L89" s="15" t="s">
        <v>2744</v>
      </c>
    </row>
    <row r="90" ht="56.25" customHeight="1">
      <c r="A90" s="23" t="s">
        <v>3151</v>
      </c>
      <c r="B90" s="15" t="str">
        <f>image("https://storage.googleapis.com/acdb/bottoms/BottomsTexSkirtBoxCareer1.png")</f>
        <v/>
      </c>
      <c r="C90" s="15"/>
      <c r="D90" s="25" t="s">
        <v>28</v>
      </c>
      <c r="E90" s="13">
        <v>1560.0</v>
      </c>
      <c r="F90" s="13">
        <v>390.0</v>
      </c>
      <c r="G90" s="15">
        <v>4504.0</v>
      </c>
      <c r="H90" s="15" t="s">
        <v>38</v>
      </c>
      <c r="I90" s="15" t="s">
        <v>43</v>
      </c>
      <c r="J90" s="15" t="s">
        <v>2749</v>
      </c>
      <c r="K90" s="15" t="s">
        <v>2751</v>
      </c>
      <c r="L90" s="15" t="s">
        <v>2744</v>
      </c>
    </row>
    <row r="91" ht="56.25" customHeight="1">
      <c r="A91" s="23" t="s">
        <v>3151</v>
      </c>
      <c r="B91" s="15" t="str">
        <f>image("https://storage.googleapis.com/acdb/bottoms/BottomsTexSkirtBoxCareer2.png")</f>
        <v/>
      </c>
      <c r="C91" s="15"/>
      <c r="D91" s="25" t="s">
        <v>28</v>
      </c>
      <c r="E91" s="13">
        <v>1560.0</v>
      </c>
      <c r="F91" s="13">
        <v>390.0</v>
      </c>
      <c r="G91" s="15">
        <v>4504.0</v>
      </c>
      <c r="H91" s="15" t="s">
        <v>38</v>
      </c>
      <c r="I91" s="15" t="s">
        <v>43</v>
      </c>
      <c r="J91" s="15" t="s">
        <v>2749</v>
      </c>
      <c r="K91" s="15" t="s">
        <v>2751</v>
      </c>
      <c r="L91" s="15" t="s">
        <v>2744</v>
      </c>
    </row>
    <row r="92" ht="56.25" customHeight="1">
      <c r="A92" s="23" t="s">
        <v>3151</v>
      </c>
      <c r="B92" s="15" t="str">
        <f>image("https://storage.googleapis.com/acdb/bottoms/BottomsTexSkirtBoxCareer3.png")</f>
        <v/>
      </c>
      <c r="C92" s="15"/>
      <c r="D92" s="25" t="s">
        <v>28</v>
      </c>
      <c r="E92" s="13">
        <v>1560.0</v>
      </c>
      <c r="F92" s="13">
        <v>390.0</v>
      </c>
      <c r="G92" s="15">
        <v>4504.0</v>
      </c>
      <c r="H92" s="15" t="s">
        <v>38</v>
      </c>
      <c r="I92" s="15" t="s">
        <v>43</v>
      </c>
      <c r="J92" s="15" t="s">
        <v>2749</v>
      </c>
      <c r="K92" s="15" t="s">
        <v>2751</v>
      </c>
      <c r="L92" s="15" t="s">
        <v>2744</v>
      </c>
    </row>
    <row r="93" ht="56.25" customHeight="1">
      <c r="A93" s="23" t="s">
        <v>3151</v>
      </c>
      <c r="B93" s="15" t="str">
        <f>image("https://storage.googleapis.com/acdb/bottoms/BottomsTexSkirtBoxCareer4.png")</f>
        <v/>
      </c>
      <c r="C93" s="15"/>
      <c r="D93" s="25" t="s">
        <v>28</v>
      </c>
      <c r="E93" s="13">
        <v>1560.0</v>
      </c>
      <c r="F93" s="13">
        <v>390.0</v>
      </c>
      <c r="G93" s="15">
        <v>4504.0</v>
      </c>
      <c r="H93" s="15" t="s">
        <v>38</v>
      </c>
      <c r="I93" s="15" t="s">
        <v>43</v>
      </c>
      <c r="J93" s="15" t="s">
        <v>2749</v>
      </c>
      <c r="K93" s="15" t="s">
        <v>2751</v>
      </c>
      <c r="L93" s="15" t="s">
        <v>2744</v>
      </c>
    </row>
    <row r="94" ht="56.25" customHeight="1">
      <c r="A94" s="23" t="s">
        <v>3151</v>
      </c>
      <c r="B94" s="15" t="str">
        <f>image("https://storage.googleapis.com/acdb/bottoms/BottomsTexSkirtBoxCareer5.png")</f>
        <v/>
      </c>
      <c r="C94" s="15"/>
      <c r="D94" s="25" t="s">
        <v>28</v>
      </c>
      <c r="E94" s="13">
        <v>1560.0</v>
      </c>
      <c r="F94" s="13">
        <v>390.0</v>
      </c>
      <c r="G94" s="15">
        <v>4504.0</v>
      </c>
      <c r="H94" s="15" t="s">
        <v>38</v>
      </c>
      <c r="I94" s="15" t="s">
        <v>43</v>
      </c>
      <c r="J94" s="15" t="s">
        <v>2749</v>
      </c>
      <c r="K94" s="15" t="s">
        <v>2751</v>
      </c>
      <c r="L94" s="15" t="s">
        <v>2744</v>
      </c>
    </row>
    <row r="95" ht="56.25" customHeight="1">
      <c r="A95" s="23" t="s">
        <v>3151</v>
      </c>
      <c r="B95" s="15" t="str">
        <f>image("https://storage.googleapis.com/acdb/bottoms/BottomsTexSkirtBoxCareer6.png")</f>
        <v/>
      </c>
      <c r="C95" s="15"/>
      <c r="D95" s="25" t="s">
        <v>28</v>
      </c>
      <c r="E95" s="13">
        <v>1560.0</v>
      </c>
      <c r="F95" s="13">
        <v>390.0</v>
      </c>
      <c r="G95" s="15">
        <v>4504.0</v>
      </c>
      <c r="H95" s="15" t="s">
        <v>38</v>
      </c>
      <c r="I95" s="15" t="s">
        <v>43</v>
      </c>
      <c r="J95" s="15" t="s">
        <v>2749</v>
      </c>
      <c r="K95" s="15" t="s">
        <v>2751</v>
      </c>
      <c r="L95" s="15" t="s">
        <v>2744</v>
      </c>
    </row>
    <row r="96" ht="56.25" customHeight="1">
      <c r="A96" s="23" t="s">
        <v>3151</v>
      </c>
      <c r="B96" s="15" t="str">
        <f>image("https://storage.googleapis.com/acdb/bottoms/BottomsTexSkirtBoxCareer7.png")</f>
        <v/>
      </c>
      <c r="C96" s="15"/>
      <c r="D96" s="25" t="s">
        <v>28</v>
      </c>
      <c r="E96" s="13">
        <v>1560.0</v>
      </c>
      <c r="F96" s="13">
        <v>390.0</v>
      </c>
      <c r="G96" s="15">
        <v>4504.0</v>
      </c>
      <c r="H96" s="15" t="s">
        <v>38</v>
      </c>
      <c r="I96" s="15" t="s">
        <v>43</v>
      </c>
      <c r="J96" s="15" t="s">
        <v>2749</v>
      </c>
      <c r="K96" s="15" t="s">
        <v>2751</v>
      </c>
      <c r="L96" s="15" t="s">
        <v>2744</v>
      </c>
    </row>
    <row r="97" ht="56.25" customHeight="1">
      <c r="A97" s="23" t="s">
        <v>3158</v>
      </c>
      <c r="B97" s="15" t="str">
        <f>image("https://storage.googleapis.com/acdb/bottoms/BottomsTexPantsWideCargo0.png")</f>
        <v/>
      </c>
      <c r="C97" s="15"/>
      <c r="D97" s="25" t="s">
        <v>28</v>
      </c>
      <c r="E97" s="13">
        <v>770.0</v>
      </c>
      <c r="F97" s="13">
        <v>192.0</v>
      </c>
      <c r="G97" s="15">
        <v>3351.0</v>
      </c>
      <c r="H97" s="15" t="s">
        <v>38</v>
      </c>
      <c r="I97" s="15" t="s">
        <v>43</v>
      </c>
      <c r="J97" s="15" t="s">
        <v>2749</v>
      </c>
      <c r="K97" s="15" t="s">
        <v>2764</v>
      </c>
      <c r="L97" s="15" t="s">
        <v>2744</v>
      </c>
    </row>
    <row r="98" ht="56.25" customHeight="1">
      <c r="A98" s="23" t="s">
        <v>3158</v>
      </c>
      <c r="B98" s="15" t="str">
        <f>image("https://storage.googleapis.com/acdb/bottoms/BottomsTexPantsWideCargo1.png")</f>
        <v/>
      </c>
      <c r="C98" s="15"/>
      <c r="D98" s="25" t="s">
        <v>28</v>
      </c>
      <c r="E98" s="13">
        <v>770.0</v>
      </c>
      <c r="F98" s="13">
        <v>192.0</v>
      </c>
      <c r="G98" s="15">
        <v>3351.0</v>
      </c>
      <c r="H98" s="15" t="s">
        <v>38</v>
      </c>
      <c r="I98" s="15" t="s">
        <v>43</v>
      </c>
      <c r="J98" s="15" t="s">
        <v>2749</v>
      </c>
      <c r="K98" s="15" t="s">
        <v>2764</v>
      </c>
      <c r="L98" s="15" t="s">
        <v>2744</v>
      </c>
    </row>
    <row r="99" ht="56.25" customHeight="1">
      <c r="A99" s="23" t="s">
        <v>3158</v>
      </c>
      <c r="B99" s="15" t="str">
        <f>image("https://storage.googleapis.com/acdb/bottoms/BottomsTexPantsWideCargo2.png")</f>
        <v/>
      </c>
      <c r="C99" s="15"/>
      <c r="D99" s="25" t="s">
        <v>28</v>
      </c>
      <c r="E99" s="13">
        <v>770.0</v>
      </c>
      <c r="F99" s="13">
        <v>192.0</v>
      </c>
      <c r="G99" s="15">
        <v>3351.0</v>
      </c>
      <c r="H99" s="15" t="s">
        <v>38</v>
      </c>
      <c r="I99" s="15" t="s">
        <v>43</v>
      </c>
      <c r="J99" s="15" t="s">
        <v>2749</v>
      </c>
      <c r="K99" s="15" t="s">
        <v>2764</v>
      </c>
      <c r="L99" s="15" t="s">
        <v>2744</v>
      </c>
    </row>
    <row r="100" ht="56.25" customHeight="1">
      <c r="A100" s="23" t="s">
        <v>3158</v>
      </c>
      <c r="B100" s="15" t="str">
        <f>image("https://storage.googleapis.com/acdb/bottoms/BottomsTexPantsWideCargo3.png")</f>
        <v/>
      </c>
      <c r="C100" s="15"/>
      <c r="D100" s="25" t="s">
        <v>28</v>
      </c>
      <c r="E100" s="13">
        <v>770.0</v>
      </c>
      <c r="F100" s="13">
        <v>192.0</v>
      </c>
      <c r="G100" s="15">
        <v>3351.0</v>
      </c>
      <c r="H100" s="15" t="s">
        <v>38</v>
      </c>
      <c r="I100" s="15" t="s">
        <v>43</v>
      </c>
      <c r="J100" s="15" t="s">
        <v>2749</v>
      </c>
      <c r="K100" s="15" t="s">
        <v>2764</v>
      </c>
      <c r="L100" s="15" t="s">
        <v>2744</v>
      </c>
    </row>
    <row r="101" ht="56.25" customHeight="1">
      <c r="A101" s="23" t="s">
        <v>3158</v>
      </c>
      <c r="B101" s="15" t="str">
        <f>image("https://storage.googleapis.com/acdb/bottoms/BottomsTexPantsWideCargo4.png")</f>
        <v/>
      </c>
      <c r="C101" s="15"/>
      <c r="D101" s="25" t="s">
        <v>28</v>
      </c>
      <c r="E101" s="13">
        <v>770.0</v>
      </c>
      <c r="F101" s="13">
        <v>192.0</v>
      </c>
      <c r="G101" s="15">
        <v>3351.0</v>
      </c>
      <c r="H101" s="15" t="s">
        <v>38</v>
      </c>
      <c r="I101" s="15" t="s">
        <v>43</v>
      </c>
      <c r="J101" s="15" t="s">
        <v>2749</v>
      </c>
      <c r="K101" s="15" t="s">
        <v>2764</v>
      </c>
      <c r="L101" s="15" t="s">
        <v>2744</v>
      </c>
    </row>
    <row r="102" ht="56.25" customHeight="1">
      <c r="A102" s="23" t="s">
        <v>3162</v>
      </c>
      <c r="B102" s="15" t="str">
        <f>image("https://storage.googleapis.com/acdb/bottoms/BottomsTexPantsHalfCargo0.png")</f>
        <v/>
      </c>
      <c r="C102" s="15"/>
      <c r="D102" s="25" t="s">
        <v>28</v>
      </c>
      <c r="E102" s="13">
        <v>1080.0</v>
      </c>
      <c r="F102" s="13">
        <v>270.0</v>
      </c>
      <c r="G102" s="15">
        <v>4150.0</v>
      </c>
      <c r="H102" s="15" t="s">
        <v>38</v>
      </c>
      <c r="I102" s="15" t="s">
        <v>43</v>
      </c>
      <c r="J102" s="15" t="s">
        <v>2749</v>
      </c>
      <c r="K102" s="15" t="s">
        <v>2764</v>
      </c>
      <c r="L102" s="15" t="s">
        <v>2744</v>
      </c>
    </row>
    <row r="103" ht="56.25" customHeight="1">
      <c r="A103" s="23" t="s">
        <v>3162</v>
      </c>
      <c r="B103" s="15" t="str">
        <f>image("https://storage.googleapis.com/acdb/bottoms/BottomsTexPantsHalfCargo1.png")</f>
        <v/>
      </c>
      <c r="C103" s="15"/>
      <c r="D103" s="25" t="s">
        <v>28</v>
      </c>
      <c r="E103" s="13">
        <v>1080.0</v>
      </c>
      <c r="F103" s="13">
        <v>270.0</v>
      </c>
      <c r="G103" s="15">
        <v>4150.0</v>
      </c>
      <c r="H103" s="15" t="s">
        <v>38</v>
      </c>
      <c r="I103" s="15" t="s">
        <v>43</v>
      </c>
      <c r="J103" s="15" t="s">
        <v>2749</v>
      </c>
      <c r="K103" s="15" t="s">
        <v>2764</v>
      </c>
      <c r="L103" s="15" t="s">
        <v>2744</v>
      </c>
    </row>
    <row r="104" ht="56.25" customHeight="1">
      <c r="A104" s="23" t="s">
        <v>3162</v>
      </c>
      <c r="B104" s="15" t="str">
        <f>image("https://storage.googleapis.com/acdb/bottoms/BottomsTexPantsHalfCargo2.png")</f>
        <v/>
      </c>
      <c r="C104" s="15"/>
      <c r="D104" s="25" t="s">
        <v>28</v>
      </c>
      <c r="E104" s="13">
        <v>1080.0</v>
      </c>
      <c r="F104" s="13">
        <v>270.0</v>
      </c>
      <c r="G104" s="15">
        <v>4150.0</v>
      </c>
      <c r="H104" s="15" t="s">
        <v>38</v>
      </c>
      <c r="I104" s="15" t="s">
        <v>43</v>
      </c>
      <c r="J104" s="15" t="s">
        <v>2749</v>
      </c>
      <c r="K104" s="15" t="s">
        <v>2764</v>
      </c>
      <c r="L104" s="15" t="s">
        <v>2744</v>
      </c>
    </row>
    <row r="105" ht="56.25" customHeight="1">
      <c r="A105" s="23" t="s">
        <v>3162</v>
      </c>
      <c r="B105" s="15" t="str">
        <f>image("https://storage.googleapis.com/acdb/bottoms/BottomsTexPantsHalfCargo3.png")</f>
        <v/>
      </c>
      <c r="C105" s="15"/>
      <c r="D105" s="25" t="s">
        <v>28</v>
      </c>
      <c r="E105" s="13">
        <v>1080.0</v>
      </c>
      <c r="F105" s="13">
        <v>270.0</v>
      </c>
      <c r="G105" s="15">
        <v>4150.0</v>
      </c>
      <c r="H105" s="15" t="s">
        <v>38</v>
      </c>
      <c r="I105" s="15" t="s">
        <v>43</v>
      </c>
      <c r="J105" s="15" t="s">
        <v>2749</v>
      </c>
      <c r="K105" s="15" t="s">
        <v>2764</v>
      </c>
      <c r="L105" s="15" t="s">
        <v>2744</v>
      </c>
    </row>
    <row r="106" ht="56.25" customHeight="1">
      <c r="A106" s="23" t="s">
        <v>3162</v>
      </c>
      <c r="B106" s="15" t="str">
        <f>image("https://storage.googleapis.com/acdb/bottoms/BottomsTexPantsHalfCargo4.png")</f>
        <v/>
      </c>
      <c r="C106" s="15"/>
      <c r="D106" s="25" t="s">
        <v>28</v>
      </c>
      <c r="E106" s="13">
        <v>1080.0</v>
      </c>
      <c r="F106" s="13">
        <v>270.0</v>
      </c>
      <c r="G106" s="15">
        <v>4150.0</v>
      </c>
      <c r="H106" s="15" t="s">
        <v>38</v>
      </c>
      <c r="I106" s="15" t="s">
        <v>43</v>
      </c>
      <c r="J106" s="15" t="s">
        <v>2749</v>
      </c>
      <c r="K106" s="15" t="s">
        <v>2764</v>
      </c>
      <c r="L106" s="15" t="s">
        <v>2744</v>
      </c>
    </row>
    <row r="107" ht="56.25" customHeight="1">
      <c r="A107" s="23" t="s">
        <v>3166</v>
      </c>
      <c r="B107" s="15" t="str">
        <f>image("https://storage.googleapis.com/acdb/bottoms/BottomsTexPantsWideEasy0.png")</f>
        <v/>
      </c>
      <c r="C107" s="15"/>
      <c r="D107" s="25" t="s">
        <v>28</v>
      </c>
      <c r="E107" s="13">
        <v>1100.0</v>
      </c>
      <c r="F107" s="13">
        <v>275.0</v>
      </c>
      <c r="G107" s="15">
        <v>4430.0</v>
      </c>
      <c r="H107" s="15" t="s">
        <v>38</v>
      </c>
      <c r="I107" s="15" t="s">
        <v>43</v>
      </c>
      <c r="J107" s="15" t="s">
        <v>2749</v>
      </c>
      <c r="K107" s="15" t="s">
        <v>2764</v>
      </c>
      <c r="L107" s="15" t="s">
        <v>2744</v>
      </c>
    </row>
    <row r="108" ht="56.25" customHeight="1">
      <c r="A108" s="23" t="s">
        <v>3166</v>
      </c>
      <c r="B108" s="15" t="str">
        <f>image("https://storage.googleapis.com/acdb/bottoms/BottomsTexPantsWideEasy1.png")</f>
        <v/>
      </c>
      <c r="C108" s="15"/>
      <c r="D108" s="25" t="s">
        <v>28</v>
      </c>
      <c r="E108" s="13">
        <v>1100.0</v>
      </c>
      <c r="F108" s="13">
        <v>275.0</v>
      </c>
      <c r="G108" s="15">
        <v>4430.0</v>
      </c>
      <c r="H108" s="15" t="s">
        <v>38</v>
      </c>
      <c r="I108" s="15" t="s">
        <v>43</v>
      </c>
      <c r="J108" s="15" t="s">
        <v>2749</v>
      </c>
      <c r="K108" s="15" t="s">
        <v>2764</v>
      </c>
      <c r="L108" s="15" t="s">
        <v>2744</v>
      </c>
    </row>
    <row r="109" ht="56.25" customHeight="1">
      <c r="A109" s="23" t="s">
        <v>3166</v>
      </c>
      <c r="B109" s="15" t="str">
        <f>image("https://storage.googleapis.com/acdb/bottoms/BottomsTexPantsWideEasy2.png")</f>
        <v/>
      </c>
      <c r="C109" s="15"/>
      <c r="D109" s="25" t="s">
        <v>28</v>
      </c>
      <c r="E109" s="13">
        <v>1100.0</v>
      </c>
      <c r="F109" s="13">
        <v>275.0</v>
      </c>
      <c r="G109" s="15">
        <v>4430.0</v>
      </c>
      <c r="H109" s="15" t="s">
        <v>38</v>
      </c>
      <c r="I109" s="15" t="s">
        <v>43</v>
      </c>
      <c r="J109" s="15" t="s">
        <v>2749</v>
      </c>
      <c r="K109" s="15" t="s">
        <v>2764</v>
      </c>
      <c r="L109" s="15" t="s">
        <v>2744</v>
      </c>
    </row>
    <row r="110" ht="56.25" customHeight="1">
      <c r="A110" s="23" t="s">
        <v>3166</v>
      </c>
      <c r="B110" s="15" t="str">
        <f>image("https://storage.googleapis.com/acdb/bottoms/BottomsTexPantsWideEasy3.png")</f>
        <v/>
      </c>
      <c r="C110" s="15"/>
      <c r="D110" s="25" t="s">
        <v>28</v>
      </c>
      <c r="E110" s="13">
        <v>1100.0</v>
      </c>
      <c r="F110" s="13">
        <v>275.0</v>
      </c>
      <c r="G110" s="15">
        <v>4430.0</v>
      </c>
      <c r="H110" s="15" t="s">
        <v>38</v>
      </c>
      <c r="I110" s="15" t="s">
        <v>43</v>
      </c>
      <c r="J110" s="15" t="s">
        <v>2749</v>
      </c>
      <c r="K110" s="15" t="s">
        <v>2764</v>
      </c>
      <c r="L110" s="15" t="s">
        <v>2744</v>
      </c>
    </row>
    <row r="111" ht="56.25" customHeight="1">
      <c r="A111" s="23" t="s">
        <v>3166</v>
      </c>
      <c r="B111" s="15" t="str">
        <f>image("https://storage.googleapis.com/acdb/bottoms/BottomsTexPantsWideEasy4.png")</f>
        <v/>
      </c>
      <c r="C111" s="15"/>
      <c r="D111" s="25" t="s">
        <v>28</v>
      </c>
      <c r="E111" s="13">
        <v>1100.0</v>
      </c>
      <c r="F111" s="13">
        <v>275.0</v>
      </c>
      <c r="G111" s="15">
        <v>4430.0</v>
      </c>
      <c r="H111" s="15" t="s">
        <v>38</v>
      </c>
      <c r="I111" s="15" t="s">
        <v>43</v>
      </c>
      <c r="J111" s="15" t="s">
        <v>2749</v>
      </c>
      <c r="K111" s="15" t="s">
        <v>2764</v>
      </c>
      <c r="L111" s="15" t="s">
        <v>2744</v>
      </c>
    </row>
    <row r="112" ht="56.25" customHeight="1">
      <c r="A112" s="23" t="s">
        <v>3166</v>
      </c>
      <c r="B112" s="15" t="str">
        <f>image("https://storage.googleapis.com/acdb/bottoms/BottomsTexPantsWideEasy5.png")</f>
        <v/>
      </c>
      <c r="C112" s="15"/>
      <c r="D112" s="25" t="s">
        <v>28</v>
      </c>
      <c r="E112" s="13">
        <v>1100.0</v>
      </c>
      <c r="F112" s="13">
        <v>275.0</v>
      </c>
      <c r="G112" s="15">
        <v>4430.0</v>
      </c>
      <c r="H112" s="15" t="s">
        <v>38</v>
      </c>
      <c r="I112" s="15" t="s">
        <v>43</v>
      </c>
      <c r="J112" s="15" t="s">
        <v>2749</v>
      </c>
      <c r="K112" s="15" t="s">
        <v>2764</v>
      </c>
      <c r="L112" s="15" t="s">
        <v>2744</v>
      </c>
    </row>
    <row r="113" ht="56.25" customHeight="1">
      <c r="A113" s="23" t="s">
        <v>3171</v>
      </c>
      <c r="B113" s="15" t="str">
        <f>image("https://storage.googleapis.com/acdb/bottoms/BottomsTexPantsNormalChain0.png")</f>
        <v/>
      </c>
      <c r="C113" s="15"/>
      <c r="D113" s="25" t="s">
        <v>28</v>
      </c>
      <c r="E113" s="13">
        <v>1300.0</v>
      </c>
      <c r="F113" s="13">
        <v>325.0</v>
      </c>
      <c r="G113" s="15">
        <v>4255.0</v>
      </c>
      <c r="H113" s="15" t="s">
        <v>38</v>
      </c>
      <c r="I113" s="15" t="s">
        <v>43</v>
      </c>
      <c r="J113" s="15" t="s">
        <v>2749</v>
      </c>
      <c r="K113" s="15" t="s">
        <v>2751</v>
      </c>
      <c r="L113" s="15" t="s">
        <v>2756</v>
      </c>
    </row>
    <row r="114" ht="56.25" customHeight="1">
      <c r="A114" s="23" t="s">
        <v>3171</v>
      </c>
      <c r="B114" s="15" t="str">
        <f>image("https://storage.googleapis.com/acdb/bottoms/BottomsTexPantsNormalChain1.png")</f>
        <v/>
      </c>
      <c r="C114" s="15"/>
      <c r="D114" s="25" t="s">
        <v>28</v>
      </c>
      <c r="E114" s="13">
        <v>1300.0</v>
      </c>
      <c r="F114" s="13">
        <v>325.0</v>
      </c>
      <c r="G114" s="15">
        <v>4255.0</v>
      </c>
      <c r="H114" s="15" t="s">
        <v>38</v>
      </c>
      <c r="I114" s="15" t="s">
        <v>43</v>
      </c>
      <c r="J114" s="15" t="s">
        <v>2749</v>
      </c>
      <c r="K114" s="15" t="s">
        <v>2751</v>
      </c>
      <c r="L114" s="15" t="s">
        <v>2756</v>
      </c>
    </row>
    <row r="115" ht="56.25" customHeight="1">
      <c r="A115" s="23" t="s">
        <v>3171</v>
      </c>
      <c r="B115" s="15" t="str">
        <f>image("https://storage.googleapis.com/acdb/bottoms/BottomsTexPantsNormalChain2.png")</f>
        <v/>
      </c>
      <c r="C115" s="15"/>
      <c r="D115" s="25" t="s">
        <v>28</v>
      </c>
      <c r="E115" s="13">
        <v>1300.0</v>
      </c>
      <c r="F115" s="13">
        <v>325.0</v>
      </c>
      <c r="G115" s="15">
        <v>4255.0</v>
      </c>
      <c r="H115" s="15" t="s">
        <v>38</v>
      </c>
      <c r="I115" s="15" t="s">
        <v>43</v>
      </c>
      <c r="J115" s="15" t="s">
        <v>2749</v>
      </c>
      <c r="K115" s="15" t="s">
        <v>2751</v>
      </c>
      <c r="L115" s="15" t="s">
        <v>2756</v>
      </c>
    </row>
    <row r="116" ht="56.25" customHeight="1">
      <c r="A116" s="23" t="s">
        <v>3171</v>
      </c>
      <c r="B116" s="15" t="str">
        <f>image("https://storage.googleapis.com/acdb/bottoms/BottomsTexPantsNormalChain3.png")</f>
        <v/>
      </c>
      <c r="C116" s="15"/>
      <c r="D116" s="25" t="s">
        <v>28</v>
      </c>
      <c r="E116" s="13">
        <v>1300.0</v>
      </c>
      <c r="F116" s="13">
        <v>325.0</v>
      </c>
      <c r="G116" s="15">
        <v>4255.0</v>
      </c>
      <c r="H116" s="15" t="s">
        <v>38</v>
      </c>
      <c r="I116" s="15" t="s">
        <v>43</v>
      </c>
      <c r="J116" s="15" t="s">
        <v>2749</v>
      </c>
      <c r="K116" s="15" t="s">
        <v>2751</v>
      </c>
      <c r="L116" s="15" t="s">
        <v>2756</v>
      </c>
    </row>
    <row r="117" ht="56.25" customHeight="1">
      <c r="A117" s="23" t="s">
        <v>3176</v>
      </c>
      <c r="B117" s="15" t="str">
        <f>image("https://storage.googleapis.com/acdb/bottoms/BottomsTexPantsNormalChino0.png")</f>
        <v/>
      </c>
      <c r="C117" s="15"/>
      <c r="D117" s="25" t="s">
        <v>28</v>
      </c>
      <c r="E117" s="13">
        <v>700.0</v>
      </c>
      <c r="F117" s="13">
        <v>175.0</v>
      </c>
      <c r="G117" s="15">
        <v>3308.0</v>
      </c>
      <c r="H117" s="15" t="s">
        <v>38</v>
      </c>
      <c r="I117" s="15" t="s">
        <v>43</v>
      </c>
      <c r="J117" s="15" t="s">
        <v>2749</v>
      </c>
      <c r="K117" s="15" t="s">
        <v>2764</v>
      </c>
      <c r="L117" s="15" t="s">
        <v>2744</v>
      </c>
    </row>
    <row r="118" ht="56.25" customHeight="1">
      <c r="A118" s="23" t="s">
        <v>3176</v>
      </c>
      <c r="B118" s="15" t="str">
        <f>image("https://storage.googleapis.com/acdb/bottoms/BottomsTexPantsNormalChino1.png")</f>
        <v/>
      </c>
      <c r="C118" s="15"/>
      <c r="D118" s="25" t="s">
        <v>28</v>
      </c>
      <c r="E118" s="13">
        <v>700.0</v>
      </c>
      <c r="F118" s="13">
        <v>175.0</v>
      </c>
      <c r="G118" s="15">
        <v>3308.0</v>
      </c>
      <c r="H118" s="15" t="s">
        <v>38</v>
      </c>
      <c r="I118" s="15" t="s">
        <v>43</v>
      </c>
      <c r="J118" s="15" t="s">
        <v>2749</v>
      </c>
      <c r="K118" s="15" t="s">
        <v>2764</v>
      </c>
      <c r="L118" s="15" t="s">
        <v>2744</v>
      </c>
    </row>
    <row r="119" ht="56.25" customHeight="1">
      <c r="A119" s="23" t="s">
        <v>3176</v>
      </c>
      <c r="B119" s="15" t="str">
        <f>image("https://storage.googleapis.com/acdb/bottoms/BottomsTexPantsNormalChino2.png")</f>
        <v/>
      </c>
      <c r="C119" s="15"/>
      <c r="D119" s="25" t="s">
        <v>28</v>
      </c>
      <c r="E119" s="13">
        <v>700.0</v>
      </c>
      <c r="F119" s="13">
        <v>175.0</v>
      </c>
      <c r="G119" s="15">
        <v>3308.0</v>
      </c>
      <c r="H119" s="15" t="s">
        <v>38</v>
      </c>
      <c r="I119" s="15" t="s">
        <v>43</v>
      </c>
      <c r="J119" s="15" t="s">
        <v>2749</v>
      </c>
      <c r="K119" s="15" t="s">
        <v>2764</v>
      </c>
      <c r="L119" s="15" t="s">
        <v>2744</v>
      </c>
    </row>
    <row r="120" ht="56.25" customHeight="1">
      <c r="A120" s="23" t="s">
        <v>3176</v>
      </c>
      <c r="B120" s="15" t="str">
        <f>image("https://storage.googleapis.com/acdb/bottoms/BottomsTexPantsNormalChino3.png")</f>
        <v/>
      </c>
      <c r="C120" s="15"/>
      <c r="D120" s="25" t="s">
        <v>28</v>
      </c>
      <c r="E120" s="13">
        <v>700.0</v>
      </c>
      <c r="F120" s="13">
        <v>175.0</v>
      </c>
      <c r="G120" s="15">
        <v>3308.0</v>
      </c>
      <c r="H120" s="15" t="s">
        <v>38</v>
      </c>
      <c r="I120" s="15" t="s">
        <v>43</v>
      </c>
      <c r="J120" s="15" t="s">
        <v>2749</v>
      </c>
      <c r="K120" s="15" t="s">
        <v>2764</v>
      </c>
      <c r="L120" s="15" t="s">
        <v>2744</v>
      </c>
    </row>
    <row r="121" ht="56.25" customHeight="1">
      <c r="A121" s="23" t="s">
        <v>3176</v>
      </c>
      <c r="B121" s="15" t="str">
        <f>image("https://storage.googleapis.com/acdb/bottoms/BottomsTexPantsNormalChino4.png")</f>
        <v/>
      </c>
      <c r="C121" s="15"/>
      <c r="D121" s="25" t="s">
        <v>28</v>
      </c>
      <c r="E121" s="13">
        <v>700.0</v>
      </c>
      <c r="F121" s="13">
        <v>175.0</v>
      </c>
      <c r="G121" s="15">
        <v>3308.0</v>
      </c>
      <c r="H121" s="15" t="s">
        <v>38</v>
      </c>
      <c r="I121" s="15" t="s">
        <v>43</v>
      </c>
      <c r="J121" s="15" t="s">
        <v>2749</v>
      </c>
      <c r="K121" s="15" t="s">
        <v>2764</v>
      </c>
      <c r="L121" s="15" t="s">
        <v>2744</v>
      </c>
    </row>
    <row r="122" ht="56.25" customHeight="1">
      <c r="A122" s="23" t="s">
        <v>3176</v>
      </c>
      <c r="B122" s="15" t="str">
        <f>image("https://storage.googleapis.com/acdb/bottoms/BottomsTexPantsNormalChino5.png")</f>
        <v/>
      </c>
      <c r="C122" s="15"/>
      <c r="D122" s="25" t="s">
        <v>28</v>
      </c>
      <c r="E122" s="13">
        <v>700.0</v>
      </c>
      <c r="F122" s="13">
        <v>175.0</v>
      </c>
      <c r="G122" s="15">
        <v>3308.0</v>
      </c>
      <c r="H122" s="15" t="s">
        <v>38</v>
      </c>
      <c r="I122" s="15" t="s">
        <v>43</v>
      </c>
      <c r="J122" s="15" t="s">
        <v>2749</v>
      </c>
      <c r="K122" s="15" t="s">
        <v>2764</v>
      </c>
      <c r="L122" s="15" t="s">
        <v>2744</v>
      </c>
    </row>
    <row r="123" ht="56.25" customHeight="1">
      <c r="A123" s="23" t="s">
        <v>3176</v>
      </c>
      <c r="B123" s="15" t="str">
        <f>image("https://storage.googleapis.com/acdb/bottoms/BottomsTexPantsNormalChino6.png")</f>
        <v/>
      </c>
      <c r="C123" s="15"/>
      <c r="D123" s="25" t="s">
        <v>28</v>
      </c>
      <c r="E123" s="13">
        <v>700.0</v>
      </c>
      <c r="F123" s="13">
        <v>175.0</v>
      </c>
      <c r="G123" s="15">
        <v>3308.0</v>
      </c>
      <c r="H123" s="15" t="s">
        <v>38</v>
      </c>
      <c r="I123" s="15" t="s">
        <v>43</v>
      </c>
      <c r="J123" s="15" t="s">
        <v>2749</v>
      </c>
      <c r="K123" s="15" t="s">
        <v>2764</v>
      </c>
      <c r="L123" s="15" t="s">
        <v>2744</v>
      </c>
    </row>
    <row r="124" ht="56.25" customHeight="1">
      <c r="A124" s="23" t="s">
        <v>3176</v>
      </c>
      <c r="B124" s="15" t="str">
        <f>image("https://storage.googleapis.com/acdb/bottoms/BottomsTexPantsNormalChino7.png")</f>
        <v/>
      </c>
      <c r="C124" s="15"/>
      <c r="D124" s="25" t="s">
        <v>28</v>
      </c>
      <c r="E124" s="13">
        <v>700.0</v>
      </c>
      <c r="F124" s="13">
        <v>175.0</v>
      </c>
      <c r="G124" s="15">
        <v>3308.0</v>
      </c>
      <c r="H124" s="15" t="s">
        <v>38</v>
      </c>
      <c r="I124" s="15" t="s">
        <v>43</v>
      </c>
      <c r="J124" s="15" t="s">
        <v>2749</v>
      </c>
      <c r="K124" s="15" t="s">
        <v>2764</v>
      </c>
      <c r="L124" s="15" t="s">
        <v>2744</v>
      </c>
    </row>
    <row r="125" ht="56.25" customHeight="1">
      <c r="A125" s="23" t="s">
        <v>3181</v>
      </c>
      <c r="B125" s="15" t="str">
        <f>image("https://storage.googleapis.com/acdb/bottoms/BottomsTexSkirtLongEnaguas0.png")</f>
        <v/>
      </c>
      <c r="C125" s="15"/>
      <c r="D125" s="25" t="s">
        <v>28</v>
      </c>
      <c r="E125" s="13">
        <v>1100.0</v>
      </c>
      <c r="F125" s="13">
        <v>275.0</v>
      </c>
      <c r="G125" s="15">
        <v>5665.0</v>
      </c>
      <c r="H125" s="15" t="s">
        <v>38</v>
      </c>
      <c r="I125" s="15" t="s">
        <v>43</v>
      </c>
      <c r="J125" s="15" t="s">
        <v>2749</v>
      </c>
      <c r="K125" s="15" t="s">
        <v>2751</v>
      </c>
      <c r="L125" s="15" t="s">
        <v>2744</v>
      </c>
    </row>
    <row r="126" ht="56.25" customHeight="1">
      <c r="A126" s="23" t="s">
        <v>3181</v>
      </c>
      <c r="B126" s="15" t="str">
        <f>image("https://storage.googleapis.com/acdb/bottoms/BottomsTexSkirtLongEnaguas1.png")</f>
        <v/>
      </c>
      <c r="C126" s="15"/>
      <c r="D126" s="25" t="s">
        <v>28</v>
      </c>
      <c r="E126" s="13">
        <v>1100.0</v>
      </c>
      <c r="F126" s="13">
        <v>275.0</v>
      </c>
      <c r="G126" s="15">
        <v>5665.0</v>
      </c>
      <c r="H126" s="15" t="s">
        <v>38</v>
      </c>
      <c r="I126" s="15" t="s">
        <v>43</v>
      </c>
      <c r="J126" s="15" t="s">
        <v>2749</v>
      </c>
      <c r="K126" s="15" t="s">
        <v>2751</v>
      </c>
      <c r="L126" s="15" t="s">
        <v>2744</v>
      </c>
    </row>
    <row r="127" ht="56.25" customHeight="1">
      <c r="A127" s="23" t="s">
        <v>3181</v>
      </c>
      <c r="B127" s="15" t="str">
        <f>image("https://storage.googleapis.com/acdb/bottoms/BottomsTexSkirtLongEnaguas2.png")</f>
        <v/>
      </c>
      <c r="C127" s="15"/>
      <c r="D127" s="25" t="s">
        <v>28</v>
      </c>
      <c r="E127" s="13">
        <v>1100.0</v>
      </c>
      <c r="F127" s="13">
        <v>275.0</v>
      </c>
      <c r="G127" s="15">
        <v>5665.0</v>
      </c>
      <c r="H127" s="15" t="s">
        <v>38</v>
      </c>
      <c r="I127" s="15" t="s">
        <v>43</v>
      </c>
      <c r="J127" s="15" t="s">
        <v>2749</v>
      </c>
      <c r="K127" s="15" t="s">
        <v>2751</v>
      </c>
      <c r="L127" s="15" t="s">
        <v>2744</v>
      </c>
    </row>
    <row r="128" ht="56.25" customHeight="1">
      <c r="A128" s="23" t="s">
        <v>3181</v>
      </c>
      <c r="B128" s="15" t="str">
        <f>image("https://storage.googleapis.com/acdb/bottoms/BottomsTexSkirtLongEnaguas3.png")</f>
        <v/>
      </c>
      <c r="C128" s="15"/>
      <c r="D128" s="25" t="s">
        <v>28</v>
      </c>
      <c r="E128" s="13">
        <v>1100.0</v>
      </c>
      <c r="F128" s="13">
        <v>275.0</v>
      </c>
      <c r="G128" s="15">
        <v>5665.0</v>
      </c>
      <c r="H128" s="15" t="s">
        <v>38</v>
      </c>
      <c r="I128" s="15" t="s">
        <v>43</v>
      </c>
      <c r="J128" s="15" t="s">
        <v>2749</v>
      </c>
      <c r="K128" s="15" t="s">
        <v>2751</v>
      </c>
      <c r="L128" s="15" t="s">
        <v>2744</v>
      </c>
    </row>
    <row r="129" ht="56.25" customHeight="1">
      <c r="A129" s="23" t="s">
        <v>3181</v>
      </c>
      <c r="B129" s="15" t="str">
        <f>image("https://storage.googleapis.com/acdb/bottoms/BottomsTexSkirtLongEnaguas4.png")</f>
        <v/>
      </c>
      <c r="C129" s="15"/>
      <c r="D129" s="25" t="s">
        <v>28</v>
      </c>
      <c r="E129" s="13">
        <v>1100.0</v>
      </c>
      <c r="F129" s="13">
        <v>275.0</v>
      </c>
      <c r="G129" s="15">
        <v>5665.0</v>
      </c>
      <c r="H129" s="15" t="s">
        <v>38</v>
      </c>
      <c r="I129" s="15" t="s">
        <v>43</v>
      </c>
      <c r="J129" s="15" t="s">
        <v>2749</v>
      </c>
      <c r="K129" s="15" t="s">
        <v>2751</v>
      </c>
      <c r="L129" s="15" t="s">
        <v>2744</v>
      </c>
    </row>
    <row r="130" ht="56.25" customHeight="1">
      <c r="A130" s="23" t="s">
        <v>3185</v>
      </c>
      <c r="B130" s="15" t="str">
        <f>image("https://storage.googleapis.com/acdb/bottoms/BottomsTexPantsNormalComedian0.png")</f>
        <v/>
      </c>
      <c r="C130" s="15"/>
      <c r="D130" s="25" t="s">
        <v>28</v>
      </c>
      <c r="E130" s="13">
        <v>2100.0</v>
      </c>
      <c r="F130" s="13">
        <v>525.0</v>
      </c>
      <c r="G130" s="15">
        <v>5736.0</v>
      </c>
      <c r="H130" s="15" t="s">
        <v>38</v>
      </c>
      <c r="I130" s="15" t="s">
        <v>43</v>
      </c>
      <c r="J130" s="15" t="s">
        <v>2749</v>
      </c>
      <c r="K130" s="15" t="s">
        <v>2751</v>
      </c>
      <c r="L130" s="15" t="s">
        <v>852</v>
      </c>
    </row>
    <row r="131" ht="56.25" customHeight="1">
      <c r="A131" s="23" t="s">
        <v>3185</v>
      </c>
      <c r="B131" s="15" t="str">
        <f>image("https://storage.googleapis.com/acdb/bottoms/BottomsTexPantsNormalComedian1.png")</f>
        <v/>
      </c>
      <c r="C131" s="15"/>
      <c r="D131" s="25" t="s">
        <v>28</v>
      </c>
      <c r="E131" s="13">
        <v>2100.0</v>
      </c>
      <c r="F131" s="13">
        <v>525.0</v>
      </c>
      <c r="G131" s="15">
        <v>5736.0</v>
      </c>
      <c r="H131" s="15" t="s">
        <v>38</v>
      </c>
      <c r="I131" s="15" t="s">
        <v>43</v>
      </c>
      <c r="J131" s="15" t="s">
        <v>2749</v>
      </c>
      <c r="K131" s="15" t="s">
        <v>2751</v>
      </c>
      <c r="L131" s="15" t="s">
        <v>852</v>
      </c>
    </row>
    <row r="132" ht="56.25" customHeight="1">
      <c r="A132" s="23" t="s">
        <v>3185</v>
      </c>
      <c r="B132" s="15" t="str">
        <f>image("https://storage.googleapis.com/acdb/bottoms/BottomsTexPantsNormalComedian2.png")</f>
        <v/>
      </c>
      <c r="C132" s="15"/>
      <c r="D132" s="25" t="s">
        <v>28</v>
      </c>
      <c r="E132" s="13">
        <v>2100.0</v>
      </c>
      <c r="F132" s="13">
        <v>525.0</v>
      </c>
      <c r="G132" s="15">
        <v>5736.0</v>
      </c>
      <c r="H132" s="15" t="s">
        <v>38</v>
      </c>
      <c r="I132" s="15" t="s">
        <v>43</v>
      </c>
      <c r="J132" s="15" t="s">
        <v>2749</v>
      </c>
      <c r="K132" s="15" t="s">
        <v>2751</v>
      </c>
      <c r="L132" s="15" t="s">
        <v>852</v>
      </c>
    </row>
    <row r="133" ht="56.25" customHeight="1">
      <c r="A133" s="23" t="s">
        <v>3185</v>
      </c>
      <c r="B133" s="15" t="str">
        <f>image("https://storage.googleapis.com/acdb/bottoms/BottomsTexPantsNormalComedian3.png")</f>
        <v/>
      </c>
      <c r="C133" s="15"/>
      <c r="D133" s="25" t="s">
        <v>28</v>
      </c>
      <c r="E133" s="13">
        <v>2100.0</v>
      </c>
      <c r="F133" s="13">
        <v>525.0</v>
      </c>
      <c r="G133" s="15">
        <v>5736.0</v>
      </c>
      <c r="H133" s="15" t="s">
        <v>38</v>
      </c>
      <c r="I133" s="15" t="s">
        <v>43</v>
      </c>
      <c r="J133" s="15" t="s">
        <v>2749</v>
      </c>
      <c r="K133" s="15" t="s">
        <v>2751</v>
      </c>
      <c r="L133" s="15" t="s">
        <v>852</v>
      </c>
    </row>
    <row r="134" ht="56.25" customHeight="1">
      <c r="A134" s="23" t="s">
        <v>3185</v>
      </c>
      <c r="B134" s="15" t="str">
        <f>image("https://storage.googleapis.com/acdb/bottoms/BottomsTexPantsNormalComedian4.png")</f>
        <v/>
      </c>
      <c r="C134" s="15"/>
      <c r="D134" s="25" t="s">
        <v>28</v>
      </c>
      <c r="E134" s="13">
        <v>2100.0</v>
      </c>
      <c r="F134" s="13">
        <v>525.0</v>
      </c>
      <c r="G134" s="15">
        <v>5736.0</v>
      </c>
      <c r="H134" s="15" t="s">
        <v>38</v>
      </c>
      <c r="I134" s="15" t="s">
        <v>43</v>
      </c>
      <c r="J134" s="15" t="s">
        <v>2749</v>
      </c>
      <c r="K134" s="15" t="s">
        <v>2751</v>
      </c>
      <c r="L134" s="15" t="s">
        <v>852</v>
      </c>
    </row>
    <row r="135" ht="56.25" customHeight="1">
      <c r="A135" s="23" t="s">
        <v>3185</v>
      </c>
      <c r="B135" s="15" t="str">
        <f>image("https://storage.googleapis.com/acdb/bottoms/BottomsTexPantsNormalComedian5.png")</f>
        <v/>
      </c>
      <c r="C135" s="15"/>
      <c r="D135" s="25" t="s">
        <v>28</v>
      </c>
      <c r="E135" s="13">
        <v>2100.0</v>
      </c>
      <c r="F135" s="13">
        <v>525.0</v>
      </c>
      <c r="G135" s="15">
        <v>5736.0</v>
      </c>
      <c r="H135" s="15" t="s">
        <v>38</v>
      </c>
      <c r="I135" s="15" t="s">
        <v>43</v>
      </c>
      <c r="J135" s="15" t="s">
        <v>2749</v>
      </c>
      <c r="K135" s="15" t="s">
        <v>2751</v>
      </c>
      <c r="L135" s="15" t="s">
        <v>852</v>
      </c>
    </row>
    <row r="136" ht="56.25" customHeight="1">
      <c r="A136" s="23" t="s">
        <v>3185</v>
      </c>
      <c r="B136" s="15" t="str">
        <f>image("https://storage.googleapis.com/acdb/bottoms/BottomsTexPantsNormalComedian6.png")</f>
        <v/>
      </c>
      <c r="C136" s="15"/>
      <c r="D136" s="25" t="s">
        <v>28</v>
      </c>
      <c r="E136" s="13">
        <v>2100.0</v>
      </c>
      <c r="F136" s="13">
        <v>525.0</v>
      </c>
      <c r="G136" s="15">
        <v>5736.0</v>
      </c>
      <c r="H136" s="15" t="s">
        <v>38</v>
      </c>
      <c r="I136" s="15" t="s">
        <v>43</v>
      </c>
      <c r="J136" s="15" t="s">
        <v>2749</v>
      </c>
      <c r="K136" s="15" t="s">
        <v>2751</v>
      </c>
      <c r="L136" s="15" t="s">
        <v>852</v>
      </c>
    </row>
    <row r="137" ht="56.25" customHeight="1">
      <c r="A137" s="23" t="s">
        <v>3185</v>
      </c>
      <c r="B137" s="15" t="str">
        <f>image("https://storage.googleapis.com/acdb/bottoms/BottomsTexPantsNormalComedian7.png")</f>
        <v/>
      </c>
      <c r="C137" s="15"/>
      <c r="D137" s="25" t="s">
        <v>28</v>
      </c>
      <c r="E137" s="13">
        <v>2100.0</v>
      </c>
      <c r="F137" s="13">
        <v>525.0</v>
      </c>
      <c r="G137" s="15">
        <v>5736.0</v>
      </c>
      <c r="H137" s="15" t="s">
        <v>38</v>
      </c>
      <c r="I137" s="15" t="s">
        <v>43</v>
      </c>
      <c r="J137" s="15" t="s">
        <v>2749</v>
      </c>
      <c r="K137" s="15" t="s">
        <v>2751</v>
      </c>
      <c r="L137" s="15" t="s">
        <v>852</v>
      </c>
    </row>
    <row r="138" ht="56.25" customHeight="1">
      <c r="A138" s="23" t="s">
        <v>3191</v>
      </c>
      <c r="B138" s="15" t="str">
        <f>image("https://storage.googleapis.com/acdb/bottoms/BottomsTexPantsHalfComic0.png")</f>
        <v/>
      </c>
      <c r="C138" s="15"/>
      <c r="D138" s="25" t="s">
        <v>28</v>
      </c>
      <c r="E138" s="13">
        <v>1140.0</v>
      </c>
      <c r="F138" s="13">
        <v>285.0</v>
      </c>
      <c r="G138" s="15">
        <v>5411.0</v>
      </c>
      <c r="H138" s="15" t="s">
        <v>38</v>
      </c>
      <c r="I138" s="15" t="s">
        <v>43</v>
      </c>
      <c r="J138" s="15" t="s">
        <v>2749</v>
      </c>
      <c r="K138" s="15" t="s">
        <v>2751</v>
      </c>
      <c r="L138" s="15" t="s">
        <v>2756</v>
      </c>
    </row>
    <row r="139" ht="56.25" customHeight="1">
      <c r="A139" s="23" t="s">
        <v>3193</v>
      </c>
      <c r="B139" s="15" t="str">
        <f>image("https://storage.googleapis.com/acdb/bottoms/BottomsTexPantsWideCorduroy0.png")</f>
        <v/>
      </c>
      <c r="C139" s="15"/>
      <c r="D139" s="25" t="s">
        <v>28</v>
      </c>
      <c r="E139" s="13">
        <v>1040.0</v>
      </c>
      <c r="F139" s="13">
        <v>260.0</v>
      </c>
      <c r="G139" s="15">
        <v>4602.0</v>
      </c>
      <c r="H139" s="15" t="s">
        <v>38</v>
      </c>
      <c r="I139" s="15" t="s">
        <v>43</v>
      </c>
      <c r="J139" s="15" t="s">
        <v>2749</v>
      </c>
      <c r="K139" s="15" t="s">
        <v>2764</v>
      </c>
      <c r="L139" s="15" t="s">
        <v>2744</v>
      </c>
    </row>
    <row r="140" ht="56.25" customHeight="1">
      <c r="A140" s="23" t="s">
        <v>3193</v>
      </c>
      <c r="B140" s="15" t="str">
        <f>image("https://storage.googleapis.com/acdb/bottoms/BottomsTexPantsWideCorduroy1.png")</f>
        <v/>
      </c>
      <c r="C140" s="15"/>
      <c r="D140" s="25" t="s">
        <v>28</v>
      </c>
      <c r="E140" s="13">
        <v>1040.0</v>
      </c>
      <c r="F140" s="13">
        <v>260.0</v>
      </c>
      <c r="G140" s="15">
        <v>4602.0</v>
      </c>
      <c r="H140" s="15" t="s">
        <v>38</v>
      </c>
      <c r="I140" s="15" t="s">
        <v>43</v>
      </c>
      <c r="J140" s="15" t="s">
        <v>2749</v>
      </c>
      <c r="K140" s="15" t="s">
        <v>2764</v>
      </c>
      <c r="L140" s="15" t="s">
        <v>2744</v>
      </c>
    </row>
    <row r="141" ht="56.25" customHeight="1">
      <c r="A141" s="23" t="s">
        <v>3193</v>
      </c>
      <c r="B141" s="15" t="str">
        <f>image("https://storage.googleapis.com/acdb/bottoms/BottomsTexPantsWideCorduroy2.png")</f>
        <v/>
      </c>
      <c r="C141" s="15"/>
      <c r="D141" s="25" t="s">
        <v>28</v>
      </c>
      <c r="E141" s="13">
        <v>1040.0</v>
      </c>
      <c r="F141" s="13">
        <v>260.0</v>
      </c>
      <c r="G141" s="15">
        <v>4602.0</v>
      </c>
      <c r="H141" s="15" t="s">
        <v>38</v>
      </c>
      <c r="I141" s="15" t="s">
        <v>43</v>
      </c>
      <c r="J141" s="15" t="s">
        <v>2749</v>
      </c>
      <c r="K141" s="15" t="s">
        <v>2764</v>
      </c>
      <c r="L141" s="15" t="s">
        <v>2744</v>
      </c>
    </row>
    <row r="142" ht="56.25" customHeight="1">
      <c r="A142" s="23" t="s">
        <v>3193</v>
      </c>
      <c r="B142" s="15" t="str">
        <f>image("https://storage.googleapis.com/acdb/bottoms/BottomsTexPantsWideCorduroy3.png")</f>
        <v/>
      </c>
      <c r="C142" s="15"/>
      <c r="D142" s="25" t="s">
        <v>28</v>
      </c>
      <c r="E142" s="13">
        <v>1040.0</v>
      </c>
      <c r="F142" s="13">
        <v>260.0</v>
      </c>
      <c r="G142" s="15">
        <v>4602.0</v>
      </c>
      <c r="H142" s="15" t="s">
        <v>38</v>
      </c>
      <c r="I142" s="15" t="s">
        <v>43</v>
      </c>
      <c r="J142" s="15" t="s">
        <v>2749</v>
      </c>
      <c r="K142" s="15" t="s">
        <v>2764</v>
      </c>
      <c r="L142" s="15" t="s">
        <v>2744</v>
      </c>
    </row>
    <row r="143" ht="56.25" customHeight="1">
      <c r="A143" s="23" t="s">
        <v>3193</v>
      </c>
      <c r="B143" s="15" t="str">
        <f>image("https://storage.googleapis.com/acdb/bottoms/BottomsTexPantsWideCorduroy4.png")</f>
        <v/>
      </c>
      <c r="C143" s="15"/>
      <c r="D143" s="25" t="s">
        <v>28</v>
      </c>
      <c r="E143" s="13">
        <v>1040.0</v>
      </c>
      <c r="F143" s="13">
        <v>260.0</v>
      </c>
      <c r="G143" s="15">
        <v>4602.0</v>
      </c>
      <c r="H143" s="15" t="s">
        <v>38</v>
      </c>
      <c r="I143" s="15" t="s">
        <v>43</v>
      </c>
      <c r="J143" s="15" t="s">
        <v>2749</v>
      </c>
      <c r="K143" s="15" t="s">
        <v>2764</v>
      </c>
      <c r="L143" s="15" t="s">
        <v>2744</v>
      </c>
    </row>
    <row r="144" ht="56.25" customHeight="1">
      <c r="A144" s="23" t="s">
        <v>3193</v>
      </c>
      <c r="B144" s="15" t="str">
        <f>image("https://storage.googleapis.com/acdb/bottoms/BottomsTexPantsWideCorduroy5.png")</f>
        <v/>
      </c>
      <c r="C144" s="15"/>
      <c r="D144" s="25" t="s">
        <v>28</v>
      </c>
      <c r="E144" s="13">
        <v>1040.0</v>
      </c>
      <c r="F144" s="13">
        <v>260.0</v>
      </c>
      <c r="G144" s="15">
        <v>4602.0</v>
      </c>
      <c r="H144" s="15" t="s">
        <v>38</v>
      </c>
      <c r="I144" s="15" t="s">
        <v>43</v>
      </c>
      <c r="J144" s="15" t="s">
        <v>2749</v>
      </c>
      <c r="K144" s="15" t="s">
        <v>2764</v>
      </c>
      <c r="L144" s="15" t="s">
        <v>2744</v>
      </c>
    </row>
    <row r="145" ht="56.25" customHeight="1">
      <c r="A145" s="23" t="s">
        <v>3196</v>
      </c>
      <c r="B145" s="15" t="str">
        <f>image("https://storage.googleapis.com/acdb/bottoms/BottomsTexSkirtBoxCorduroy0.png")</f>
        <v/>
      </c>
      <c r="C145" s="15"/>
      <c r="D145" s="25" t="s">
        <v>28</v>
      </c>
      <c r="E145" s="13">
        <v>1040.0</v>
      </c>
      <c r="F145" s="13">
        <v>260.0</v>
      </c>
      <c r="G145" s="15">
        <v>4296.0</v>
      </c>
      <c r="H145" s="15" t="s">
        <v>38</v>
      </c>
      <c r="I145" s="15" t="s">
        <v>43</v>
      </c>
      <c r="J145" s="15" t="s">
        <v>2749</v>
      </c>
      <c r="K145" s="15" t="s">
        <v>2764</v>
      </c>
      <c r="L145" s="15" t="s">
        <v>2744</v>
      </c>
    </row>
    <row r="146" ht="56.25" customHeight="1">
      <c r="A146" s="23" t="s">
        <v>3196</v>
      </c>
      <c r="B146" s="15" t="str">
        <f>image("https://storage.googleapis.com/acdb/bottoms/BottomsTexSkirtBoxCorduroy1.png")</f>
        <v/>
      </c>
      <c r="C146" s="15"/>
      <c r="D146" s="25" t="s">
        <v>28</v>
      </c>
      <c r="E146" s="13">
        <v>1040.0</v>
      </c>
      <c r="F146" s="13">
        <v>260.0</v>
      </c>
      <c r="G146" s="15">
        <v>4296.0</v>
      </c>
      <c r="H146" s="15" t="s">
        <v>38</v>
      </c>
      <c r="I146" s="15" t="s">
        <v>43</v>
      </c>
      <c r="J146" s="15" t="s">
        <v>2749</v>
      </c>
      <c r="K146" s="15" t="s">
        <v>2764</v>
      </c>
      <c r="L146" s="15" t="s">
        <v>2744</v>
      </c>
    </row>
    <row r="147" ht="56.25" customHeight="1">
      <c r="A147" s="23" t="s">
        <v>3196</v>
      </c>
      <c r="B147" s="15" t="str">
        <f>image("https://storage.googleapis.com/acdb/bottoms/BottomsTexSkirtBoxCorduroy2.png")</f>
        <v/>
      </c>
      <c r="C147" s="15"/>
      <c r="D147" s="25" t="s">
        <v>28</v>
      </c>
      <c r="E147" s="13">
        <v>1040.0</v>
      </c>
      <c r="F147" s="13">
        <v>260.0</v>
      </c>
      <c r="G147" s="15">
        <v>4296.0</v>
      </c>
      <c r="H147" s="15" t="s">
        <v>38</v>
      </c>
      <c r="I147" s="15" t="s">
        <v>43</v>
      </c>
      <c r="J147" s="15" t="s">
        <v>2749</v>
      </c>
      <c r="K147" s="15" t="s">
        <v>2764</v>
      </c>
      <c r="L147" s="15" t="s">
        <v>2744</v>
      </c>
    </row>
    <row r="148" ht="56.25" customHeight="1">
      <c r="A148" s="23" t="s">
        <v>3196</v>
      </c>
      <c r="B148" s="15" t="str">
        <f>image("https://storage.googleapis.com/acdb/bottoms/BottomsTexSkirtBoxCorduroy3.png")</f>
        <v/>
      </c>
      <c r="C148" s="15"/>
      <c r="D148" s="25" t="s">
        <v>28</v>
      </c>
      <c r="E148" s="13">
        <v>1040.0</v>
      </c>
      <c r="F148" s="13">
        <v>260.0</v>
      </c>
      <c r="G148" s="15">
        <v>4296.0</v>
      </c>
      <c r="H148" s="15" t="s">
        <v>38</v>
      </c>
      <c r="I148" s="15" t="s">
        <v>43</v>
      </c>
      <c r="J148" s="15" t="s">
        <v>2749</v>
      </c>
      <c r="K148" s="15" t="s">
        <v>2764</v>
      </c>
      <c r="L148" s="15" t="s">
        <v>2744</v>
      </c>
    </row>
    <row r="149" ht="56.25" customHeight="1">
      <c r="A149" s="23" t="s">
        <v>3196</v>
      </c>
      <c r="B149" s="15" t="str">
        <f>image("https://storage.googleapis.com/acdb/bottoms/BottomsTexSkirtBoxCorduroy4.png")</f>
        <v/>
      </c>
      <c r="C149" s="15"/>
      <c r="D149" s="25" t="s">
        <v>28</v>
      </c>
      <c r="E149" s="13">
        <v>1040.0</v>
      </c>
      <c r="F149" s="13">
        <v>260.0</v>
      </c>
      <c r="G149" s="15">
        <v>4296.0</v>
      </c>
      <c r="H149" s="15" t="s">
        <v>38</v>
      </c>
      <c r="I149" s="15" t="s">
        <v>43</v>
      </c>
      <c r="J149" s="15" t="s">
        <v>2749</v>
      </c>
      <c r="K149" s="15" t="s">
        <v>2764</v>
      </c>
      <c r="L149" s="15" t="s">
        <v>2744</v>
      </c>
    </row>
    <row r="150" ht="56.25" customHeight="1">
      <c r="A150" s="23" t="s">
        <v>3196</v>
      </c>
      <c r="B150" s="15" t="str">
        <f>image("https://storage.googleapis.com/acdb/bottoms/BottomsTexSkirtBoxCorduroy5.png")</f>
        <v/>
      </c>
      <c r="C150" s="15"/>
      <c r="D150" s="25" t="s">
        <v>28</v>
      </c>
      <c r="E150" s="13">
        <v>1040.0</v>
      </c>
      <c r="F150" s="13">
        <v>260.0</v>
      </c>
      <c r="G150" s="15">
        <v>4296.0</v>
      </c>
      <c r="H150" s="15" t="s">
        <v>38</v>
      </c>
      <c r="I150" s="15" t="s">
        <v>43</v>
      </c>
      <c r="J150" s="15" t="s">
        <v>2749</v>
      </c>
      <c r="K150" s="15" t="s">
        <v>2764</v>
      </c>
      <c r="L150" s="15" t="s">
        <v>2744</v>
      </c>
    </row>
    <row r="151" ht="56.25" customHeight="1">
      <c r="A151" s="23" t="s">
        <v>3201</v>
      </c>
      <c r="B151" s="15" t="str">
        <f>image("https://storage.googleapis.com/acdb/bottoms/BottomsTexSkirtLongCorte0.png")</f>
        <v/>
      </c>
      <c r="C151" s="15"/>
      <c r="D151" s="25" t="s">
        <v>28</v>
      </c>
      <c r="E151" s="13">
        <v>880.0</v>
      </c>
      <c r="F151" s="13">
        <v>220.0</v>
      </c>
      <c r="G151" s="15">
        <v>5781.0</v>
      </c>
      <c r="H151" s="15" t="s">
        <v>38</v>
      </c>
      <c r="I151" s="15" t="s">
        <v>43</v>
      </c>
      <c r="J151" s="15" t="s">
        <v>2749</v>
      </c>
      <c r="K151" s="15" t="s">
        <v>2751</v>
      </c>
      <c r="L151" s="15" t="s">
        <v>2744</v>
      </c>
    </row>
    <row r="152" ht="56.25" customHeight="1">
      <c r="A152" s="23" t="s">
        <v>3201</v>
      </c>
      <c r="B152" s="15" t="str">
        <f>image("https://storage.googleapis.com/acdb/bottoms/BottomsTexSkirtLongCorte1.png")</f>
        <v/>
      </c>
      <c r="C152" s="15"/>
      <c r="D152" s="25" t="s">
        <v>28</v>
      </c>
      <c r="E152" s="13">
        <v>880.0</v>
      </c>
      <c r="F152" s="13">
        <v>220.0</v>
      </c>
      <c r="G152" s="15">
        <v>5781.0</v>
      </c>
      <c r="H152" s="15" t="s">
        <v>38</v>
      </c>
      <c r="I152" s="15" t="s">
        <v>43</v>
      </c>
      <c r="J152" s="15" t="s">
        <v>2749</v>
      </c>
      <c r="K152" s="15" t="s">
        <v>2751</v>
      </c>
      <c r="L152" s="15" t="s">
        <v>2744</v>
      </c>
    </row>
    <row r="153" ht="56.25" customHeight="1">
      <c r="A153" s="23" t="s">
        <v>3201</v>
      </c>
      <c r="B153" s="15" t="str">
        <f>image("https://storage.googleapis.com/acdb/bottoms/BottomsTexSkirtLongCorte2.png")</f>
        <v/>
      </c>
      <c r="C153" s="15"/>
      <c r="D153" s="25" t="s">
        <v>28</v>
      </c>
      <c r="E153" s="13">
        <v>880.0</v>
      </c>
      <c r="F153" s="13">
        <v>220.0</v>
      </c>
      <c r="G153" s="15">
        <v>5781.0</v>
      </c>
      <c r="H153" s="15" t="s">
        <v>38</v>
      </c>
      <c r="I153" s="15" t="s">
        <v>43</v>
      </c>
      <c r="J153" s="15" t="s">
        <v>2749</v>
      </c>
      <c r="K153" s="15" t="s">
        <v>2751</v>
      </c>
      <c r="L153" s="15" t="s">
        <v>2744</v>
      </c>
    </row>
    <row r="154" ht="56.25" customHeight="1">
      <c r="A154" s="23" t="s">
        <v>3204</v>
      </c>
      <c r="B154" s="15" t="str">
        <f>image("https://storage.googleapis.com/acdb/bottoms/BottomsTexPantsNormalCropped0.png")</f>
        <v/>
      </c>
      <c r="C154" s="15"/>
      <c r="D154" s="25" t="s">
        <v>28</v>
      </c>
      <c r="E154" s="13">
        <v>920.0</v>
      </c>
      <c r="F154" s="13">
        <v>230.0</v>
      </c>
      <c r="G154" s="15">
        <v>4408.0</v>
      </c>
      <c r="H154" s="15" t="s">
        <v>38</v>
      </c>
      <c r="I154" s="15" t="s">
        <v>43</v>
      </c>
      <c r="J154" s="15" t="s">
        <v>2749</v>
      </c>
      <c r="K154" s="15" t="s">
        <v>2764</v>
      </c>
      <c r="L154" s="15" t="s">
        <v>2744</v>
      </c>
    </row>
    <row r="155" ht="56.25" customHeight="1">
      <c r="A155" s="23" t="s">
        <v>3204</v>
      </c>
      <c r="B155" s="15" t="str">
        <f>image("https://storage.googleapis.com/acdb/bottoms/BottomsTexPantsNormalCropped1.png")</f>
        <v/>
      </c>
      <c r="C155" s="15"/>
      <c r="D155" s="25" t="s">
        <v>28</v>
      </c>
      <c r="E155" s="13">
        <v>920.0</v>
      </c>
      <c r="F155" s="13">
        <v>230.0</v>
      </c>
      <c r="G155" s="15">
        <v>4408.0</v>
      </c>
      <c r="H155" s="15" t="s">
        <v>38</v>
      </c>
      <c r="I155" s="15" t="s">
        <v>43</v>
      </c>
      <c r="J155" s="15" t="s">
        <v>2749</v>
      </c>
      <c r="K155" s="15" t="s">
        <v>2764</v>
      </c>
      <c r="L155" s="15" t="s">
        <v>2744</v>
      </c>
    </row>
    <row r="156" ht="56.25" customHeight="1">
      <c r="A156" s="23" t="s">
        <v>3204</v>
      </c>
      <c r="B156" s="15" t="str">
        <f>image("https://storage.googleapis.com/acdb/bottoms/BottomsTexPantsNormalCropped2.png")</f>
        <v/>
      </c>
      <c r="C156" s="15"/>
      <c r="D156" s="25" t="s">
        <v>28</v>
      </c>
      <c r="E156" s="13">
        <v>920.0</v>
      </c>
      <c r="F156" s="13">
        <v>230.0</v>
      </c>
      <c r="G156" s="15">
        <v>4408.0</v>
      </c>
      <c r="H156" s="15" t="s">
        <v>38</v>
      </c>
      <c r="I156" s="15" t="s">
        <v>43</v>
      </c>
      <c r="J156" s="15" t="s">
        <v>2749</v>
      </c>
      <c r="K156" s="15" t="s">
        <v>2764</v>
      </c>
      <c r="L156" s="15" t="s">
        <v>2744</v>
      </c>
    </row>
    <row r="157" ht="56.25" customHeight="1">
      <c r="A157" s="23" t="s">
        <v>3204</v>
      </c>
      <c r="B157" s="15" t="str">
        <f>image("https://storage.googleapis.com/acdb/bottoms/BottomsTexPantsNormalCropped3.png")</f>
        <v/>
      </c>
      <c r="C157" s="15"/>
      <c r="D157" s="25" t="s">
        <v>28</v>
      </c>
      <c r="E157" s="13">
        <v>920.0</v>
      </c>
      <c r="F157" s="13">
        <v>230.0</v>
      </c>
      <c r="G157" s="15">
        <v>4408.0</v>
      </c>
      <c r="H157" s="15" t="s">
        <v>38</v>
      </c>
      <c r="I157" s="15" t="s">
        <v>43</v>
      </c>
      <c r="J157" s="15" t="s">
        <v>2749</v>
      </c>
      <c r="K157" s="15" t="s">
        <v>2764</v>
      </c>
      <c r="L157" s="15" t="s">
        <v>2744</v>
      </c>
    </row>
    <row r="158" ht="56.25" customHeight="1">
      <c r="A158" s="23" t="s">
        <v>3204</v>
      </c>
      <c r="B158" s="15" t="str">
        <f>image("https://storage.googleapis.com/acdb/bottoms/BottomsTexPantsNormalCropped4.png")</f>
        <v/>
      </c>
      <c r="C158" s="15"/>
      <c r="D158" s="25" t="s">
        <v>28</v>
      </c>
      <c r="E158" s="13">
        <v>920.0</v>
      </c>
      <c r="F158" s="13">
        <v>230.0</v>
      </c>
      <c r="G158" s="15">
        <v>4408.0</v>
      </c>
      <c r="H158" s="15" t="s">
        <v>38</v>
      </c>
      <c r="I158" s="15" t="s">
        <v>43</v>
      </c>
      <c r="J158" s="15" t="s">
        <v>2749</v>
      </c>
      <c r="K158" s="15" t="s">
        <v>2764</v>
      </c>
      <c r="L158" s="15" t="s">
        <v>2744</v>
      </c>
    </row>
    <row r="159" ht="56.25" customHeight="1">
      <c r="A159" s="23" t="s">
        <v>3204</v>
      </c>
      <c r="B159" s="15" t="str">
        <f>image("https://storage.googleapis.com/acdb/bottoms/BottomsTexPantsNormalCropped5.png")</f>
        <v/>
      </c>
      <c r="C159" s="15"/>
      <c r="D159" s="25" t="s">
        <v>28</v>
      </c>
      <c r="E159" s="13">
        <v>920.0</v>
      </c>
      <c r="F159" s="13">
        <v>230.0</v>
      </c>
      <c r="G159" s="15">
        <v>4408.0</v>
      </c>
      <c r="H159" s="15" t="s">
        <v>38</v>
      </c>
      <c r="I159" s="15" t="s">
        <v>43</v>
      </c>
      <c r="J159" s="15" t="s">
        <v>2749</v>
      </c>
      <c r="K159" s="15" t="s">
        <v>2764</v>
      </c>
      <c r="L159" s="15" t="s">
        <v>2744</v>
      </c>
    </row>
    <row r="160" ht="56.25" customHeight="1">
      <c r="A160" s="23" t="s">
        <v>3204</v>
      </c>
      <c r="B160" s="15" t="str">
        <f>image("https://storage.googleapis.com/acdb/bottoms/BottomsTexPantsNormalCropped6.png")</f>
        <v/>
      </c>
      <c r="C160" s="15"/>
      <c r="D160" s="25" t="s">
        <v>28</v>
      </c>
      <c r="E160" s="13">
        <v>920.0</v>
      </c>
      <c r="F160" s="13">
        <v>230.0</v>
      </c>
      <c r="G160" s="15">
        <v>4408.0</v>
      </c>
      <c r="H160" s="15" t="s">
        <v>38</v>
      </c>
      <c r="I160" s="15" t="s">
        <v>43</v>
      </c>
      <c r="J160" s="15" t="s">
        <v>2749</v>
      </c>
      <c r="K160" s="15" t="s">
        <v>2764</v>
      </c>
      <c r="L160" s="15" t="s">
        <v>2744</v>
      </c>
    </row>
    <row r="161" ht="56.25" customHeight="1">
      <c r="A161" s="23" t="s">
        <v>3204</v>
      </c>
      <c r="B161" s="15" t="str">
        <f>image("https://storage.googleapis.com/acdb/bottoms/BottomsTexPantsNormalCropped7.png")</f>
        <v/>
      </c>
      <c r="C161" s="15"/>
      <c r="D161" s="25" t="s">
        <v>28</v>
      </c>
      <c r="E161" s="13">
        <v>920.0</v>
      </c>
      <c r="F161" s="13">
        <v>230.0</v>
      </c>
      <c r="G161" s="15">
        <v>4408.0</v>
      </c>
      <c r="H161" s="15" t="s">
        <v>38</v>
      </c>
      <c r="I161" s="15" t="s">
        <v>43</v>
      </c>
      <c r="J161" s="15" t="s">
        <v>2749</v>
      </c>
      <c r="K161" s="15" t="s">
        <v>2764</v>
      </c>
      <c r="L161" s="15" t="s">
        <v>2744</v>
      </c>
    </row>
    <row r="162" ht="56.25" customHeight="1">
      <c r="A162" s="23" t="s">
        <v>3211</v>
      </c>
      <c r="B162" s="15" t="str">
        <f>image("https://storage.googleapis.com/acdb/bottoms/BottomsTexPantsWideSusomise0.png")</f>
        <v/>
      </c>
      <c r="C162" s="15"/>
      <c r="D162" s="25" t="s">
        <v>28</v>
      </c>
      <c r="E162" s="13">
        <v>1100.0</v>
      </c>
      <c r="F162" s="13">
        <v>275.0</v>
      </c>
      <c r="G162" s="15">
        <v>3353.0</v>
      </c>
      <c r="H162" s="15" t="s">
        <v>38</v>
      </c>
      <c r="I162" s="15" t="s">
        <v>43</v>
      </c>
      <c r="J162" s="15" t="s">
        <v>2749</v>
      </c>
      <c r="K162" s="15" t="s">
        <v>2764</v>
      </c>
      <c r="L162" s="15" t="s">
        <v>2744</v>
      </c>
    </row>
    <row r="163" ht="56.25" customHeight="1">
      <c r="A163" s="23" t="s">
        <v>3211</v>
      </c>
      <c r="B163" s="15" t="str">
        <f>image("https://storage.googleapis.com/acdb/bottoms/BottomsTexPantsWideSusomise1.png")</f>
        <v/>
      </c>
      <c r="C163" s="15"/>
      <c r="D163" s="25" t="s">
        <v>28</v>
      </c>
      <c r="E163" s="13">
        <v>1100.0</v>
      </c>
      <c r="F163" s="13">
        <v>275.0</v>
      </c>
      <c r="G163" s="15">
        <v>3353.0</v>
      </c>
      <c r="H163" s="15" t="s">
        <v>38</v>
      </c>
      <c r="I163" s="15" t="s">
        <v>43</v>
      </c>
      <c r="J163" s="15" t="s">
        <v>2749</v>
      </c>
      <c r="K163" s="15" t="s">
        <v>2764</v>
      </c>
      <c r="L163" s="15" t="s">
        <v>2744</v>
      </c>
    </row>
    <row r="164" ht="56.25" customHeight="1">
      <c r="A164" s="23" t="s">
        <v>3211</v>
      </c>
      <c r="B164" s="15" t="str">
        <f>image("https://storage.googleapis.com/acdb/bottoms/BottomsTexPantsWideSusomise2.png")</f>
        <v/>
      </c>
      <c r="C164" s="15"/>
      <c r="D164" s="25" t="s">
        <v>28</v>
      </c>
      <c r="E164" s="13">
        <v>1100.0</v>
      </c>
      <c r="F164" s="13">
        <v>275.0</v>
      </c>
      <c r="G164" s="15">
        <v>3353.0</v>
      </c>
      <c r="H164" s="15" t="s">
        <v>38</v>
      </c>
      <c r="I164" s="15" t="s">
        <v>43</v>
      </c>
      <c r="J164" s="15" t="s">
        <v>2749</v>
      </c>
      <c r="K164" s="15" t="s">
        <v>2764</v>
      </c>
      <c r="L164" s="15" t="s">
        <v>2744</v>
      </c>
    </row>
    <row r="165" ht="56.25" customHeight="1">
      <c r="A165" s="23" t="s">
        <v>3211</v>
      </c>
      <c r="B165" s="15" t="str">
        <f>image("https://storage.googleapis.com/acdb/bottoms/BottomsTexPantsWideSusomise3.png")</f>
        <v/>
      </c>
      <c r="C165" s="15"/>
      <c r="D165" s="25" t="s">
        <v>28</v>
      </c>
      <c r="E165" s="13">
        <v>1100.0</v>
      </c>
      <c r="F165" s="13">
        <v>275.0</v>
      </c>
      <c r="G165" s="15">
        <v>3353.0</v>
      </c>
      <c r="H165" s="15" t="s">
        <v>38</v>
      </c>
      <c r="I165" s="15" t="s">
        <v>43</v>
      </c>
      <c r="J165" s="15" t="s">
        <v>2749</v>
      </c>
      <c r="K165" s="15" t="s">
        <v>2764</v>
      </c>
      <c r="L165" s="15" t="s">
        <v>2744</v>
      </c>
    </row>
    <row r="166" ht="56.25" customHeight="1">
      <c r="A166" s="23" t="s">
        <v>3214</v>
      </c>
      <c r="B166" s="15" t="str">
        <f>image("https://storage.googleapis.com/acdb/bottoms/BottomsTexPantsHotCulotte0.png")</f>
        <v/>
      </c>
      <c r="C166" s="15"/>
      <c r="D166" s="25" t="s">
        <v>28</v>
      </c>
      <c r="E166" s="13">
        <v>700.0</v>
      </c>
      <c r="F166" s="13">
        <v>175.0</v>
      </c>
      <c r="G166" s="15">
        <v>4444.0</v>
      </c>
      <c r="H166" s="15" t="s">
        <v>38</v>
      </c>
      <c r="I166" s="15" t="s">
        <v>43</v>
      </c>
      <c r="J166" s="15" t="s">
        <v>2749</v>
      </c>
      <c r="K166" s="15" t="s">
        <v>2764</v>
      </c>
      <c r="L166" s="15" t="s">
        <v>384</v>
      </c>
    </row>
    <row r="167" ht="56.25" customHeight="1">
      <c r="A167" s="23" t="s">
        <v>3214</v>
      </c>
      <c r="B167" s="15" t="str">
        <f>image("https://storage.googleapis.com/acdb/bottoms/BottomsTexPantsHotCulotte1.png")</f>
        <v/>
      </c>
      <c r="C167" s="15"/>
      <c r="D167" s="25" t="s">
        <v>28</v>
      </c>
      <c r="E167" s="13">
        <v>700.0</v>
      </c>
      <c r="F167" s="13">
        <v>175.0</v>
      </c>
      <c r="G167" s="15">
        <v>4444.0</v>
      </c>
      <c r="H167" s="15" t="s">
        <v>38</v>
      </c>
      <c r="I167" s="15" t="s">
        <v>43</v>
      </c>
      <c r="J167" s="15" t="s">
        <v>2749</v>
      </c>
      <c r="K167" s="15" t="s">
        <v>2764</v>
      </c>
      <c r="L167" s="15" t="s">
        <v>384</v>
      </c>
    </row>
    <row r="168" ht="56.25" customHeight="1">
      <c r="A168" s="23" t="s">
        <v>3214</v>
      </c>
      <c r="B168" s="15" t="str">
        <f>image("https://storage.googleapis.com/acdb/bottoms/BottomsTexPantsHotCulotte2.png")</f>
        <v/>
      </c>
      <c r="C168" s="15"/>
      <c r="D168" s="25" t="s">
        <v>28</v>
      </c>
      <c r="E168" s="13">
        <v>700.0</v>
      </c>
      <c r="F168" s="13">
        <v>175.0</v>
      </c>
      <c r="G168" s="15">
        <v>4444.0</v>
      </c>
      <c r="H168" s="15" t="s">
        <v>38</v>
      </c>
      <c r="I168" s="15" t="s">
        <v>43</v>
      </c>
      <c r="J168" s="15" t="s">
        <v>2749</v>
      </c>
      <c r="K168" s="15" t="s">
        <v>2764</v>
      </c>
      <c r="L168" s="15" t="s">
        <v>384</v>
      </c>
    </row>
    <row r="169" ht="56.25" customHeight="1">
      <c r="A169" s="23" t="s">
        <v>3214</v>
      </c>
      <c r="B169" s="15" t="str">
        <f>image("https://storage.googleapis.com/acdb/bottoms/BottomsTexPantsHotCulotte3.png")</f>
        <v/>
      </c>
      <c r="C169" s="15"/>
      <c r="D169" s="25" t="s">
        <v>28</v>
      </c>
      <c r="E169" s="13">
        <v>700.0</v>
      </c>
      <c r="F169" s="13">
        <v>175.0</v>
      </c>
      <c r="G169" s="15">
        <v>4444.0</v>
      </c>
      <c r="H169" s="15" t="s">
        <v>38</v>
      </c>
      <c r="I169" s="15" t="s">
        <v>43</v>
      </c>
      <c r="J169" s="15" t="s">
        <v>2749</v>
      </c>
      <c r="K169" s="15" t="s">
        <v>2764</v>
      </c>
      <c r="L169" s="15" t="s">
        <v>384</v>
      </c>
    </row>
    <row r="170" ht="56.25" customHeight="1">
      <c r="A170" s="23" t="s">
        <v>3219</v>
      </c>
      <c r="B170" s="15" t="str">
        <f>image("https://storage.googleapis.com/acdb/bottoms/BottomsTexSkirtLongCutleather0.png")</f>
        <v/>
      </c>
      <c r="C170" s="15"/>
      <c r="D170" s="25" t="s">
        <v>28</v>
      </c>
      <c r="E170" s="13">
        <v>1100.0</v>
      </c>
      <c r="F170" s="13">
        <v>275.0</v>
      </c>
      <c r="G170" s="15">
        <v>5810.0</v>
      </c>
      <c r="H170" s="15" t="s">
        <v>38</v>
      </c>
      <c r="I170" s="15" t="s">
        <v>43</v>
      </c>
      <c r="J170" s="15" t="s">
        <v>2749</v>
      </c>
      <c r="K170" s="15" t="s">
        <v>2764</v>
      </c>
      <c r="L170" s="15" t="s">
        <v>2744</v>
      </c>
    </row>
    <row r="171" ht="56.25" customHeight="1">
      <c r="A171" s="23" t="s">
        <v>3219</v>
      </c>
      <c r="B171" s="15" t="str">
        <f>image("https://storage.googleapis.com/acdb/bottoms/BottomsTexSkirtLongCutleather1.png")</f>
        <v/>
      </c>
      <c r="C171" s="15"/>
      <c r="D171" s="25" t="s">
        <v>28</v>
      </c>
      <c r="E171" s="13">
        <v>1100.0</v>
      </c>
      <c r="F171" s="13">
        <v>275.0</v>
      </c>
      <c r="G171" s="15">
        <v>5810.0</v>
      </c>
      <c r="H171" s="15" t="s">
        <v>38</v>
      </c>
      <c r="I171" s="15" t="s">
        <v>43</v>
      </c>
      <c r="J171" s="15" t="s">
        <v>2749</v>
      </c>
      <c r="K171" s="15" t="s">
        <v>2764</v>
      </c>
      <c r="L171" s="15" t="s">
        <v>2744</v>
      </c>
    </row>
    <row r="172" ht="56.25" customHeight="1">
      <c r="A172" s="23" t="s">
        <v>3219</v>
      </c>
      <c r="B172" s="15" t="str">
        <f>image("https://storage.googleapis.com/acdb/bottoms/BottomsTexSkirtLongCutleather2.png")</f>
        <v/>
      </c>
      <c r="C172" s="15"/>
      <c r="D172" s="25" t="s">
        <v>28</v>
      </c>
      <c r="E172" s="13">
        <v>1100.0</v>
      </c>
      <c r="F172" s="13">
        <v>275.0</v>
      </c>
      <c r="G172" s="15">
        <v>5810.0</v>
      </c>
      <c r="H172" s="15" t="s">
        <v>38</v>
      </c>
      <c r="I172" s="15" t="s">
        <v>43</v>
      </c>
      <c r="J172" s="15" t="s">
        <v>2749</v>
      </c>
      <c r="K172" s="15" t="s">
        <v>2764</v>
      </c>
      <c r="L172" s="15" t="s">
        <v>2744</v>
      </c>
    </row>
    <row r="173" ht="56.25" customHeight="1">
      <c r="A173" s="23" t="s">
        <v>3219</v>
      </c>
      <c r="B173" s="15" t="str">
        <f>image("https://storage.googleapis.com/acdb/bottoms/BottomsTexSkirtLongCutleather3.png")</f>
        <v/>
      </c>
      <c r="C173" s="15"/>
      <c r="D173" s="25" t="s">
        <v>28</v>
      </c>
      <c r="E173" s="13">
        <v>1100.0</v>
      </c>
      <c r="F173" s="13">
        <v>275.0</v>
      </c>
      <c r="G173" s="15">
        <v>5810.0</v>
      </c>
      <c r="H173" s="15" t="s">
        <v>38</v>
      </c>
      <c r="I173" s="15" t="s">
        <v>43</v>
      </c>
      <c r="J173" s="15" t="s">
        <v>2749</v>
      </c>
      <c r="K173" s="15" t="s">
        <v>2764</v>
      </c>
      <c r="L173" s="15" t="s">
        <v>2744</v>
      </c>
    </row>
    <row r="174" ht="56.25" customHeight="1">
      <c r="A174" s="23" t="s">
        <v>3223</v>
      </c>
      <c r="B174" s="15" t="str">
        <f>image("https://storage.googleapis.com/acdb/bottoms/BottomsTexPantsNormalCycle0.png")</f>
        <v/>
      </c>
      <c r="C174" s="15"/>
      <c r="D174" s="25" t="s">
        <v>28</v>
      </c>
      <c r="E174" s="13">
        <v>700.0</v>
      </c>
      <c r="F174" s="13">
        <v>175.0</v>
      </c>
      <c r="G174" s="15">
        <v>4514.0</v>
      </c>
      <c r="H174" s="15" t="s">
        <v>38</v>
      </c>
      <c r="I174" s="15" t="s">
        <v>43</v>
      </c>
      <c r="J174" s="15" t="s">
        <v>2749</v>
      </c>
      <c r="K174" s="15" t="s">
        <v>2751</v>
      </c>
      <c r="L174" s="15" t="s">
        <v>2793</v>
      </c>
    </row>
    <row r="175" ht="56.25" customHeight="1">
      <c r="A175" s="23" t="s">
        <v>3223</v>
      </c>
      <c r="B175" s="15" t="str">
        <f>image("https://storage.googleapis.com/acdb/bottoms/BottomsTexPantsNormalCycle1.png")</f>
        <v/>
      </c>
      <c r="C175" s="15"/>
      <c r="D175" s="25" t="s">
        <v>28</v>
      </c>
      <c r="E175" s="13">
        <v>700.0</v>
      </c>
      <c r="F175" s="13">
        <v>175.0</v>
      </c>
      <c r="G175" s="15">
        <v>4514.0</v>
      </c>
      <c r="H175" s="15" t="s">
        <v>38</v>
      </c>
      <c r="I175" s="15" t="s">
        <v>43</v>
      </c>
      <c r="J175" s="15" t="s">
        <v>2749</v>
      </c>
      <c r="K175" s="15" t="s">
        <v>2751</v>
      </c>
      <c r="L175" s="15" t="s">
        <v>2793</v>
      </c>
    </row>
    <row r="176" ht="56.25" customHeight="1">
      <c r="A176" s="23" t="s">
        <v>3223</v>
      </c>
      <c r="B176" s="15" t="str">
        <f>image("https://storage.googleapis.com/acdb/bottoms/BottomsTexPantsNormalCycle2.png")</f>
        <v/>
      </c>
      <c r="C176" s="15"/>
      <c r="D176" s="25" t="s">
        <v>28</v>
      </c>
      <c r="E176" s="13">
        <v>700.0</v>
      </c>
      <c r="F176" s="13">
        <v>175.0</v>
      </c>
      <c r="G176" s="15">
        <v>4514.0</v>
      </c>
      <c r="H176" s="15" t="s">
        <v>38</v>
      </c>
      <c r="I176" s="15" t="s">
        <v>43</v>
      </c>
      <c r="J176" s="15" t="s">
        <v>2749</v>
      </c>
      <c r="K176" s="15" t="s">
        <v>2751</v>
      </c>
      <c r="L176" s="15" t="s">
        <v>2793</v>
      </c>
    </row>
    <row r="177" ht="56.25" customHeight="1">
      <c r="A177" s="23" t="s">
        <v>3223</v>
      </c>
      <c r="B177" s="15" t="str">
        <f>image("https://storage.googleapis.com/acdb/bottoms/BottomsTexPantsNormalCycle3.png")</f>
        <v/>
      </c>
      <c r="C177" s="15"/>
      <c r="D177" s="25" t="s">
        <v>28</v>
      </c>
      <c r="E177" s="13">
        <v>700.0</v>
      </c>
      <c r="F177" s="13">
        <v>175.0</v>
      </c>
      <c r="G177" s="15">
        <v>4514.0</v>
      </c>
      <c r="H177" s="15" t="s">
        <v>38</v>
      </c>
      <c r="I177" s="15" t="s">
        <v>43</v>
      </c>
      <c r="J177" s="15" t="s">
        <v>2749</v>
      </c>
      <c r="K177" s="15" t="s">
        <v>2751</v>
      </c>
      <c r="L177" s="15" t="s">
        <v>2793</v>
      </c>
    </row>
    <row r="178" ht="56.25" customHeight="1">
      <c r="A178" s="23" t="s">
        <v>3223</v>
      </c>
      <c r="B178" s="15" t="str">
        <f>image("https://storage.googleapis.com/acdb/bottoms/BottomsTexPantsNormalCycle4.png")</f>
        <v/>
      </c>
      <c r="C178" s="15"/>
      <c r="D178" s="25" t="s">
        <v>28</v>
      </c>
      <c r="E178" s="13">
        <v>700.0</v>
      </c>
      <c r="F178" s="13">
        <v>175.0</v>
      </c>
      <c r="G178" s="15">
        <v>4514.0</v>
      </c>
      <c r="H178" s="15" t="s">
        <v>38</v>
      </c>
      <c r="I178" s="15" t="s">
        <v>43</v>
      </c>
      <c r="J178" s="15" t="s">
        <v>2749</v>
      </c>
      <c r="K178" s="15" t="s">
        <v>2751</v>
      </c>
      <c r="L178" s="15" t="s">
        <v>2793</v>
      </c>
    </row>
    <row r="179" ht="56.25" customHeight="1">
      <c r="A179" s="23" t="s">
        <v>3223</v>
      </c>
      <c r="B179" s="15" t="str">
        <f>image("https://storage.googleapis.com/acdb/bottoms/BottomsTexPantsNormalCycle5.png")</f>
        <v/>
      </c>
      <c r="C179" s="15"/>
      <c r="D179" s="25" t="s">
        <v>28</v>
      </c>
      <c r="E179" s="13">
        <v>700.0</v>
      </c>
      <c r="F179" s="13">
        <v>175.0</v>
      </c>
      <c r="G179" s="15">
        <v>4514.0</v>
      </c>
      <c r="H179" s="15" t="s">
        <v>38</v>
      </c>
      <c r="I179" s="15" t="s">
        <v>43</v>
      </c>
      <c r="J179" s="15" t="s">
        <v>2749</v>
      </c>
      <c r="K179" s="15" t="s">
        <v>2751</v>
      </c>
      <c r="L179" s="15" t="s">
        <v>2793</v>
      </c>
    </row>
    <row r="180" ht="56.25" customHeight="1">
      <c r="A180" s="23" t="s">
        <v>3223</v>
      </c>
      <c r="B180" s="15" t="str">
        <f>image("https://storage.googleapis.com/acdb/bottoms/BottomsTexPantsNormalCycle6.png")</f>
        <v/>
      </c>
      <c r="C180" s="15"/>
      <c r="D180" s="25" t="s">
        <v>28</v>
      </c>
      <c r="E180" s="13">
        <v>700.0</v>
      </c>
      <c r="F180" s="13">
        <v>175.0</v>
      </c>
      <c r="G180" s="15">
        <v>4514.0</v>
      </c>
      <c r="H180" s="15" t="s">
        <v>38</v>
      </c>
      <c r="I180" s="15" t="s">
        <v>43</v>
      </c>
      <c r="J180" s="15" t="s">
        <v>2749</v>
      </c>
      <c r="K180" s="15" t="s">
        <v>2751</v>
      </c>
      <c r="L180" s="15" t="s">
        <v>2793</v>
      </c>
    </row>
    <row r="181" ht="56.25" customHeight="1">
      <c r="A181" s="23" t="s">
        <v>3223</v>
      </c>
      <c r="B181" s="15" t="str">
        <f>image("https://storage.googleapis.com/acdb/bottoms/BottomsTexPantsNormalCycle7.png")</f>
        <v/>
      </c>
      <c r="C181" s="15"/>
      <c r="D181" s="25" t="s">
        <v>28</v>
      </c>
      <c r="E181" s="13">
        <v>700.0</v>
      </c>
      <c r="F181" s="13">
        <v>175.0</v>
      </c>
      <c r="G181" s="15">
        <v>4514.0</v>
      </c>
      <c r="H181" s="15" t="s">
        <v>38</v>
      </c>
      <c r="I181" s="15" t="s">
        <v>43</v>
      </c>
      <c r="J181" s="15" t="s">
        <v>2749</v>
      </c>
      <c r="K181" s="15" t="s">
        <v>2751</v>
      </c>
      <c r="L181" s="15" t="s">
        <v>2793</v>
      </c>
    </row>
    <row r="182" ht="56.25" customHeight="1">
      <c r="A182" s="23" t="s">
        <v>3232</v>
      </c>
      <c r="B182" s="15" t="str">
        <f>image("https://storage.googleapis.com/acdb/bottoms/BottomsTexPantsWideCool0.png")</f>
        <v/>
      </c>
      <c r="C182" s="15"/>
      <c r="D182" s="25" t="s">
        <v>28</v>
      </c>
      <c r="E182" s="13">
        <v>1560.0</v>
      </c>
      <c r="F182" s="13">
        <v>390.0</v>
      </c>
      <c r="G182" s="15">
        <v>5341.0</v>
      </c>
      <c r="H182" s="15" t="s">
        <v>38</v>
      </c>
      <c r="I182" s="15" t="s">
        <v>43</v>
      </c>
      <c r="J182" s="15" t="s">
        <v>2749</v>
      </c>
      <c r="K182" s="15" t="s">
        <v>2764</v>
      </c>
      <c r="L182" s="15" t="s">
        <v>2793</v>
      </c>
    </row>
    <row r="183" ht="56.25" customHeight="1">
      <c r="A183" s="23" t="s">
        <v>3232</v>
      </c>
      <c r="B183" s="15" t="str">
        <f>image("https://storage.googleapis.com/acdb/bottoms/BottomsTexPantsWideCool1.png")</f>
        <v/>
      </c>
      <c r="C183" s="15"/>
      <c r="D183" s="25" t="s">
        <v>28</v>
      </c>
      <c r="E183" s="13">
        <v>1560.0</v>
      </c>
      <c r="F183" s="13">
        <v>390.0</v>
      </c>
      <c r="G183" s="15">
        <v>5341.0</v>
      </c>
      <c r="H183" s="15" t="s">
        <v>38</v>
      </c>
      <c r="I183" s="15" t="s">
        <v>43</v>
      </c>
      <c r="J183" s="15" t="s">
        <v>2749</v>
      </c>
      <c r="K183" s="15" t="s">
        <v>2764</v>
      </c>
      <c r="L183" s="15" t="s">
        <v>2793</v>
      </c>
    </row>
    <row r="184" ht="56.25" customHeight="1">
      <c r="A184" s="23" t="s">
        <v>3232</v>
      </c>
      <c r="B184" s="15" t="str">
        <f>image("https://storage.googleapis.com/acdb/bottoms/BottomsTexPantsWideCool2.png")</f>
        <v/>
      </c>
      <c r="C184" s="15"/>
      <c r="D184" s="25" t="s">
        <v>28</v>
      </c>
      <c r="E184" s="13">
        <v>1560.0</v>
      </c>
      <c r="F184" s="13">
        <v>390.0</v>
      </c>
      <c r="G184" s="15">
        <v>5341.0</v>
      </c>
      <c r="H184" s="15" t="s">
        <v>38</v>
      </c>
      <c r="I184" s="15" t="s">
        <v>43</v>
      </c>
      <c r="J184" s="15" t="s">
        <v>2749</v>
      </c>
      <c r="K184" s="15" t="s">
        <v>2764</v>
      </c>
      <c r="L184" s="15" t="s">
        <v>2793</v>
      </c>
    </row>
    <row r="185" ht="56.25" customHeight="1">
      <c r="A185" s="23" t="s">
        <v>3232</v>
      </c>
      <c r="B185" s="15" t="str">
        <f>image("https://storage.googleapis.com/acdb/bottoms/BottomsTexPantsWideCool3.png")</f>
        <v/>
      </c>
      <c r="C185" s="15"/>
      <c r="D185" s="25" t="s">
        <v>28</v>
      </c>
      <c r="E185" s="13">
        <v>1560.0</v>
      </c>
      <c r="F185" s="13">
        <v>390.0</v>
      </c>
      <c r="G185" s="15">
        <v>5341.0</v>
      </c>
      <c r="H185" s="15" t="s">
        <v>38</v>
      </c>
      <c r="I185" s="15" t="s">
        <v>43</v>
      </c>
      <c r="J185" s="15" t="s">
        <v>2749</v>
      </c>
      <c r="K185" s="15" t="s">
        <v>2764</v>
      </c>
      <c r="L185" s="15" t="s">
        <v>2793</v>
      </c>
    </row>
    <row r="186" ht="56.25" customHeight="1">
      <c r="A186" s="23" t="s">
        <v>3235</v>
      </c>
      <c r="B186" s="15" t="str">
        <f>image("https://storage.googleapis.com/acdb/bottoms/BottomsTexPantsHotDenim0.png")</f>
        <v/>
      </c>
      <c r="C186" s="15"/>
      <c r="D186" s="25" t="s">
        <v>28</v>
      </c>
      <c r="E186" s="13">
        <v>1120.0</v>
      </c>
      <c r="F186" s="13">
        <v>280.0</v>
      </c>
      <c r="G186" s="15">
        <v>4274.0</v>
      </c>
      <c r="H186" s="15" t="s">
        <v>38</v>
      </c>
      <c r="I186" s="15" t="s">
        <v>43</v>
      </c>
      <c r="J186" s="15" t="s">
        <v>2749</v>
      </c>
      <c r="K186" s="15" t="s">
        <v>2764</v>
      </c>
      <c r="L186" s="15" t="s">
        <v>2744</v>
      </c>
    </row>
    <row r="187" ht="56.25" customHeight="1">
      <c r="A187" s="23" t="s">
        <v>3235</v>
      </c>
      <c r="B187" s="15" t="str">
        <f>image("https://storage.googleapis.com/acdb/bottoms/BottomsTexPantsHotDenim1.png")</f>
        <v/>
      </c>
      <c r="C187" s="15"/>
      <c r="D187" s="25" t="s">
        <v>28</v>
      </c>
      <c r="E187" s="13">
        <v>1120.0</v>
      </c>
      <c r="F187" s="13">
        <v>280.0</v>
      </c>
      <c r="G187" s="15">
        <v>4274.0</v>
      </c>
      <c r="H187" s="15" t="s">
        <v>38</v>
      </c>
      <c r="I187" s="15" t="s">
        <v>43</v>
      </c>
      <c r="J187" s="15" t="s">
        <v>2749</v>
      </c>
      <c r="K187" s="15" t="s">
        <v>2764</v>
      </c>
      <c r="L187" s="15" t="s">
        <v>2744</v>
      </c>
    </row>
    <row r="188" ht="56.25" customHeight="1">
      <c r="A188" s="23" t="s">
        <v>3235</v>
      </c>
      <c r="B188" s="15" t="str">
        <f>image("https://storage.googleapis.com/acdb/bottoms/BottomsTexPantsHotDenim2.png")</f>
        <v/>
      </c>
      <c r="C188" s="15"/>
      <c r="D188" s="25" t="s">
        <v>28</v>
      </c>
      <c r="E188" s="13">
        <v>1120.0</v>
      </c>
      <c r="F188" s="13">
        <v>280.0</v>
      </c>
      <c r="G188" s="15">
        <v>4274.0</v>
      </c>
      <c r="H188" s="15" t="s">
        <v>38</v>
      </c>
      <c r="I188" s="15" t="s">
        <v>43</v>
      </c>
      <c r="J188" s="15" t="s">
        <v>2749</v>
      </c>
      <c r="K188" s="15" t="s">
        <v>2764</v>
      </c>
      <c r="L188" s="15" t="s">
        <v>2744</v>
      </c>
    </row>
    <row r="189" ht="56.25" customHeight="1">
      <c r="A189" s="23" t="s">
        <v>3235</v>
      </c>
      <c r="B189" s="15" t="str">
        <f>image("https://storage.googleapis.com/acdb/bottoms/BottomsTexPantsHotDenim3.png")</f>
        <v/>
      </c>
      <c r="C189" s="15"/>
      <c r="D189" s="25" t="s">
        <v>28</v>
      </c>
      <c r="E189" s="13">
        <v>1120.0</v>
      </c>
      <c r="F189" s="13">
        <v>280.0</v>
      </c>
      <c r="G189" s="15">
        <v>4274.0</v>
      </c>
      <c r="H189" s="15" t="s">
        <v>38</v>
      </c>
      <c r="I189" s="15" t="s">
        <v>43</v>
      </c>
      <c r="J189" s="15" t="s">
        <v>2749</v>
      </c>
      <c r="K189" s="15" t="s">
        <v>2764</v>
      </c>
      <c r="L189" s="15" t="s">
        <v>2744</v>
      </c>
    </row>
    <row r="190" ht="56.25" customHeight="1">
      <c r="A190" s="23" t="s">
        <v>3235</v>
      </c>
      <c r="B190" s="15" t="str">
        <f>image("https://storage.googleapis.com/acdb/bottoms/BottomsTexPantsHotDenim4.png")</f>
        <v/>
      </c>
      <c r="C190" s="15"/>
      <c r="D190" s="25" t="s">
        <v>28</v>
      </c>
      <c r="E190" s="13">
        <v>1120.0</v>
      </c>
      <c r="F190" s="13">
        <v>280.0</v>
      </c>
      <c r="G190" s="15">
        <v>4274.0</v>
      </c>
      <c r="H190" s="15" t="s">
        <v>38</v>
      </c>
      <c r="I190" s="15" t="s">
        <v>43</v>
      </c>
      <c r="J190" s="15" t="s">
        <v>2749</v>
      </c>
      <c r="K190" s="15" t="s">
        <v>2764</v>
      </c>
      <c r="L190" s="15" t="s">
        <v>2744</v>
      </c>
    </row>
    <row r="191" ht="56.25" customHeight="1">
      <c r="A191" s="23" t="s">
        <v>3241</v>
      </c>
      <c r="B191" s="15" t="str">
        <f>image("https://storage.googleapis.com/acdb/bottoms/BottomsTexPantsWideDenim0.png")</f>
        <v/>
      </c>
      <c r="C191" s="15"/>
      <c r="D191" s="25" t="s">
        <v>28</v>
      </c>
      <c r="E191" s="13">
        <v>1560.0</v>
      </c>
      <c r="F191" s="13">
        <v>390.0</v>
      </c>
      <c r="G191" s="15">
        <v>4326.0</v>
      </c>
      <c r="H191" s="15" t="s">
        <v>38</v>
      </c>
      <c r="I191" s="15" t="s">
        <v>43</v>
      </c>
      <c r="J191" s="15" t="s">
        <v>2749</v>
      </c>
      <c r="K191" s="15" t="s">
        <v>2751</v>
      </c>
      <c r="L191" s="15" t="s">
        <v>2744</v>
      </c>
    </row>
    <row r="192" ht="56.25" customHeight="1">
      <c r="A192" s="23" t="s">
        <v>3241</v>
      </c>
      <c r="B192" s="15" t="str">
        <f>image("https://storage.googleapis.com/acdb/bottoms/BottomsTexPantsWideDenim1.png")</f>
        <v/>
      </c>
      <c r="C192" s="15"/>
      <c r="D192" s="25" t="s">
        <v>28</v>
      </c>
      <c r="E192" s="13">
        <v>1560.0</v>
      </c>
      <c r="F192" s="13">
        <v>390.0</v>
      </c>
      <c r="G192" s="15">
        <v>4326.0</v>
      </c>
      <c r="H192" s="15" t="s">
        <v>38</v>
      </c>
      <c r="I192" s="15" t="s">
        <v>43</v>
      </c>
      <c r="J192" s="15" t="s">
        <v>2749</v>
      </c>
      <c r="K192" s="15" t="s">
        <v>2751</v>
      </c>
      <c r="L192" s="15" t="s">
        <v>2744</v>
      </c>
    </row>
    <row r="193" ht="56.25" customHeight="1">
      <c r="A193" s="23" t="s">
        <v>3241</v>
      </c>
      <c r="B193" s="15" t="str">
        <f>image("https://storage.googleapis.com/acdb/bottoms/BottomsTexPantsWideDenim2.png")</f>
        <v/>
      </c>
      <c r="C193" s="15"/>
      <c r="D193" s="25" t="s">
        <v>28</v>
      </c>
      <c r="E193" s="13">
        <v>1560.0</v>
      </c>
      <c r="F193" s="13">
        <v>390.0</v>
      </c>
      <c r="G193" s="15">
        <v>4326.0</v>
      </c>
      <c r="H193" s="15" t="s">
        <v>38</v>
      </c>
      <c r="I193" s="15" t="s">
        <v>43</v>
      </c>
      <c r="J193" s="15" t="s">
        <v>2749</v>
      </c>
      <c r="K193" s="15" t="s">
        <v>2751</v>
      </c>
      <c r="L193" s="15" t="s">
        <v>2744</v>
      </c>
    </row>
    <row r="194" ht="56.25" customHeight="1">
      <c r="A194" s="23" t="s">
        <v>3241</v>
      </c>
      <c r="B194" s="15" t="str">
        <f>image("https://storage.googleapis.com/acdb/bottoms/BottomsTexPantsWideDenim3.png")</f>
        <v/>
      </c>
      <c r="C194" s="15"/>
      <c r="D194" s="25" t="s">
        <v>28</v>
      </c>
      <c r="E194" s="13">
        <v>1560.0</v>
      </c>
      <c r="F194" s="13">
        <v>390.0</v>
      </c>
      <c r="G194" s="15">
        <v>4326.0</v>
      </c>
      <c r="H194" s="15" t="s">
        <v>38</v>
      </c>
      <c r="I194" s="15" t="s">
        <v>43</v>
      </c>
      <c r="J194" s="15" t="s">
        <v>2749</v>
      </c>
      <c r="K194" s="15" t="s">
        <v>2751</v>
      </c>
      <c r="L194" s="15" t="s">
        <v>2744</v>
      </c>
    </row>
    <row r="195" ht="56.25" customHeight="1">
      <c r="A195" s="23" t="s">
        <v>3241</v>
      </c>
      <c r="B195" s="15" t="str">
        <f>image("https://storage.googleapis.com/acdb/bottoms/BottomsTexPantsWideDenim4.png")</f>
        <v/>
      </c>
      <c r="C195" s="15"/>
      <c r="D195" s="25" t="s">
        <v>28</v>
      </c>
      <c r="E195" s="13">
        <v>1560.0</v>
      </c>
      <c r="F195" s="13">
        <v>390.0</v>
      </c>
      <c r="G195" s="15">
        <v>4326.0</v>
      </c>
      <c r="H195" s="15" t="s">
        <v>38</v>
      </c>
      <c r="I195" s="15" t="s">
        <v>43</v>
      </c>
      <c r="J195" s="15" t="s">
        <v>2749</v>
      </c>
      <c r="K195" s="15" t="s">
        <v>2751</v>
      </c>
      <c r="L195" s="15" t="s">
        <v>2744</v>
      </c>
    </row>
    <row r="196" ht="56.25" customHeight="1">
      <c r="A196" s="23" t="s">
        <v>3248</v>
      </c>
      <c r="B196" s="15" t="str">
        <f>image("https://storage.googleapis.com/acdb/bottoms/BottomsTexPantsNormalDenim0.png")</f>
        <v/>
      </c>
      <c r="C196" s="15"/>
      <c r="D196" s="25" t="s">
        <v>28</v>
      </c>
      <c r="E196" s="13">
        <v>1120.0</v>
      </c>
      <c r="F196" s="13">
        <v>280.0</v>
      </c>
      <c r="G196" s="15">
        <v>2403.0</v>
      </c>
      <c r="H196" s="15" t="s">
        <v>38</v>
      </c>
      <c r="I196" s="15" t="s">
        <v>43</v>
      </c>
      <c r="J196" s="15" t="s">
        <v>2749</v>
      </c>
      <c r="K196" s="15" t="s">
        <v>2764</v>
      </c>
      <c r="L196" s="15" t="s">
        <v>2744</v>
      </c>
    </row>
    <row r="197" ht="56.25" customHeight="1">
      <c r="A197" s="23" t="s">
        <v>3248</v>
      </c>
      <c r="B197" s="15" t="str">
        <f>image("https://storage.googleapis.com/acdb/bottoms/BottomsTexPantsNormalDenim1.png")</f>
        <v/>
      </c>
      <c r="C197" s="15"/>
      <c r="D197" s="25" t="s">
        <v>28</v>
      </c>
      <c r="E197" s="13">
        <v>1120.0</v>
      </c>
      <c r="F197" s="13">
        <v>280.0</v>
      </c>
      <c r="G197" s="15">
        <v>2403.0</v>
      </c>
      <c r="H197" s="15" t="s">
        <v>38</v>
      </c>
      <c r="I197" s="15" t="s">
        <v>43</v>
      </c>
      <c r="J197" s="15" t="s">
        <v>2749</v>
      </c>
      <c r="K197" s="15" t="s">
        <v>2764</v>
      </c>
      <c r="L197" s="15" t="s">
        <v>2744</v>
      </c>
    </row>
    <row r="198" ht="56.25" customHeight="1">
      <c r="A198" s="23" t="s">
        <v>3248</v>
      </c>
      <c r="B198" s="15" t="str">
        <f>image("https://storage.googleapis.com/acdb/bottoms/BottomsTexPantsNormalDenim2.png")</f>
        <v/>
      </c>
      <c r="C198" s="15"/>
      <c r="D198" s="25" t="s">
        <v>28</v>
      </c>
      <c r="E198" s="13">
        <v>1120.0</v>
      </c>
      <c r="F198" s="13">
        <v>280.0</v>
      </c>
      <c r="G198" s="15">
        <v>2403.0</v>
      </c>
      <c r="H198" s="15" t="s">
        <v>38</v>
      </c>
      <c r="I198" s="15" t="s">
        <v>43</v>
      </c>
      <c r="J198" s="15" t="s">
        <v>2749</v>
      </c>
      <c r="K198" s="15" t="s">
        <v>2764</v>
      </c>
      <c r="L198" s="15" t="s">
        <v>2744</v>
      </c>
    </row>
    <row r="199" ht="56.25" customHeight="1">
      <c r="A199" s="23" t="s">
        <v>3248</v>
      </c>
      <c r="B199" s="15" t="str">
        <f>image("https://storage.googleapis.com/acdb/bottoms/BottomsTexPantsNormalDenim3.png")</f>
        <v/>
      </c>
      <c r="C199" s="15"/>
      <c r="D199" s="25" t="s">
        <v>28</v>
      </c>
      <c r="E199" s="13">
        <v>1120.0</v>
      </c>
      <c r="F199" s="13">
        <v>280.0</v>
      </c>
      <c r="G199" s="15">
        <v>2403.0</v>
      </c>
      <c r="H199" s="15" t="s">
        <v>38</v>
      </c>
      <c r="I199" s="15" t="s">
        <v>43</v>
      </c>
      <c r="J199" s="15" t="s">
        <v>2749</v>
      </c>
      <c r="K199" s="15" t="s">
        <v>2764</v>
      </c>
      <c r="L199" s="15" t="s">
        <v>2744</v>
      </c>
    </row>
    <row r="200" ht="56.25" customHeight="1">
      <c r="A200" s="23" t="s">
        <v>3248</v>
      </c>
      <c r="B200" s="15" t="str">
        <f>image("https://storage.googleapis.com/acdb/bottoms/BottomsTexPantsNormalDenim4.png")</f>
        <v/>
      </c>
      <c r="C200" s="15"/>
      <c r="D200" s="25" t="s">
        <v>28</v>
      </c>
      <c r="E200" s="13">
        <v>1120.0</v>
      </c>
      <c r="F200" s="13">
        <v>280.0</v>
      </c>
      <c r="G200" s="15">
        <v>2403.0</v>
      </c>
      <c r="H200" s="15" t="s">
        <v>38</v>
      </c>
      <c r="I200" s="15" t="s">
        <v>43</v>
      </c>
      <c r="J200" s="15" t="s">
        <v>2749</v>
      </c>
      <c r="K200" s="15" t="s">
        <v>2764</v>
      </c>
      <c r="L200" s="15" t="s">
        <v>2744</v>
      </c>
    </row>
    <row r="201" ht="56.25" customHeight="1">
      <c r="A201" s="23" t="s">
        <v>3254</v>
      </c>
      <c r="B201" s="15" t="str">
        <f>image("https://storage.googleapis.com/acdb/bottoms/BottomsTexSkirtBoxDenim0.png")</f>
        <v/>
      </c>
      <c r="C201" s="15"/>
      <c r="D201" s="25" t="s">
        <v>28</v>
      </c>
      <c r="E201" s="13">
        <v>1120.0</v>
      </c>
      <c r="F201" s="13">
        <v>280.0</v>
      </c>
      <c r="G201" s="15">
        <v>4246.0</v>
      </c>
      <c r="H201" s="15" t="s">
        <v>38</v>
      </c>
      <c r="I201" s="15" t="s">
        <v>43</v>
      </c>
      <c r="J201" s="15" t="s">
        <v>2749</v>
      </c>
      <c r="K201" s="15" t="s">
        <v>2764</v>
      </c>
      <c r="L201" s="15" t="s">
        <v>2744</v>
      </c>
    </row>
    <row r="202" ht="56.25" customHeight="1">
      <c r="A202" s="23" t="s">
        <v>3254</v>
      </c>
      <c r="B202" s="15" t="str">
        <f>image("https://storage.googleapis.com/acdb/bottoms/BottomsTexSkirtBoxDenim1.png")</f>
        <v/>
      </c>
      <c r="C202" s="15"/>
      <c r="D202" s="25" t="s">
        <v>28</v>
      </c>
      <c r="E202" s="13">
        <v>1120.0</v>
      </c>
      <c r="F202" s="13">
        <v>280.0</v>
      </c>
      <c r="G202" s="15">
        <v>4246.0</v>
      </c>
      <c r="H202" s="15" t="s">
        <v>38</v>
      </c>
      <c r="I202" s="15" t="s">
        <v>43</v>
      </c>
      <c r="J202" s="15" t="s">
        <v>2749</v>
      </c>
      <c r="K202" s="15" t="s">
        <v>2764</v>
      </c>
      <c r="L202" s="15" t="s">
        <v>2744</v>
      </c>
    </row>
    <row r="203" ht="56.25" customHeight="1">
      <c r="A203" s="23" t="s">
        <v>3254</v>
      </c>
      <c r="B203" s="15" t="str">
        <f>image("https://storage.googleapis.com/acdb/bottoms/BottomsTexSkirtBoxDenim2.png")</f>
        <v/>
      </c>
      <c r="C203" s="15"/>
      <c r="D203" s="25" t="s">
        <v>28</v>
      </c>
      <c r="E203" s="13">
        <v>1120.0</v>
      </c>
      <c r="F203" s="13">
        <v>280.0</v>
      </c>
      <c r="G203" s="15">
        <v>4246.0</v>
      </c>
      <c r="H203" s="15" t="s">
        <v>38</v>
      </c>
      <c r="I203" s="15" t="s">
        <v>43</v>
      </c>
      <c r="J203" s="15" t="s">
        <v>2749</v>
      </c>
      <c r="K203" s="15" t="s">
        <v>2764</v>
      </c>
      <c r="L203" s="15" t="s">
        <v>2744</v>
      </c>
    </row>
    <row r="204" ht="56.25" customHeight="1">
      <c r="A204" s="23" t="s">
        <v>3254</v>
      </c>
      <c r="B204" s="15" t="str">
        <f>image("https://storage.googleapis.com/acdb/bottoms/BottomsTexSkirtBoxDenim3.png")</f>
        <v/>
      </c>
      <c r="C204" s="15"/>
      <c r="D204" s="25" t="s">
        <v>28</v>
      </c>
      <c r="E204" s="13">
        <v>1120.0</v>
      </c>
      <c r="F204" s="13">
        <v>280.0</v>
      </c>
      <c r="G204" s="15">
        <v>4246.0</v>
      </c>
      <c r="H204" s="15" t="s">
        <v>38</v>
      </c>
      <c r="I204" s="15" t="s">
        <v>43</v>
      </c>
      <c r="J204" s="15" t="s">
        <v>2749</v>
      </c>
      <c r="K204" s="15" t="s">
        <v>2764</v>
      </c>
      <c r="L204" s="15" t="s">
        <v>2744</v>
      </c>
    </row>
    <row r="205" ht="56.25" customHeight="1">
      <c r="A205" s="23" t="s">
        <v>3254</v>
      </c>
      <c r="B205" s="15" t="str">
        <f>image("https://storage.googleapis.com/acdb/bottoms/BottomsTexSkirtBoxDenim4.png")</f>
        <v/>
      </c>
      <c r="C205" s="15"/>
      <c r="D205" s="25" t="s">
        <v>28</v>
      </c>
      <c r="E205" s="13">
        <v>1120.0</v>
      </c>
      <c r="F205" s="13">
        <v>280.0</v>
      </c>
      <c r="G205" s="15">
        <v>4246.0</v>
      </c>
      <c r="H205" s="15" t="s">
        <v>38</v>
      </c>
      <c r="I205" s="15" t="s">
        <v>43</v>
      </c>
      <c r="J205" s="15" t="s">
        <v>2749</v>
      </c>
      <c r="K205" s="15" t="s">
        <v>2764</v>
      </c>
      <c r="L205" s="15" t="s">
        <v>2744</v>
      </c>
    </row>
    <row r="206" ht="56.25" customHeight="1">
      <c r="A206" s="23" t="s">
        <v>3260</v>
      </c>
      <c r="B206" s="15" t="str">
        <f>image("https://storage.googleapis.com/acdb/bottoms/BottomsTexPantsHotDotgold0.png")</f>
        <v/>
      </c>
      <c r="C206" s="15"/>
      <c r="D206" s="25" t="s">
        <v>28</v>
      </c>
      <c r="E206" s="13">
        <v>980.0</v>
      </c>
      <c r="F206" s="13">
        <v>245.0</v>
      </c>
      <c r="G206" s="15">
        <v>4523.0</v>
      </c>
      <c r="H206" s="15" t="s">
        <v>38</v>
      </c>
      <c r="I206" s="15" t="s">
        <v>43</v>
      </c>
      <c r="J206" s="15" t="s">
        <v>2749</v>
      </c>
      <c r="K206" s="15" t="s">
        <v>2764</v>
      </c>
      <c r="L206" s="15" t="s">
        <v>384</v>
      </c>
    </row>
    <row r="207" ht="56.25" customHeight="1">
      <c r="A207" s="23" t="s">
        <v>3260</v>
      </c>
      <c r="B207" s="15" t="str">
        <f>image("https://storage.googleapis.com/acdb/bottoms/BottomsTexPantsHotDotgold1.png")</f>
        <v/>
      </c>
      <c r="C207" s="15"/>
      <c r="D207" s="25" t="s">
        <v>28</v>
      </c>
      <c r="E207" s="13">
        <v>980.0</v>
      </c>
      <c r="F207" s="13">
        <v>245.0</v>
      </c>
      <c r="G207" s="15">
        <v>4523.0</v>
      </c>
      <c r="H207" s="15" t="s">
        <v>38</v>
      </c>
      <c r="I207" s="15" t="s">
        <v>43</v>
      </c>
      <c r="J207" s="15" t="s">
        <v>2749</v>
      </c>
      <c r="K207" s="15" t="s">
        <v>2764</v>
      </c>
      <c r="L207" s="15" t="s">
        <v>384</v>
      </c>
    </row>
    <row r="208" ht="56.25" customHeight="1">
      <c r="A208" s="23" t="s">
        <v>3262</v>
      </c>
      <c r="B208" s="15" t="str">
        <f>image("https://storage.googleapis.com/acdb/bottoms/BottomsTexPantsNormalDown0.png")</f>
        <v/>
      </c>
      <c r="C208" s="15"/>
      <c r="D208" s="25" t="s">
        <v>28</v>
      </c>
      <c r="E208" s="13">
        <v>1120.0</v>
      </c>
      <c r="F208" s="13">
        <v>280.0</v>
      </c>
      <c r="G208" s="15">
        <v>4256.0</v>
      </c>
      <c r="H208" s="15" t="s">
        <v>38</v>
      </c>
      <c r="I208" s="15" t="s">
        <v>43</v>
      </c>
      <c r="J208" s="15" t="s">
        <v>2749</v>
      </c>
      <c r="K208" s="15" t="s">
        <v>2764</v>
      </c>
      <c r="L208" s="15" t="s">
        <v>2793</v>
      </c>
    </row>
    <row r="209" ht="56.25" customHeight="1">
      <c r="A209" s="23" t="s">
        <v>3262</v>
      </c>
      <c r="B209" s="15" t="str">
        <f>image("https://storage.googleapis.com/acdb/bottoms/BottomsTexPantsNormalDown1.png")</f>
        <v/>
      </c>
      <c r="C209" s="15"/>
      <c r="D209" s="25" t="s">
        <v>28</v>
      </c>
      <c r="E209" s="13">
        <v>1120.0</v>
      </c>
      <c r="F209" s="13">
        <v>280.0</v>
      </c>
      <c r="G209" s="15">
        <v>4256.0</v>
      </c>
      <c r="H209" s="15" t="s">
        <v>38</v>
      </c>
      <c r="I209" s="15" t="s">
        <v>43</v>
      </c>
      <c r="J209" s="15" t="s">
        <v>2749</v>
      </c>
      <c r="K209" s="15" t="s">
        <v>2764</v>
      </c>
      <c r="L209" s="15" t="s">
        <v>2793</v>
      </c>
    </row>
    <row r="210" ht="56.25" customHeight="1">
      <c r="A210" s="23" t="s">
        <v>3262</v>
      </c>
      <c r="B210" s="15" t="str">
        <f>image("https://storage.googleapis.com/acdb/bottoms/BottomsTexPantsNormalDown2.png")</f>
        <v/>
      </c>
      <c r="C210" s="15"/>
      <c r="D210" s="25" t="s">
        <v>28</v>
      </c>
      <c r="E210" s="13">
        <v>1120.0</v>
      </c>
      <c r="F210" s="13">
        <v>280.0</v>
      </c>
      <c r="G210" s="15">
        <v>4256.0</v>
      </c>
      <c r="H210" s="15" t="s">
        <v>38</v>
      </c>
      <c r="I210" s="15" t="s">
        <v>43</v>
      </c>
      <c r="J210" s="15" t="s">
        <v>2749</v>
      </c>
      <c r="K210" s="15" t="s">
        <v>2764</v>
      </c>
      <c r="L210" s="15" t="s">
        <v>2793</v>
      </c>
    </row>
    <row r="211" ht="56.25" customHeight="1">
      <c r="A211" s="23" t="s">
        <v>3262</v>
      </c>
      <c r="B211" s="15" t="str">
        <f>image("https://storage.googleapis.com/acdb/bottoms/BottomsTexPantsNormalDown3.png")</f>
        <v/>
      </c>
      <c r="C211" s="15"/>
      <c r="D211" s="25" t="s">
        <v>28</v>
      </c>
      <c r="E211" s="13">
        <v>1120.0</v>
      </c>
      <c r="F211" s="13">
        <v>280.0</v>
      </c>
      <c r="G211" s="15">
        <v>4256.0</v>
      </c>
      <c r="H211" s="15" t="s">
        <v>38</v>
      </c>
      <c r="I211" s="15" t="s">
        <v>43</v>
      </c>
      <c r="J211" s="15" t="s">
        <v>2749</v>
      </c>
      <c r="K211" s="15" t="s">
        <v>2764</v>
      </c>
      <c r="L211" s="15" t="s">
        <v>2793</v>
      </c>
    </row>
    <row r="212" ht="56.25" customHeight="1">
      <c r="A212" s="23" t="s">
        <v>3262</v>
      </c>
      <c r="B212" s="15" t="str">
        <f>image("https://storage.googleapis.com/acdb/bottoms/BottomsTexPantsNormalDown4.png")</f>
        <v/>
      </c>
      <c r="C212" s="15"/>
      <c r="D212" s="25" t="s">
        <v>28</v>
      </c>
      <c r="E212" s="13">
        <v>1120.0</v>
      </c>
      <c r="F212" s="13">
        <v>280.0</v>
      </c>
      <c r="G212" s="15">
        <v>4256.0</v>
      </c>
      <c r="H212" s="15" t="s">
        <v>38</v>
      </c>
      <c r="I212" s="15" t="s">
        <v>43</v>
      </c>
      <c r="J212" s="15" t="s">
        <v>2749</v>
      </c>
      <c r="K212" s="15" t="s">
        <v>2764</v>
      </c>
      <c r="L212" s="15" t="s">
        <v>2793</v>
      </c>
    </row>
    <row r="213" ht="56.25" customHeight="1">
      <c r="A213" s="23" t="s">
        <v>3262</v>
      </c>
      <c r="B213" s="15" t="str">
        <f>image("https://storage.googleapis.com/acdb/bottoms/BottomsTexPantsNormalDown5.png")</f>
        <v/>
      </c>
      <c r="C213" s="15"/>
      <c r="D213" s="25" t="s">
        <v>28</v>
      </c>
      <c r="E213" s="13">
        <v>1120.0</v>
      </c>
      <c r="F213" s="13">
        <v>280.0</v>
      </c>
      <c r="G213" s="15">
        <v>4256.0</v>
      </c>
      <c r="H213" s="15" t="s">
        <v>38</v>
      </c>
      <c r="I213" s="15" t="s">
        <v>43</v>
      </c>
      <c r="J213" s="15" t="s">
        <v>2749</v>
      </c>
      <c r="K213" s="15" t="s">
        <v>2764</v>
      </c>
      <c r="L213" s="15" t="s">
        <v>2793</v>
      </c>
    </row>
    <row r="214" ht="56.25" customHeight="1">
      <c r="A214" s="23" t="s">
        <v>3262</v>
      </c>
      <c r="B214" s="15" t="str">
        <f>image("https://storage.googleapis.com/acdb/bottoms/BottomsTexPantsNormalDown6.png")</f>
        <v/>
      </c>
      <c r="C214" s="15"/>
      <c r="D214" s="25" t="s">
        <v>28</v>
      </c>
      <c r="E214" s="13">
        <v>1120.0</v>
      </c>
      <c r="F214" s="13">
        <v>280.0</v>
      </c>
      <c r="G214" s="15">
        <v>4256.0</v>
      </c>
      <c r="H214" s="15" t="s">
        <v>38</v>
      </c>
      <c r="I214" s="15" t="s">
        <v>43</v>
      </c>
      <c r="J214" s="15" t="s">
        <v>2749</v>
      </c>
      <c r="K214" s="15" t="s">
        <v>2764</v>
      </c>
      <c r="L214" s="15" t="s">
        <v>2793</v>
      </c>
    </row>
    <row r="215" ht="56.25" customHeight="1">
      <c r="A215" s="23" t="s">
        <v>3262</v>
      </c>
      <c r="B215" s="15" t="str">
        <f>image("https://storage.googleapis.com/acdb/bottoms/BottomsTexPantsNormalDown7.png")</f>
        <v/>
      </c>
      <c r="C215" s="15"/>
      <c r="D215" s="25" t="s">
        <v>28</v>
      </c>
      <c r="E215" s="13">
        <v>1120.0</v>
      </c>
      <c r="F215" s="13">
        <v>280.0</v>
      </c>
      <c r="G215" s="15">
        <v>4256.0</v>
      </c>
      <c r="H215" s="15" t="s">
        <v>38</v>
      </c>
      <c r="I215" s="15" t="s">
        <v>43</v>
      </c>
      <c r="J215" s="15" t="s">
        <v>2749</v>
      </c>
      <c r="K215" s="15" t="s">
        <v>2764</v>
      </c>
      <c r="L215" s="15" t="s">
        <v>2793</v>
      </c>
    </row>
    <row r="216" ht="56.25" customHeight="1">
      <c r="A216" s="23" t="s">
        <v>3270</v>
      </c>
      <c r="B216" s="15" t="str">
        <f>image("https://storage.googleapis.com/acdb/bottoms/BottomsTexSkirtBoxDown0.png")</f>
        <v/>
      </c>
      <c r="C216" s="15"/>
      <c r="D216" s="25" t="s">
        <v>28</v>
      </c>
      <c r="E216" s="13">
        <v>1040.0</v>
      </c>
      <c r="F216" s="13">
        <v>260.0</v>
      </c>
      <c r="G216" s="15">
        <v>4266.0</v>
      </c>
      <c r="H216" s="15" t="s">
        <v>38</v>
      </c>
      <c r="I216" s="15" t="s">
        <v>43</v>
      </c>
      <c r="J216" s="15" t="s">
        <v>2749</v>
      </c>
      <c r="K216" s="15" t="s">
        <v>2764</v>
      </c>
      <c r="L216" s="15" t="s">
        <v>2793</v>
      </c>
    </row>
    <row r="217" ht="56.25" customHeight="1">
      <c r="A217" s="23" t="s">
        <v>3270</v>
      </c>
      <c r="B217" s="15" t="str">
        <f>image("https://storage.googleapis.com/acdb/bottoms/BottomsTexSkirtBoxDown1.png")</f>
        <v/>
      </c>
      <c r="C217" s="15"/>
      <c r="D217" s="25" t="s">
        <v>28</v>
      </c>
      <c r="E217" s="13">
        <v>1040.0</v>
      </c>
      <c r="F217" s="13">
        <v>260.0</v>
      </c>
      <c r="G217" s="15">
        <v>4266.0</v>
      </c>
      <c r="H217" s="15" t="s">
        <v>38</v>
      </c>
      <c r="I217" s="15" t="s">
        <v>43</v>
      </c>
      <c r="J217" s="15" t="s">
        <v>2749</v>
      </c>
      <c r="K217" s="15" t="s">
        <v>2764</v>
      </c>
      <c r="L217" s="15" t="s">
        <v>2793</v>
      </c>
    </row>
    <row r="218" ht="56.25" customHeight="1">
      <c r="A218" s="23" t="s">
        <v>3270</v>
      </c>
      <c r="B218" s="15" t="str">
        <f>image("https://storage.googleapis.com/acdb/bottoms/BottomsTexSkirtBoxDown2.png")</f>
        <v/>
      </c>
      <c r="C218" s="15"/>
      <c r="D218" s="25" t="s">
        <v>28</v>
      </c>
      <c r="E218" s="13">
        <v>1040.0</v>
      </c>
      <c r="F218" s="13">
        <v>260.0</v>
      </c>
      <c r="G218" s="15">
        <v>4266.0</v>
      </c>
      <c r="H218" s="15" t="s">
        <v>38</v>
      </c>
      <c r="I218" s="15" t="s">
        <v>43</v>
      </c>
      <c r="J218" s="15" t="s">
        <v>2749</v>
      </c>
      <c r="K218" s="15" t="s">
        <v>2764</v>
      </c>
      <c r="L218" s="15" t="s">
        <v>2793</v>
      </c>
    </row>
    <row r="219" ht="56.25" customHeight="1">
      <c r="A219" s="23" t="s">
        <v>3270</v>
      </c>
      <c r="B219" s="15" t="str">
        <f>image("https://storage.googleapis.com/acdb/bottoms/BottomsTexSkirtBoxDown3.png")</f>
        <v/>
      </c>
      <c r="C219" s="15"/>
      <c r="D219" s="25" t="s">
        <v>28</v>
      </c>
      <c r="E219" s="13">
        <v>1040.0</v>
      </c>
      <c r="F219" s="13">
        <v>260.0</v>
      </c>
      <c r="G219" s="15">
        <v>4266.0</v>
      </c>
      <c r="H219" s="15" t="s">
        <v>38</v>
      </c>
      <c r="I219" s="15" t="s">
        <v>43</v>
      </c>
      <c r="J219" s="15" t="s">
        <v>2749</v>
      </c>
      <c r="K219" s="15" t="s">
        <v>2764</v>
      </c>
      <c r="L219" s="15" t="s">
        <v>2793</v>
      </c>
    </row>
    <row r="220" ht="56.25" customHeight="1">
      <c r="A220" s="23" t="s">
        <v>3270</v>
      </c>
      <c r="B220" s="15" t="str">
        <f>image("https://storage.googleapis.com/acdb/bottoms/BottomsTexSkirtBoxDown4.png")</f>
        <v/>
      </c>
      <c r="C220" s="15"/>
      <c r="D220" s="25" t="s">
        <v>28</v>
      </c>
      <c r="E220" s="13">
        <v>1040.0</v>
      </c>
      <c r="F220" s="13">
        <v>260.0</v>
      </c>
      <c r="G220" s="15">
        <v>4266.0</v>
      </c>
      <c r="H220" s="15" t="s">
        <v>38</v>
      </c>
      <c r="I220" s="15" t="s">
        <v>43</v>
      </c>
      <c r="J220" s="15" t="s">
        <v>2749</v>
      </c>
      <c r="K220" s="15" t="s">
        <v>2764</v>
      </c>
      <c r="L220" s="15" t="s">
        <v>2793</v>
      </c>
    </row>
    <row r="221" ht="56.25" customHeight="1">
      <c r="A221" s="23" t="s">
        <v>3270</v>
      </c>
      <c r="B221" s="15" t="str">
        <f>image("https://storage.googleapis.com/acdb/bottoms/BottomsTexSkirtBoxDown5.png")</f>
        <v/>
      </c>
      <c r="C221" s="15"/>
      <c r="D221" s="25" t="s">
        <v>28</v>
      </c>
      <c r="E221" s="13">
        <v>1040.0</v>
      </c>
      <c r="F221" s="13">
        <v>260.0</v>
      </c>
      <c r="G221" s="15">
        <v>4266.0</v>
      </c>
      <c r="H221" s="15" t="s">
        <v>38</v>
      </c>
      <c r="I221" s="15" t="s">
        <v>43</v>
      </c>
      <c r="J221" s="15" t="s">
        <v>2749</v>
      </c>
      <c r="K221" s="15" t="s">
        <v>2764</v>
      </c>
      <c r="L221" s="15" t="s">
        <v>2793</v>
      </c>
    </row>
    <row r="222" ht="56.25" customHeight="1">
      <c r="A222" s="23" t="s">
        <v>3270</v>
      </c>
      <c r="B222" s="15" t="str">
        <f>image("https://storage.googleapis.com/acdb/bottoms/BottomsTexSkirtBoxDown6.png")</f>
        <v/>
      </c>
      <c r="C222" s="15"/>
      <c r="D222" s="25" t="s">
        <v>28</v>
      </c>
      <c r="E222" s="13">
        <v>1040.0</v>
      </c>
      <c r="F222" s="13">
        <v>260.0</v>
      </c>
      <c r="G222" s="15">
        <v>4266.0</v>
      </c>
      <c r="H222" s="15" t="s">
        <v>38</v>
      </c>
      <c r="I222" s="15" t="s">
        <v>43</v>
      </c>
      <c r="J222" s="15" t="s">
        <v>2749</v>
      </c>
      <c r="K222" s="15" t="s">
        <v>2764</v>
      </c>
      <c r="L222" s="15" t="s">
        <v>2793</v>
      </c>
    </row>
    <row r="223" ht="56.25" customHeight="1">
      <c r="A223" s="23" t="s">
        <v>3270</v>
      </c>
      <c r="B223" s="15" t="str">
        <f>image("https://storage.googleapis.com/acdb/bottoms/BottomsTexSkirtBoxDown7.png")</f>
        <v/>
      </c>
      <c r="C223" s="15"/>
      <c r="D223" s="25" t="s">
        <v>28</v>
      </c>
      <c r="E223" s="13">
        <v>1040.0</v>
      </c>
      <c r="F223" s="13">
        <v>260.0</v>
      </c>
      <c r="G223" s="15">
        <v>4266.0</v>
      </c>
      <c r="H223" s="15" t="s">
        <v>38</v>
      </c>
      <c r="I223" s="15" t="s">
        <v>43</v>
      </c>
      <c r="J223" s="15" t="s">
        <v>2749</v>
      </c>
      <c r="K223" s="15" t="s">
        <v>2764</v>
      </c>
      <c r="L223" s="15" t="s">
        <v>2793</v>
      </c>
    </row>
    <row r="224" ht="56.25" customHeight="1">
      <c r="A224" s="23" t="s">
        <v>3277</v>
      </c>
      <c r="B224" s="15" t="str">
        <f>image("https://storage.googleapis.com/acdb/bottoms/BottomsTexSkirtLongDrape0.png")</f>
        <v/>
      </c>
      <c r="C224" s="15"/>
      <c r="D224" s="25" t="s">
        <v>28</v>
      </c>
      <c r="E224" s="13">
        <v>1820.0</v>
      </c>
      <c r="F224" s="13">
        <v>455.0</v>
      </c>
      <c r="G224" s="15">
        <v>4505.0</v>
      </c>
      <c r="H224" s="15" t="s">
        <v>38</v>
      </c>
      <c r="I224" s="15" t="s">
        <v>43</v>
      </c>
      <c r="J224" s="15" t="s">
        <v>2749</v>
      </c>
      <c r="K224" s="15" t="s">
        <v>2751</v>
      </c>
      <c r="L224" s="15" t="s">
        <v>2744</v>
      </c>
    </row>
    <row r="225" ht="56.25" customHeight="1">
      <c r="A225" s="23" t="s">
        <v>3277</v>
      </c>
      <c r="B225" s="15" t="str">
        <f>image("https://storage.googleapis.com/acdb/bottoms/BottomsTexSkirtLongDrape1.png")</f>
        <v/>
      </c>
      <c r="C225" s="15"/>
      <c r="D225" s="25" t="s">
        <v>28</v>
      </c>
      <c r="E225" s="13">
        <v>1820.0</v>
      </c>
      <c r="F225" s="13">
        <v>455.0</v>
      </c>
      <c r="G225" s="15">
        <v>4505.0</v>
      </c>
      <c r="H225" s="15" t="s">
        <v>38</v>
      </c>
      <c r="I225" s="15" t="s">
        <v>43</v>
      </c>
      <c r="J225" s="15" t="s">
        <v>2749</v>
      </c>
      <c r="K225" s="15" t="s">
        <v>2751</v>
      </c>
      <c r="L225" s="15" t="s">
        <v>2744</v>
      </c>
    </row>
    <row r="226" ht="56.25" customHeight="1">
      <c r="A226" s="23" t="s">
        <v>3277</v>
      </c>
      <c r="B226" s="15" t="str">
        <f>image("https://storage.googleapis.com/acdb/bottoms/BottomsTexSkirtLongDrape2.png")</f>
        <v/>
      </c>
      <c r="C226" s="15"/>
      <c r="D226" s="25" t="s">
        <v>28</v>
      </c>
      <c r="E226" s="13">
        <v>1820.0</v>
      </c>
      <c r="F226" s="13">
        <v>455.0</v>
      </c>
      <c r="G226" s="15">
        <v>4505.0</v>
      </c>
      <c r="H226" s="15" t="s">
        <v>38</v>
      </c>
      <c r="I226" s="15" t="s">
        <v>43</v>
      </c>
      <c r="J226" s="15" t="s">
        <v>2749</v>
      </c>
      <c r="K226" s="15" t="s">
        <v>2751</v>
      </c>
      <c r="L226" s="15" t="s">
        <v>2744</v>
      </c>
    </row>
    <row r="227" ht="56.25" customHeight="1">
      <c r="A227" s="23" t="s">
        <v>3277</v>
      </c>
      <c r="B227" s="15" t="str">
        <f>image("https://storage.googleapis.com/acdb/bottoms/BottomsTexSkirtLongDrape3.png")</f>
        <v/>
      </c>
      <c r="C227" s="15"/>
      <c r="D227" s="25" t="s">
        <v>28</v>
      </c>
      <c r="E227" s="13">
        <v>1820.0</v>
      </c>
      <c r="F227" s="13">
        <v>455.0</v>
      </c>
      <c r="G227" s="15">
        <v>4505.0</v>
      </c>
      <c r="H227" s="15" t="s">
        <v>38</v>
      </c>
      <c r="I227" s="15" t="s">
        <v>43</v>
      </c>
      <c r="J227" s="15" t="s">
        <v>2749</v>
      </c>
      <c r="K227" s="15" t="s">
        <v>2751</v>
      </c>
      <c r="L227" s="15" t="s">
        <v>2744</v>
      </c>
    </row>
    <row r="228" ht="56.25" customHeight="1">
      <c r="A228" s="23" t="s">
        <v>3277</v>
      </c>
      <c r="B228" s="15" t="str">
        <f>image("https://storage.googleapis.com/acdb/bottoms/BottomsTexSkirtLongDrape4.png")</f>
        <v/>
      </c>
      <c r="C228" s="15"/>
      <c r="D228" s="25" t="s">
        <v>28</v>
      </c>
      <c r="E228" s="13">
        <v>1820.0</v>
      </c>
      <c r="F228" s="13">
        <v>455.0</v>
      </c>
      <c r="G228" s="15">
        <v>4505.0</v>
      </c>
      <c r="H228" s="15" t="s">
        <v>38</v>
      </c>
      <c r="I228" s="15" t="s">
        <v>43</v>
      </c>
      <c r="J228" s="15" t="s">
        <v>2749</v>
      </c>
      <c r="K228" s="15" t="s">
        <v>2751</v>
      </c>
      <c r="L228" s="15" t="s">
        <v>2744</v>
      </c>
    </row>
    <row r="229" ht="56.25" customHeight="1">
      <c r="A229" s="23" t="s">
        <v>3277</v>
      </c>
      <c r="B229" s="15" t="str">
        <f>image("https://storage.googleapis.com/acdb/bottoms/BottomsTexSkirtLongDrape5.png")</f>
        <v/>
      </c>
      <c r="C229" s="15"/>
      <c r="D229" s="25" t="s">
        <v>28</v>
      </c>
      <c r="E229" s="13">
        <v>1820.0</v>
      </c>
      <c r="F229" s="13">
        <v>455.0</v>
      </c>
      <c r="G229" s="15">
        <v>4505.0</v>
      </c>
      <c r="H229" s="15" t="s">
        <v>38</v>
      </c>
      <c r="I229" s="15" t="s">
        <v>43</v>
      </c>
      <c r="J229" s="15" t="s">
        <v>2749</v>
      </c>
      <c r="K229" s="15" t="s">
        <v>2751</v>
      </c>
      <c r="L229" s="15" t="s">
        <v>2744</v>
      </c>
    </row>
    <row r="230" ht="56.25" customHeight="1">
      <c r="A230" s="23" t="s">
        <v>3277</v>
      </c>
      <c r="B230" s="15" t="str">
        <f>image("https://storage.googleapis.com/acdb/bottoms/BottomsTexSkirtLongDrape6.png")</f>
        <v/>
      </c>
      <c r="C230" s="15"/>
      <c r="D230" s="25" t="s">
        <v>28</v>
      </c>
      <c r="E230" s="13">
        <v>1820.0</v>
      </c>
      <c r="F230" s="13">
        <v>455.0</v>
      </c>
      <c r="G230" s="15">
        <v>4505.0</v>
      </c>
      <c r="H230" s="15" t="s">
        <v>38</v>
      </c>
      <c r="I230" s="15" t="s">
        <v>43</v>
      </c>
      <c r="J230" s="15" t="s">
        <v>2749</v>
      </c>
      <c r="K230" s="15" t="s">
        <v>2751</v>
      </c>
      <c r="L230" s="15" t="s">
        <v>2744</v>
      </c>
    </row>
    <row r="231" ht="56.25" customHeight="1">
      <c r="A231" s="23" t="s">
        <v>3277</v>
      </c>
      <c r="B231" s="15" t="str">
        <f>image("https://storage.googleapis.com/acdb/bottoms/BottomsTexSkirtLongDrape7.png")</f>
        <v/>
      </c>
      <c r="C231" s="15"/>
      <c r="D231" s="25" t="s">
        <v>28</v>
      </c>
      <c r="E231" s="13">
        <v>1820.0</v>
      </c>
      <c r="F231" s="13">
        <v>455.0</v>
      </c>
      <c r="G231" s="15">
        <v>4505.0</v>
      </c>
      <c r="H231" s="15" t="s">
        <v>38</v>
      </c>
      <c r="I231" s="15" t="s">
        <v>43</v>
      </c>
      <c r="J231" s="15" t="s">
        <v>2749</v>
      </c>
      <c r="K231" s="15" t="s">
        <v>2751</v>
      </c>
      <c r="L231" s="15" t="s">
        <v>2744</v>
      </c>
    </row>
    <row r="232" ht="56.25" customHeight="1">
      <c r="A232" s="23" t="s">
        <v>3284</v>
      </c>
      <c r="B232" s="15" t="str">
        <f>image("https://storage.googleapis.com/acdb/bottoms/BottomsTexPantsWideYumekawa0.png")</f>
        <v/>
      </c>
      <c r="C232" s="15"/>
      <c r="D232" s="25" t="s">
        <v>28</v>
      </c>
      <c r="E232" s="13">
        <v>1440.0</v>
      </c>
      <c r="F232" s="13">
        <v>360.0</v>
      </c>
      <c r="G232" s="15">
        <v>5923.0</v>
      </c>
      <c r="H232" s="15" t="s">
        <v>38</v>
      </c>
      <c r="I232" s="15" t="s">
        <v>43</v>
      </c>
      <c r="J232" s="15" t="s">
        <v>2749</v>
      </c>
      <c r="K232" s="15" t="s">
        <v>2764</v>
      </c>
      <c r="L232" s="15" t="s">
        <v>384</v>
      </c>
    </row>
    <row r="233" ht="56.25" customHeight="1">
      <c r="A233" s="23" t="s">
        <v>3284</v>
      </c>
      <c r="B233" s="15" t="str">
        <f>image("https://storage.googleapis.com/acdb/bottoms/BottomsTexPantsWideYumekawa1.png")</f>
        <v/>
      </c>
      <c r="C233" s="15"/>
      <c r="D233" s="25" t="s">
        <v>28</v>
      </c>
      <c r="E233" s="13">
        <v>1440.0</v>
      </c>
      <c r="F233" s="13">
        <v>360.0</v>
      </c>
      <c r="G233" s="15">
        <v>5923.0</v>
      </c>
      <c r="H233" s="15" t="s">
        <v>38</v>
      </c>
      <c r="I233" s="15" t="s">
        <v>43</v>
      </c>
      <c r="J233" s="15" t="s">
        <v>2749</v>
      </c>
      <c r="K233" s="15" t="s">
        <v>2764</v>
      </c>
      <c r="L233" s="15" t="s">
        <v>384</v>
      </c>
    </row>
    <row r="234" ht="56.25" customHeight="1">
      <c r="A234" s="23" t="s">
        <v>3284</v>
      </c>
      <c r="B234" s="15" t="str">
        <f>image("https://storage.googleapis.com/acdb/bottoms/BottomsTexPantsWideYumekawa2.png")</f>
        <v/>
      </c>
      <c r="C234" s="15"/>
      <c r="D234" s="25" t="s">
        <v>28</v>
      </c>
      <c r="E234" s="13">
        <v>1440.0</v>
      </c>
      <c r="F234" s="13">
        <v>360.0</v>
      </c>
      <c r="G234" s="15">
        <v>5923.0</v>
      </c>
      <c r="H234" s="15" t="s">
        <v>38</v>
      </c>
      <c r="I234" s="15" t="s">
        <v>43</v>
      </c>
      <c r="J234" s="15" t="s">
        <v>2749</v>
      </c>
      <c r="K234" s="15" t="s">
        <v>2764</v>
      </c>
      <c r="L234" s="15" t="s">
        <v>384</v>
      </c>
    </row>
    <row r="235" ht="56.25" customHeight="1">
      <c r="A235" s="23" t="s">
        <v>3284</v>
      </c>
      <c r="B235" s="15" t="str">
        <f>image("https://storage.googleapis.com/acdb/bottoms/BottomsTexPantsWideYumekawa3.png")</f>
        <v/>
      </c>
      <c r="C235" s="15"/>
      <c r="D235" s="25" t="s">
        <v>28</v>
      </c>
      <c r="E235" s="13">
        <v>1440.0</v>
      </c>
      <c r="F235" s="13">
        <v>360.0</v>
      </c>
      <c r="G235" s="15">
        <v>5923.0</v>
      </c>
      <c r="H235" s="15" t="s">
        <v>38</v>
      </c>
      <c r="I235" s="15" t="s">
        <v>43</v>
      </c>
      <c r="J235" s="15" t="s">
        <v>2749</v>
      </c>
      <c r="K235" s="15" t="s">
        <v>2764</v>
      </c>
      <c r="L235" s="15" t="s">
        <v>384</v>
      </c>
    </row>
    <row r="236" ht="56.25" customHeight="1">
      <c r="A236" s="23" t="s">
        <v>3288</v>
      </c>
      <c r="B236" s="15" t="str">
        <f>image("https://storage.googleapis.com/acdb/bottoms/BottomsTexPantsWideSchool0.png")</f>
        <v/>
      </c>
      <c r="C236" s="15"/>
      <c r="D236" s="25" t="s">
        <v>28</v>
      </c>
      <c r="E236" s="13">
        <v>1300.0</v>
      </c>
      <c r="F236" s="13">
        <v>325.0</v>
      </c>
      <c r="G236" s="15">
        <v>3405.0</v>
      </c>
      <c r="H236" s="15" t="s">
        <v>38</v>
      </c>
      <c r="I236" s="15" t="s">
        <v>43</v>
      </c>
      <c r="J236" s="15" t="s">
        <v>2749</v>
      </c>
      <c r="K236" s="15" t="s">
        <v>2751</v>
      </c>
      <c r="L236" s="15" t="s">
        <v>2744</v>
      </c>
    </row>
    <row r="237" ht="56.25" customHeight="1">
      <c r="A237" s="23" t="s">
        <v>3288</v>
      </c>
      <c r="B237" s="15" t="str">
        <f>image("https://storage.googleapis.com/acdb/bottoms/BottomsTexPantsWideSchool1.png")</f>
        <v/>
      </c>
      <c r="C237" s="15"/>
      <c r="D237" s="25" t="s">
        <v>28</v>
      </c>
      <c r="E237" s="13">
        <v>1300.0</v>
      </c>
      <c r="F237" s="13">
        <v>325.0</v>
      </c>
      <c r="G237" s="15">
        <v>3405.0</v>
      </c>
      <c r="H237" s="15" t="s">
        <v>38</v>
      </c>
      <c r="I237" s="15" t="s">
        <v>43</v>
      </c>
      <c r="J237" s="15" t="s">
        <v>2749</v>
      </c>
      <c r="K237" s="15" t="s">
        <v>2751</v>
      </c>
      <c r="L237" s="15" t="s">
        <v>2744</v>
      </c>
    </row>
    <row r="238" ht="56.25" customHeight="1">
      <c r="A238" s="23" t="s">
        <v>3288</v>
      </c>
      <c r="B238" s="15" t="str">
        <f>image("https://storage.googleapis.com/acdb/bottoms/BottomsTexPantsWideSchool2.png")</f>
        <v/>
      </c>
      <c r="C238" s="15"/>
      <c r="D238" s="25" t="s">
        <v>28</v>
      </c>
      <c r="E238" s="13">
        <v>1300.0</v>
      </c>
      <c r="F238" s="13">
        <v>325.0</v>
      </c>
      <c r="G238" s="15">
        <v>3405.0</v>
      </c>
      <c r="H238" s="15" t="s">
        <v>38</v>
      </c>
      <c r="I238" s="15" t="s">
        <v>43</v>
      </c>
      <c r="J238" s="15" t="s">
        <v>2749</v>
      </c>
      <c r="K238" s="15" t="s">
        <v>2751</v>
      </c>
      <c r="L238" s="15" t="s">
        <v>2744</v>
      </c>
    </row>
    <row r="239" ht="56.25" customHeight="1">
      <c r="A239" s="23" t="s">
        <v>3288</v>
      </c>
      <c r="B239" s="15" t="str">
        <f>image("https://storage.googleapis.com/acdb/bottoms/BottomsTexPantsWideSchool3.png")</f>
        <v/>
      </c>
      <c r="C239" s="15"/>
      <c r="D239" s="25" t="s">
        <v>28</v>
      </c>
      <c r="E239" s="13">
        <v>1300.0</v>
      </c>
      <c r="F239" s="13">
        <v>325.0</v>
      </c>
      <c r="G239" s="15">
        <v>3405.0</v>
      </c>
      <c r="H239" s="15" t="s">
        <v>38</v>
      </c>
      <c r="I239" s="15" t="s">
        <v>43</v>
      </c>
      <c r="J239" s="15" t="s">
        <v>2749</v>
      </c>
      <c r="K239" s="15" t="s">
        <v>2751</v>
      </c>
      <c r="L239" s="15" t="s">
        <v>2744</v>
      </c>
    </row>
    <row r="240" ht="56.25" customHeight="1">
      <c r="A240" s="23" t="s">
        <v>3293</v>
      </c>
      <c r="B240" s="15" t="str">
        <f>image("https://storage.googleapis.com/acdb/bottoms/BottomsTexPantsWideThail0.png")</f>
        <v/>
      </c>
      <c r="C240" s="15"/>
      <c r="D240" s="25" t="s">
        <v>28</v>
      </c>
      <c r="E240" s="13">
        <v>1100.0</v>
      </c>
      <c r="F240" s="13">
        <v>275.0</v>
      </c>
      <c r="G240" s="15">
        <v>5735.0</v>
      </c>
      <c r="H240" s="15" t="s">
        <v>38</v>
      </c>
      <c r="I240" s="15" t="s">
        <v>43</v>
      </c>
      <c r="J240" s="15" t="s">
        <v>2749</v>
      </c>
      <c r="K240" s="15" t="s">
        <v>2764</v>
      </c>
      <c r="L240" s="15" t="s">
        <v>2744</v>
      </c>
    </row>
    <row r="241" ht="56.25" customHeight="1">
      <c r="A241" s="23" t="s">
        <v>3293</v>
      </c>
      <c r="B241" s="15" t="str">
        <f>image("https://storage.googleapis.com/acdb/bottoms/BottomsTexPantsWideThail1.png")</f>
        <v/>
      </c>
      <c r="C241" s="15"/>
      <c r="D241" s="25" t="s">
        <v>28</v>
      </c>
      <c r="E241" s="13">
        <v>1100.0</v>
      </c>
      <c r="F241" s="13">
        <v>275.0</v>
      </c>
      <c r="G241" s="15">
        <v>5735.0</v>
      </c>
      <c r="H241" s="15" t="s">
        <v>38</v>
      </c>
      <c r="I241" s="15" t="s">
        <v>43</v>
      </c>
      <c r="J241" s="15" t="s">
        <v>2749</v>
      </c>
      <c r="K241" s="15" t="s">
        <v>2764</v>
      </c>
      <c r="L241" s="15" t="s">
        <v>2744</v>
      </c>
    </row>
    <row r="242" ht="56.25" customHeight="1">
      <c r="A242" s="23" t="s">
        <v>3293</v>
      </c>
      <c r="B242" s="15" t="str">
        <f>image("https://storage.googleapis.com/acdb/bottoms/BottomsTexPantsWideThail2.png")</f>
        <v/>
      </c>
      <c r="C242" s="15"/>
      <c r="D242" s="25" t="s">
        <v>28</v>
      </c>
      <c r="E242" s="13">
        <v>1100.0</v>
      </c>
      <c r="F242" s="13">
        <v>275.0</v>
      </c>
      <c r="G242" s="15">
        <v>5735.0</v>
      </c>
      <c r="H242" s="15" t="s">
        <v>38</v>
      </c>
      <c r="I242" s="15" t="s">
        <v>43</v>
      </c>
      <c r="J242" s="15" t="s">
        <v>2749</v>
      </c>
      <c r="K242" s="15" t="s">
        <v>2764</v>
      </c>
      <c r="L242" s="15" t="s">
        <v>2744</v>
      </c>
    </row>
    <row r="243" ht="56.25" customHeight="1">
      <c r="A243" s="23" t="s">
        <v>3293</v>
      </c>
      <c r="B243" s="15" t="str">
        <f>image("https://storage.googleapis.com/acdb/bottoms/BottomsTexPantsWideThail3.png")</f>
        <v/>
      </c>
      <c r="C243" s="15"/>
      <c r="D243" s="25" t="s">
        <v>28</v>
      </c>
      <c r="E243" s="13">
        <v>1100.0</v>
      </c>
      <c r="F243" s="13">
        <v>275.0</v>
      </c>
      <c r="G243" s="15">
        <v>5735.0</v>
      </c>
      <c r="H243" s="15" t="s">
        <v>38</v>
      </c>
      <c r="I243" s="15" t="s">
        <v>43</v>
      </c>
      <c r="J243" s="15" t="s">
        <v>2749</v>
      </c>
      <c r="K243" s="15" t="s">
        <v>2764</v>
      </c>
      <c r="L243" s="15" t="s">
        <v>2744</v>
      </c>
    </row>
    <row r="244" ht="56.25" customHeight="1">
      <c r="A244" s="23" t="s">
        <v>3293</v>
      </c>
      <c r="B244" s="15" t="str">
        <f>image("https://storage.googleapis.com/acdb/bottoms/BottomsTexPantsWideThail4.png")</f>
        <v/>
      </c>
      <c r="C244" s="15"/>
      <c r="D244" s="25" t="s">
        <v>28</v>
      </c>
      <c r="E244" s="13">
        <v>1100.0</v>
      </c>
      <c r="F244" s="13">
        <v>275.0</v>
      </c>
      <c r="G244" s="15">
        <v>5735.0</v>
      </c>
      <c r="H244" s="15" t="s">
        <v>38</v>
      </c>
      <c r="I244" s="15" t="s">
        <v>43</v>
      </c>
      <c r="J244" s="15" t="s">
        <v>2749</v>
      </c>
      <c r="K244" s="15" t="s">
        <v>2764</v>
      </c>
      <c r="L244" s="15" t="s">
        <v>2744</v>
      </c>
    </row>
    <row r="245" ht="56.25" customHeight="1">
      <c r="A245" s="23" t="s">
        <v>3293</v>
      </c>
      <c r="B245" s="15" t="str">
        <f>image("https://storage.googleapis.com/acdb/bottoms/BottomsTexPantsWideThail5.png")</f>
        <v/>
      </c>
      <c r="C245" s="15"/>
      <c r="D245" s="25" t="s">
        <v>28</v>
      </c>
      <c r="E245" s="13">
        <v>1100.0</v>
      </c>
      <c r="F245" s="13">
        <v>275.0</v>
      </c>
      <c r="G245" s="15">
        <v>5735.0</v>
      </c>
      <c r="H245" s="15" t="s">
        <v>38</v>
      </c>
      <c r="I245" s="15" t="s">
        <v>43</v>
      </c>
      <c r="J245" s="15" t="s">
        <v>2749</v>
      </c>
      <c r="K245" s="15" t="s">
        <v>2764</v>
      </c>
      <c r="L245" s="15" t="s">
        <v>2744</v>
      </c>
    </row>
    <row r="246" ht="56.25" customHeight="1">
      <c r="A246" s="23" t="s">
        <v>3297</v>
      </c>
      <c r="B246" s="15" t="str">
        <f>image("https://storage.googleapis.com/acdb/bottoms/BottomsTexPantsWidePrintdenim0.png")</f>
        <v/>
      </c>
      <c r="C246" s="15"/>
      <c r="D246" s="25" t="s">
        <v>28</v>
      </c>
      <c r="E246" s="13">
        <v>1300.0</v>
      </c>
      <c r="F246" s="13">
        <v>325.0</v>
      </c>
      <c r="G246" s="15">
        <v>5459.0</v>
      </c>
      <c r="H246" s="15" t="s">
        <v>38</v>
      </c>
      <c r="I246" s="15" t="s">
        <v>43</v>
      </c>
      <c r="J246" s="15" t="s">
        <v>2749</v>
      </c>
      <c r="K246" s="15" t="s">
        <v>2764</v>
      </c>
      <c r="L246" s="15" t="s">
        <v>2756</v>
      </c>
    </row>
    <row r="247" ht="56.25" customHeight="1">
      <c r="A247" s="23" t="s">
        <v>3297</v>
      </c>
      <c r="B247" s="15" t="str">
        <f>image("https://storage.googleapis.com/acdb/bottoms/BottomsTexPantsWidePrintdenim1.png")</f>
        <v/>
      </c>
      <c r="C247" s="15"/>
      <c r="D247" s="25" t="s">
        <v>28</v>
      </c>
      <c r="E247" s="13">
        <v>1300.0</v>
      </c>
      <c r="F247" s="13">
        <v>325.0</v>
      </c>
      <c r="G247" s="15">
        <v>5459.0</v>
      </c>
      <c r="H247" s="15" t="s">
        <v>38</v>
      </c>
      <c r="I247" s="15" t="s">
        <v>43</v>
      </c>
      <c r="J247" s="15" t="s">
        <v>2749</v>
      </c>
      <c r="K247" s="15" t="s">
        <v>2764</v>
      </c>
      <c r="L247" s="15" t="s">
        <v>2756</v>
      </c>
    </row>
    <row r="248" ht="56.25" customHeight="1">
      <c r="A248" s="23" t="s">
        <v>3297</v>
      </c>
      <c r="B248" s="15" t="str">
        <f>image("https://storage.googleapis.com/acdb/bottoms/BottomsTexPantsWidePrintdenim2.png")</f>
        <v/>
      </c>
      <c r="C248" s="15"/>
      <c r="D248" s="25" t="s">
        <v>28</v>
      </c>
      <c r="E248" s="13">
        <v>1300.0</v>
      </c>
      <c r="F248" s="13">
        <v>325.0</v>
      </c>
      <c r="G248" s="15">
        <v>5459.0</v>
      </c>
      <c r="H248" s="15" t="s">
        <v>38</v>
      </c>
      <c r="I248" s="15" t="s">
        <v>43</v>
      </c>
      <c r="J248" s="15" t="s">
        <v>2749</v>
      </c>
      <c r="K248" s="15" t="s">
        <v>2764</v>
      </c>
      <c r="L248" s="15" t="s">
        <v>2756</v>
      </c>
    </row>
    <row r="249" ht="56.25" customHeight="1">
      <c r="A249" s="23" t="s">
        <v>3300</v>
      </c>
      <c r="B249" s="15" t="str">
        <f>image("https://storage.googleapis.com/acdb/bottoms/BottomsTexSkirtLongEmbroidery0.png")</f>
        <v/>
      </c>
      <c r="C249" s="15"/>
      <c r="D249" s="25" t="s">
        <v>28</v>
      </c>
      <c r="E249" s="13">
        <v>1320.0</v>
      </c>
      <c r="F249" s="13">
        <v>330.0</v>
      </c>
      <c r="G249" s="15">
        <v>4547.0</v>
      </c>
      <c r="H249" s="15" t="s">
        <v>38</v>
      </c>
      <c r="I249" s="15" t="s">
        <v>43</v>
      </c>
      <c r="J249" s="15" t="s">
        <v>2749</v>
      </c>
      <c r="K249" s="15" t="s">
        <v>2764</v>
      </c>
      <c r="L249" s="15" t="s">
        <v>2863</v>
      </c>
    </row>
    <row r="250" ht="56.25" customHeight="1">
      <c r="A250" s="23" t="s">
        <v>3300</v>
      </c>
      <c r="B250" s="15" t="str">
        <f>image("https://storage.googleapis.com/acdb/bottoms/BottomsTexSkirtLongEmbroidery1.png")</f>
        <v/>
      </c>
      <c r="C250" s="15"/>
      <c r="D250" s="25" t="s">
        <v>28</v>
      </c>
      <c r="E250" s="13">
        <v>1320.0</v>
      </c>
      <c r="F250" s="13">
        <v>330.0</v>
      </c>
      <c r="G250" s="15">
        <v>4547.0</v>
      </c>
      <c r="H250" s="15" t="s">
        <v>38</v>
      </c>
      <c r="I250" s="15" t="s">
        <v>43</v>
      </c>
      <c r="J250" s="15" t="s">
        <v>2749</v>
      </c>
      <c r="K250" s="15" t="s">
        <v>2764</v>
      </c>
      <c r="L250" s="15" t="s">
        <v>2863</v>
      </c>
    </row>
    <row r="251" ht="56.25" customHeight="1">
      <c r="A251" s="23" t="s">
        <v>3300</v>
      </c>
      <c r="B251" s="15" t="str">
        <f>image("https://storage.googleapis.com/acdb/bottoms/BottomsTexSkirtLongEmbroidery2.png")</f>
        <v/>
      </c>
      <c r="C251" s="15"/>
      <c r="D251" s="25" t="s">
        <v>28</v>
      </c>
      <c r="E251" s="13">
        <v>1320.0</v>
      </c>
      <c r="F251" s="13">
        <v>330.0</v>
      </c>
      <c r="G251" s="15">
        <v>4547.0</v>
      </c>
      <c r="H251" s="15" t="s">
        <v>38</v>
      </c>
      <c r="I251" s="15" t="s">
        <v>43</v>
      </c>
      <c r="J251" s="15" t="s">
        <v>2749</v>
      </c>
      <c r="K251" s="15" t="s">
        <v>2764</v>
      </c>
      <c r="L251" s="15" t="s">
        <v>2863</v>
      </c>
    </row>
    <row r="252" ht="56.25" customHeight="1">
      <c r="A252" s="23" t="s">
        <v>3303</v>
      </c>
      <c r="B252" s="15" t="str">
        <f>image("https://storage.googleapis.com/acdb/bottoms/BottomsTexSkirtLongGeometric0.png")</f>
        <v/>
      </c>
      <c r="C252" s="15"/>
      <c r="D252" s="25" t="s">
        <v>28</v>
      </c>
      <c r="E252" s="13">
        <v>1100.0</v>
      </c>
      <c r="F252" s="13">
        <v>275.0</v>
      </c>
      <c r="G252" s="15">
        <v>4548.0</v>
      </c>
      <c r="H252" s="15" t="s">
        <v>38</v>
      </c>
      <c r="I252" s="15" t="s">
        <v>43</v>
      </c>
      <c r="J252" s="15" t="s">
        <v>2749</v>
      </c>
      <c r="K252" s="15" t="s">
        <v>2764</v>
      </c>
      <c r="L252" s="15" t="s">
        <v>2744</v>
      </c>
    </row>
    <row r="253" ht="56.25" customHeight="1">
      <c r="A253" s="23" t="s">
        <v>3303</v>
      </c>
      <c r="B253" s="15" t="str">
        <f>image("https://storage.googleapis.com/acdb/bottoms/BottomsTexSkirtLongGeometric1.png")</f>
        <v/>
      </c>
      <c r="C253" s="15"/>
      <c r="D253" s="25" t="s">
        <v>28</v>
      </c>
      <c r="E253" s="13">
        <v>1100.0</v>
      </c>
      <c r="F253" s="13">
        <v>275.0</v>
      </c>
      <c r="G253" s="15">
        <v>4548.0</v>
      </c>
      <c r="H253" s="15" t="s">
        <v>38</v>
      </c>
      <c r="I253" s="15" t="s">
        <v>43</v>
      </c>
      <c r="J253" s="15" t="s">
        <v>2749</v>
      </c>
      <c r="K253" s="15" t="s">
        <v>2764</v>
      </c>
      <c r="L253" s="15" t="s">
        <v>2744</v>
      </c>
    </row>
    <row r="254" ht="56.25" customHeight="1">
      <c r="A254" s="23" t="s">
        <v>3303</v>
      </c>
      <c r="B254" s="15" t="str">
        <f>image("https://storage.googleapis.com/acdb/bottoms/BottomsTexSkirtLongGeometric2.png")</f>
        <v/>
      </c>
      <c r="C254" s="15"/>
      <c r="D254" s="25" t="s">
        <v>28</v>
      </c>
      <c r="E254" s="13">
        <v>1100.0</v>
      </c>
      <c r="F254" s="13">
        <v>275.0</v>
      </c>
      <c r="G254" s="15">
        <v>4548.0</v>
      </c>
      <c r="H254" s="15" t="s">
        <v>38</v>
      </c>
      <c r="I254" s="15" t="s">
        <v>43</v>
      </c>
      <c r="J254" s="15" t="s">
        <v>2749</v>
      </c>
      <c r="K254" s="15" t="s">
        <v>2764</v>
      </c>
      <c r="L254" s="15" t="s">
        <v>2744</v>
      </c>
    </row>
    <row r="255" ht="56.25" customHeight="1">
      <c r="A255" s="23" t="s">
        <v>3306</v>
      </c>
      <c r="B255" s="15" t="str">
        <f>image("https://storage.googleapis.com/acdb/bottoms/BottomsTexPantsHalfExplorer0.png")</f>
        <v/>
      </c>
      <c r="C255" s="15"/>
      <c r="D255" s="25" t="s">
        <v>28</v>
      </c>
      <c r="E255" s="13">
        <v>1040.0</v>
      </c>
      <c r="F255" s="13">
        <v>260.0</v>
      </c>
      <c r="G255" s="15">
        <v>9841.0</v>
      </c>
      <c r="H255" s="15" t="s">
        <v>38</v>
      </c>
      <c r="I255" s="15" t="s">
        <v>43</v>
      </c>
      <c r="J255" s="15" t="s">
        <v>2749</v>
      </c>
      <c r="K255" s="15" t="s">
        <v>2764</v>
      </c>
      <c r="L255" s="15" t="s">
        <v>2793</v>
      </c>
    </row>
    <row r="256" ht="56.25" customHeight="1">
      <c r="A256" s="23" t="s">
        <v>3306</v>
      </c>
      <c r="B256" s="15" t="str">
        <f>image("https://storage.googleapis.com/acdb/bottoms/BottomsTexPantsHalfExplorer1.png")</f>
        <v/>
      </c>
      <c r="C256" s="15"/>
      <c r="D256" s="25" t="s">
        <v>28</v>
      </c>
      <c r="E256" s="13">
        <v>1040.0</v>
      </c>
      <c r="F256" s="13">
        <v>260.0</v>
      </c>
      <c r="G256" s="15">
        <v>9841.0</v>
      </c>
      <c r="H256" s="15" t="s">
        <v>38</v>
      </c>
      <c r="I256" s="15" t="s">
        <v>43</v>
      </c>
      <c r="J256" s="15" t="s">
        <v>2749</v>
      </c>
      <c r="K256" s="15" t="s">
        <v>2764</v>
      </c>
      <c r="L256" s="15" t="s">
        <v>2793</v>
      </c>
    </row>
    <row r="257" ht="56.25" customHeight="1">
      <c r="A257" s="23" t="s">
        <v>3306</v>
      </c>
      <c r="B257" s="15" t="str">
        <f>image("https://storage.googleapis.com/acdb/bottoms/BottomsTexPantsHalfExplorer2.png")</f>
        <v/>
      </c>
      <c r="C257" s="15"/>
      <c r="D257" s="25" t="s">
        <v>28</v>
      </c>
      <c r="E257" s="13">
        <v>1040.0</v>
      </c>
      <c r="F257" s="13">
        <v>260.0</v>
      </c>
      <c r="G257" s="15">
        <v>9841.0</v>
      </c>
      <c r="H257" s="15" t="s">
        <v>38</v>
      </c>
      <c r="I257" s="15" t="s">
        <v>43</v>
      </c>
      <c r="J257" s="15" t="s">
        <v>2749</v>
      </c>
      <c r="K257" s="15" t="s">
        <v>2764</v>
      </c>
      <c r="L257" s="15" t="s">
        <v>2793</v>
      </c>
    </row>
    <row r="258" ht="56.25" customHeight="1">
      <c r="A258" s="23" t="s">
        <v>3306</v>
      </c>
      <c r="B258" s="15" t="str">
        <f>image("https://storage.googleapis.com/acdb/bottoms/BottomsTexPantsHalfExplorer3.png")</f>
        <v/>
      </c>
      <c r="C258" s="15"/>
      <c r="D258" s="25" t="s">
        <v>28</v>
      </c>
      <c r="E258" s="13">
        <v>1040.0</v>
      </c>
      <c r="F258" s="13">
        <v>260.0</v>
      </c>
      <c r="G258" s="15">
        <v>9841.0</v>
      </c>
      <c r="H258" s="15" t="s">
        <v>38</v>
      </c>
      <c r="I258" s="15" t="s">
        <v>43</v>
      </c>
      <c r="J258" s="15" t="s">
        <v>2749</v>
      </c>
      <c r="K258" s="15" t="s">
        <v>2764</v>
      </c>
      <c r="L258" s="15" t="s">
        <v>2793</v>
      </c>
    </row>
    <row r="259" ht="56.25" customHeight="1">
      <c r="A259" s="23" t="s">
        <v>3310</v>
      </c>
      <c r="B259" s="15" t="str">
        <f>image("https://storage.googleapis.com/acdb/bottoms/BottomsTexSkirtAlineFur0.png")</f>
        <v/>
      </c>
      <c r="C259" s="15"/>
      <c r="D259" s="25" t="s">
        <v>28</v>
      </c>
      <c r="E259" s="13">
        <v>1440.0</v>
      </c>
      <c r="F259" s="13">
        <v>360.0</v>
      </c>
      <c r="G259" s="15">
        <v>5415.0</v>
      </c>
      <c r="H259" s="15" t="s">
        <v>38</v>
      </c>
      <c r="I259" s="15" t="s">
        <v>43</v>
      </c>
      <c r="J259" s="15" t="s">
        <v>2749</v>
      </c>
      <c r="K259" s="15" t="s">
        <v>2751</v>
      </c>
      <c r="L259" s="15" t="s">
        <v>384</v>
      </c>
    </row>
    <row r="260" ht="56.25" customHeight="1">
      <c r="A260" s="23" t="s">
        <v>3310</v>
      </c>
      <c r="B260" s="15" t="str">
        <f>image("https://storage.googleapis.com/acdb/bottoms/BottomsTexSkirtAlineFur1.png")</f>
        <v/>
      </c>
      <c r="C260" s="15"/>
      <c r="D260" s="25" t="s">
        <v>28</v>
      </c>
      <c r="E260" s="13">
        <v>1440.0</v>
      </c>
      <c r="F260" s="13">
        <v>360.0</v>
      </c>
      <c r="G260" s="15">
        <v>5415.0</v>
      </c>
      <c r="H260" s="15" t="s">
        <v>38</v>
      </c>
      <c r="I260" s="15" t="s">
        <v>43</v>
      </c>
      <c r="J260" s="15" t="s">
        <v>2749</v>
      </c>
      <c r="K260" s="15" t="s">
        <v>2751</v>
      </c>
      <c r="L260" s="15" t="s">
        <v>384</v>
      </c>
    </row>
    <row r="261" ht="56.25" customHeight="1">
      <c r="A261" s="23" t="s">
        <v>3310</v>
      </c>
      <c r="B261" s="15" t="str">
        <f>image("https://storage.googleapis.com/acdb/bottoms/BottomsTexSkirtAlineFur2.png")</f>
        <v/>
      </c>
      <c r="C261" s="15"/>
      <c r="D261" s="25" t="s">
        <v>28</v>
      </c>
      <c r="E261" s="13">
        <v>1440.0</v>
      </c>
      <c r="F261" s="13">
        <v>360.0</v>
      </c>
      <c r="G261" s="15">
        <v>5415.0</v>
      </c>
      <c r="H261" s="15" t="s">
        <v>38</v>
      </c>
      <c r="I261" s="15" t="s">
        <v>43</v>
      </c>
      <c r="J261" s="15" t="s">
        <v>2749</v>
      </c>
      <c r="K261" s="15" t="s">
        <v>2751</v>
      </c>
      <c r="L261" s="15" t="s">
        <v>384</v>
      </c>
    </row>
    <row r="262" ht="56.25" customHeight="1">
      <c r="A262" s="23" t="s">
        <v>3310</v>
      </c>
      <c r="B262" s="15" t="str">
        <f>image("https://storage.googleapis.com/acdb/bottoms/BottomsTexSkirtAlineFur3.png")</f>
        <v/>
      </c>
      <c r="C262" s="15"/>
      <c r="D262" s="25" t="s">
        <v>28</v>
      </c>
      <c r="E262" s="13">
        <v>1440.0</v>
      </c>
      <c r="F262" s="13">
        <v>360.0</v>
      </c>
      <c r="G262" s="15">
        <v>5415.0</v>
      </c>
      <c r="H262" s="15" t="s">
        <v>38</v>
      </c>
      <c r="I262" s="15" t="s">
        <v>43</v>
      </c>
      <c r="J262" s="15" t="s">
        <v>2749</v>
      </c>
      <c r="K262" s="15" t="s">
        <v>2751</v>
      </c>
      <c r="L262" s="15" t="s">
        <v>384</v>
      </c>
    </row>
    <row r="263" ht="56.25" customHeight="1">
      <c r="A263" s="23" t="s">
        <v>3310</v>
      </c>
      <c r="B263" s="15" t="str">
        <f>image("https://storage.googleapis.com/acdb/bottoms/BottomsTexSkirtAlineFur4.png")</f>
        <v/>
      </c>
      <c r="C263" s="15"/>
      <c r="D263" s="25" t="s">
        <v>28</v>
      </c>
      <c r="E263" s="13">
        <v>1440.0</v>
      </c>
      <c r="F263" s="13">
        <v>360.0</v>
      </c>
      <c r="G263" s="15">
        <v>5415.0</v>
      </c>
      <c r="H263" s="15" t="s">
        <v>38</v>
      </c>
      <c r="I263" s="15" t="s">
        <v>43</v>
      </c>
      <c r="J263" s="15" t="s">
        <v>2749</v>
      </c>
      <c r="K263" s="15" t="s">
        <v>2751</v>
      </c>
      <c r="L263" s="15" t="s">
        <v>384</v>
      </c>
    </row>
    <row r="264" ht="56.25" customHeight="1">
      <c r="A264" s="23" t="s">
        <v>3315</v>
      </c>
      <c r="B264" s="15" t="str">
        <f>image("https://storage.googleapis.com/acdb/bottoms/BottomsTexSkirtBoxMouton0.png")</f>
        <v/>
      </c>
      <c r="C264" s="15"/>
      <c r="D264" s="25" t="s">
        <v>28</v>
      </c>
      <c r="E264" s="13">
        <v>1560.0</v>
      </c>
      <c r="F264" s="13">
        <v>390.0</v>
      </c>
      <c r="G264" s="15">
        <v>5704.0</v>
      </c>
      <c r="H264" s="15" t="s">
        <v>38</v>
      </c>
      <c r="I264" s="15" t="s">
        <v>43</v>
      </c>
      <c r="J264" s="15" t="s">
        <v>2749</v>
      </c>
      <c r="K264" s="15" t="s">
        <v>2764</v>
      </c>
      <c r="L264" s="15" t="s">
        <v>2744</v>
      </c>
    </row>
    <row r="265" ht="56.25" customHeight="1">
      <c r="A265" s="23" t="s">
        <v>3315</v>
      </c>
      <c r="B265" s="15" t="str">
        <f>image("https://storage.googleapis.com/acdb/bottoms/BottomsTexSkirtBoxMouton1.png")</f>
        <v/>
      </c>
      <c r="C265" s="15"/>
      <c r="D265" s="25" t="s">
        <v>28</v>
      </c>
      <c r="E265" s="13">
        <v>1560.0</v>
      </c>
      <c r="F265" s="13">
        <v>390.0</v>
      </c>
      <c r="G265" s="15">
        <v>5704.0</v>
      </c>
      <c r="H265" s="15" t="s">
        <v>38</v>
      </c>
      <c r="I265" s="15" t="s">
        <v>43</v>
      </c>
      <c r="J265" s="15" t="s">
        <v>2749</v>
      </c>
      <c r="K265" s="15" t="s">
        <v>2764</v>
      </c>
      <c r="L265" s="15" t="s">
        <v>2744</v>
      </c>
    </row>
    <row r="266" ht="56.25" customHeight="1">
      <c r="A266" s="23" t="s">
        <v>3315</v>
      </c>
      <c r="B266" s="15" t="str">
        <f>image("https://storage.googleapis.com/acdb/bottoms/BottomsTexSkirtBoxMouton2.png")</f>
        <v/>
      </c>
      <c r="C266" s="15"/>
      <c r="D266" s="25" t="s">
        <v>28</v>
      </c>
      <c r="E266" s="13">
        <v>1560.0</v>
      </c>
      <c r="F266" s="13">
        <v>390.0</v>
      </c>
      <c r="G266" s="15">
        <v>5704.0</v>
      </c>
      <c r="H266" s="15" t="s">
        <v>38</v>
      </c>
      <c r="I266" s="15" t="s">
        <v>43</v>
      </c>
      <c r="J266" s="15" t="s">
        <v>2749</v>
      </c>
      <c r="K266" s="15" t="s">
        <v>2764</v>
      </c>
      <c r="L266" s="15" t="s">
        <v>2744</v>
      </c>
    </row>
    <row r="267" ht="56.25" customHeight="1">
      <c r="A267" s="23" t="s">
        <v>3315</v>
      </c>
      <c r="B267" s="15" t="str">
        <f>image("https://storage.googleapis.com/acdb/bottoms/BottomsTexSkirtBoxMouton3.png")</f>
        <v/>
      </c>
      <c r="C267" s="15"/>
      <c r="D267" s="25" t="s">
        <v>28</v>
      </c>
      <c r="E267" s="13">
        <v>1560.0</v>
      </c>
      <c r="F267" s="13">
        <v>390.0</v>
      </c>
      <c r="G267" s="15">
        <v>5704.0</v>
      </c>
      <c r="H267" s="15" t="s">
        <v>38</v>
      </c>
      <c r="I267" s="15" t="s">
        <v>43</v>
      </c>
      <c r="J267" s="15" t="s">
        <v>2749</v>
      </c>
      <c r="K267" s="15" t="s">
        <v>2764</v>
      </c>
      <c r="L267" s="15" t="s">
        <v>2744</v>
      </c>
    </row>
    <row r="268" ht="56.25" customHeight="1">
      <c r="A268" s="23" t="s">
        <v>3315</v>
      </c>
      <c r="B268" s="15" t="str">
        <f>image("https://storage.googleapis.com/acdb/bottoms/BottomsTexSkirtBoxMouton4.png")</f>
        <v/>
      </c>
      <c r="C268" s="15"/>
      <c r="D268" s="25" t="s">
        <v>28</v>
      </c>
      <c r="E268" s="13">
        <v>1560.0</v>
      </c>
      <c r="F268" s="13">
        <v>390.0</v>
      </c>
      <c r="G268" s="15">
        <v>5704.0</v>
      </c>
      <c r="H268" s="15" t="s">
        <v>38</v>
      </c>
      <c r="I268" s="15" t="s">
        <v>43</v>
      </c>
      <c r="J268" s="15" t="s">
        <v>2749</v>
      </c>
      <c r="K268" s="15" t="s">
        <v>2764</v>
      </c>
      <c r="L268" s="15" t="s">
        <v>2744</v>
      </c>
    </row>
    <row r="269" ht="56.25" customHeight="1">
      <c r="A269" s="23" t="s">
        <v>3318</v>
      </c>
      <c r="B269" s="15" t="str">
        <f>image("https://storage.googleapis.com/acdb/bottoms/BottomsTexSkirtAlineFlare0.png")</f>
        <v/>
      </c>
      <c r="C269" s="15"/>
      <c r="D269" s="25" t="s">
        <v>28</v>
      </c>
      <c r="E269" s="13">
        <v>1140.0</v>
      </c>
      <c r="F269" s="13">
        <v>285.0</v>
      </c>
      <c r="G269" s="15">
        <v>4614.0</v>
      </c>
      <c r="H269" s="15" t="s">
        <v>38</v>
      </c>
      <c r="I269" s="15" t="s">
        <v>43</v>
      </c>
      <c r="J269" s="15" t="s">
        <v>2749</v>
      </c>
      <c r="K269" s="15" t="s">
        <v>2764</v>
      </c>
      <c r="L269" s="15" t="s">
        <v>2744</v>
      </c>
    </row>
    <row r="270" ht="56.25" customHeight="1">
      <c r="A270" s="23" t="s">
        <v>3318</v>
      </c>
      <c r="B270" s="15" t="str">
        <f>image("https://storage.googleapis.com/acdb/bottoms/BottomsTexSkirtAlineFlare1.png")</f>
        <v/>
      </c>
      <c r="C270" s="15"/>
      <c r="D270" s="25" t="s">
        <v>28</v>
      </c>
      <c r="E270" s="13">
        <v>1140.0</v>
      </c>
      <c r="F270" s="13">
        <v>285.0</v>
      </c>
      <c r="G270" s="15">
        <v>4614.0</v>
      </c>
      <c r="H270" s="15" t="s">
        <v>38</v>
      </c>
      <c r="I270" s="15" t="s">
        <v>43</v>
      </c>
      <c r="J270" s="15" t="s">
        <v>2749</v>
      </c>
      <c r="K270" s="15" t="s">
        <v>2764</v>
      </c>
      <c r="L270" s="15" t="s">
        <v>2744</v>
      </c>
    </row>
    <row r="271" ht="56.25" customHeight="1">
      <c r="A271" s="23" t="s">
        <v>3318</v>
      </c>
      <c r="B271" s="15" t="str">
        <f>image("https://storage.googleapis.com/acdb/bottoms/BottomsTexSkirtAlineFlare2.png")</f>
        <v/>
      </c>
      <c r="C271" s="15"/>
      <c r="D271" s="25" t="s">
        <v>28</v>
      </c>
      <c r="E271" s="13">
        <v>1140.0</v>
      </c>
      <c r="F271" s="13">
        <v>285.0</v>
      </c>
      <c r="G271" s="15">
        <v>4614.0</v>
      </c>
      <c r="H271" s="15" t="s">
        <v>38</v>
      </c>
      <c r="I271" s="15" t="s">
        <v>43</v>
      </c>
      <c r="J271" s="15" t="s">
        <v>2749</v>
      </c>
      <c r="K271" s="15" t="s">
        <v>2764</v>
      </c>
      <c r="L271" s="15" t="s">
        <v>2744</v>
      </c>
    </row>
    <row r="272" ht="56.25" customHeight="1">
      <c r="A272" s="23" t="s">
        <v>3318</v>
      </c>
      <c r="B272" s="15" t="str">
        <f>image("https://storage.googleapis.com/acdb/bottoms/BottomsTexSkirtAlineFlare3.png")</f>
        <v/>
      </c>
      <c r="C272" s="15"/>
      <c r="D272" s="25" t="s">
        <v>28</v>
      </c>
      <c r="E272" s="13">
        <v>1140.0</v>
      </c>
      <c r="F272" s="13">
        <v>285.0</v>
      </c>
      <c r="G272" s="15">
        <v>4614.0</v>
      </c>
      <c r="H272" s="15" t="s">
        <v>38</v>
      </c>
      <c r="I272" s="15" t="s">
        <v>43</v>
      </c>
      <c r="J272" s="15" t="s">
        <v>2749</v>
      </c>
      <c r="K272" s="15" t="s">
        <v>2764</v>
      </c>
      <c r="L272" s="15" t="s">
        <v>2744</v>
      </c>
    </row>
    <row r="273" ht="56.25" customHeight="1">
      <c r="A273" s="23" t="s">
        <v>3318</v>
      </c>
      <c r="B273" s="15" t="str">
        <f>image("https://storage.googleapis.com/acdb/bottoms/BottomsTexSkirtAlineFlare4.png")</f>
        <v/>
      </c>
      <c r="C273" s="15"/>
      <c r="D273" s="25" t="s">
        <v>28</v>
      </c>
      <c r="E273" s="13">
        <v>1140.0</v>
      </c>
      <c r="F273" s="13">
        <v>285.0</v>
      </c>
      <c r="G273" s="15">
        <v>4614.0</v>
      </c>
      <c r="H273" s="15" t="s">
        <v>38</v>
      </c>
      <c r="I273" s="15" t="s">
        <v>43</v>
      </c>
      <c r="J273" s="15" t="s">
        <v>2749</v>
      </c>
      <c r="K273" s="15" t="s">
        <v>2764</v>
      </c>
      <c r="L273" s="15" t="s">
        <v>2744</v>
      </c>
    </row>
    <row r="274" ht="56.25" customHeight="1">
      <c r="A274" s="23" t="s">
        <v>3323</v>
      </c>
      <c r="B274" s="15" t="str">
        <f>image("https://storage.googleapis.com/acdb/bottoms/BottomsTexPantsNormalSlacksgaudy0.png")</f>
        <v/>
      </c>
      <c r="C274" s="15"/>
      <c r="D274" s="25" t="s">
        <v>28</v>
      </c>
      <c r="E274" s="13">
        <v>1300.0</v>
      </c>
      <c r="F274" s="13">
        <v>325.0</v>
      </c>
      <c r="G274" s="15">
        <v>3408.0</v>
      </c>
      <c r="H274" s="15" t="s">
        <v>38</v>
      </c>
      <c r="I274" s="15" t="s">
        <v>43</v>
      </c>
      <c r="J274" s="15" t="s">
        <v>2749</v>
      </c>
      <c r="K274" s="15" t="s">
        <v>2751</v>
      </c>
      <c r="L274" s="15" t="s">
        <v>852</v>
      </c>
    </row>
    <row r="275" ht="56.25" customHeight="1">
      <c r="A275" s="23" t="s">
        <v>3323</v>
      </c>
      <c r="B275" s="15" t="str">
        <f>image("https://storage.googleapis.com/acdb/bottoms/BottomsTexPantsNormalSlacksgaudy1.png")</f>
        <v/>
      </c>
      <c r="C275" s="15"/>
      <c r="D275" s="25" t="s">
        <v>28</v>
      </c>
      <c r="E275" s="13">
        <v>1300.0</v>
      </c>
      <c r="F275" s="13">
        <v>325.0</v>
      </c>
      <c r="G275" s="15">
        <v>3408.0</v>
      </c>
      <c r="H275" s="15" t="s">
        <v>38</v>
      </c>
      <c r="I275" s="15" t="s">
        <v>43</v>
      </c>
      <c r="J275" s="15" t="s">
        <v>2749</v>
      </c>
      <c r="K275" s="15" t="s">
        <v>2751</v>
      </c>
      <c r="L275" s="15" t="s">
        <v>852</v>
      </c>
    </row>
    <row r="276" ht="56.25" customHeight="1">
      <c r="A276" s="23" t="s">
        <v>3323</v>
      </c>
      <c r="B276" s="15" t="str">
        <f>image("https://storage.googleapis.com/acdb/bottoms/BottomsTexPantsNormalSlacksgaudy2.png")</f>
        <v/>
      </c>
      <c r="C276" s="15"/>
      <c r="D276" s="25" t="s">
        <v>28</v>
      </c>
      <c r="E276" s="13">
        <v>1300.0</v>
      </c>
      <c r="F276" s="13">
        <v>325.0</v>
      </c>
      <c r="G276" s="15">
        <v>3408.0</v>
      </c>
      <c r="H276" s="15" t="s">
        <v>38</v>
      </c>
      <c r="I276" s="15" t="s">
        <v>43</v>
      </c>
      <c r="J276" s="15" t="s">
        <v>2749</v>
      </c>
      <c r="K276" s="15" t="s">
        <v>2751</v>
      </c>
      <c r="L276" s="15" t="s">
        <v>852</v>
      </c>
    </row>
    <row r="277" ht="56.25" customHeight="1">
      <c r="A277" s="23" t="s">
        <v>3323</v>
      </c>
      <c r="B277" s="15" t="str">
        <f>image("https://storage.googleapis.com/acdb/bottoms/BottomsTexPantsNormalSlacksgaudy3.png")</f>
        <v/>
      </c>
      <c r="C277" s="15"/>
      <c r="D277" s="25" t="s">
        <v>28</v>
      </c>
      <c r="E277" s="13">
        <v>1300.0</v>
      </c>
      <c r="F277" s="13">
        <v>325.0</v>
      </c>
      <c r="G277" s="15">
        <v>3408.0</v>
      </c>
      <c r="H277" s="15" t="s">
        <v>38</v>
      </c>
      <c r="I277" s="15" t="s">
        <v>43</v>
      </c>
      <c r="J277" s="15" t="s">
        <v>2749</v>
      </c>
      <c r="K277" s="15" t="s">
        <v>2751</v>
      </c>
      <c r="L277" s="15" t="s">
        <v>852</v>
      </c>
    </row>
    <row r="278" ht="56.25" customHeight="1">
      <c r="A278" s="23" t="s">
        <v>3323</v>
      </c>
      <c r="B278" s="15" t="str">
        <f>image("https://storage.googleapis.com/acdb/bottoms/BottomsTexPantsNormalSlacksgaudy4.png")</f>
        <v/>
      </c>
      <c r="C278" s="15"/>
      <c r="D278" s="25" t="s">
        <v>28</v>
      </c>
      <c r="E278" s="13">
        <v>1300.0</v>
      </c>
      <c r="F278" s="13">
        <v>325.0</v>
      </c>
      <c r="G278" s="15">
        <v>3408.0</v>
      </c>
      <c r="H278" s="15" t="s">
        <v>38</v>
      </c>
      <c r="I278" s="15" t="s">
        <v>43</v>
      </c>
      <c r="J278" s="15" t="s">
        <v>2749</v>
      </c>
      <c r="K278" s="15" t="s">
        <v>2751</v>
      </c>
      <c r="L278" s="15" t="s">
        <v>852</v>
      </c>
    </row>
    <row r="279" ht="56.25" customHeight="1">
      <c r="A279" s="23" t="s">
        <v>3323</v>
      </c>
      <c r="B279" s="15" t="str">
        <f>image("https://storage.googleapis.com/acdb/bottoms/BottomsTexPantsNormalSlacksgaudy5.png")</f>
        <v/>
      </c>
      <c r="C279" s="15"/>
      <c r="D279" s="25" t="s">
        <v>28</v>
      </c>
      <c r="E279" s="13">
        <v>1300.0</v>
      </c>
      <c r="F279" s="13">
        <v>325.0</v>
      </c>
      <c r="G279" s="15">
        <v>3408.0</v>
      </c>
      <c r="H279" s="15" t="s">
        <v>38</v>
      </c>
      <c r="I279" s="15" t="s">
        <v>43</v>
      </c>
      <c r="J279" s="15" t="s">
        <v>2749</v>
      </c>
      <c r="K279" s="15" t="s">
        <v>2751</v>
      </c>
      <c r="L279" s="15" t="s">
        <v>852</v>
      </c>
    </row>
    <row r="280" ht="56.25" customHeight="1">
      <c r="A280" s="23" t="s">
        <v>3329</v>
      </c>
      <c r="B280" s="15" t="str">
        <f>image("https://storage.googleapis.com/acdb/bottoms/BottomsTexSkirtBoxLace0.png")</f>
        <v/>
      </c>
      <c r="C280" s="15"/>
      <c r="D280" s="25" t="s">
        <v>28</v>
      </c>
      <c r="E280" s="13">
        <v>1320.0</v>
      </c>
      <c r="F280" s="13">
        <v>330.0</v>
      </c>
      <c r="G280" s="15">
        <v>4612.0</v>
      </c>
      <c r="H280" s="15" t="s">
        <v>38</v>
      </c>
      <c r="I280" s="15" t="s">
        <v>43</v>
      </c>
      <c r="J280" s="15" t="s">
        <v>2749</v>
      </c>
      <c r="K280" s="15" t="s">
        <v>2764</v>
      </c>
      <c r="L280" s="15" t="s">
        <v>2863</v>
      </c>
    </row>
    <row r="281" ht="56.25" customHeight="1">
      <c r="A281" s="23" t="s">
        <v>3329</v>
      </c>
      <c r="B281" s="15" t="str">
        <f>image("https://storage.googleapis.com/acdb/bottoms/BottomsTexSkirtBoxLace1.png")</f>
        <v/>
      </c>
      <c r="C281" s="15"/>
      <c r="D281" s="25" t="s">
        <v>28</v>
      </c>
      <c r="E281" s="13">
        <v>1320.0</v>
      </c>
      <c r="F281" s="13">
        <v>330.0</v>
      </c>
      <c r="G281" s="15">
        <v>4612.0</v>
      </c>
      <c r="H281" s="15" t="s">
        <v>38</v>
      </c>
      <c r="I281" s="15" t="s">
        <v>43</v>
      </c>
      <c r="J281" s="15" t="s">
        <v>2749</v>
      </c>
      <c r="K281" s="15" t="s">
        <v>2764</v>
      </c>
      <c r="L281" s="15" t="s">
        <v>2863</v>
      </c>
    </row>
    <row r="282" ht="56.25" customHeight="1">
      <c r="A282" s="23" t="s">
        <v>3329</v>
      </c>
      <c r="B282" s="15" t="str">
        <f>image("https://storage.googleapis.com/acdb/bottoms/BottomsTexSkirtBoxLace2.png")</f>
        <v/>
      </c>
      <c r="C282" s="15"/>
      <c r="D282" s="25" t="s">
        <v>28</v>
      </c>
      <c r="E282" s="13">
        <v>1320.0</v>
      </c>
      <c r="F282" s="13">
        <v>330.0</v>
      </c>
      <c r="G282" s="15">
        <v>4612.0</v>
      </c>
      <c r="H282" s="15" t="s">
        <v>38</v>
      </c>
      <c r="I282" s="15" t="s">
        <v>43</v>
      </c>
      <c r="J282" s="15" t="s">
        <v>2749</v>
      </c>
      <c r="K282" s="15" t="s">
        <v>2764</v>
      </c>
      <c r="L282" s="15" t="s">
        <v>2863</v>
      </c>
    </row>
    <row r="283" ht="56.25" customHeight="1">
      <c r="A283" s="23" t="s">
        <v>3329</v>
      </c>
      <c r="B283" s="15" t="str">
        <f>image("https://storage.googleapis.com/acdb/bottoms/BottomsTexSkirtBoxLace3.png")</f>
        <v/>
      </c>
      <c r="C283" s="15"/>
      <c r="D283" s="25" t="s">
        <v>28</v>
      </c>
      <c r="E283" s="13">
        <v>1320.0</v>
      </c>
      <c r="F283" s="13">
        <v>330.0</v>
      </c>
      <c r="G283" s="15">
        <v>4612.0</v>
      </c>
      <c r="H283" s="15" t="s">
        <v>38</v>
      </c>
      <c r="I283" s="15" t="s">
        <v>43</v>
      </c>
      <c r="J283" s="15" t="s">
        <v>2749</v>
      </c>
      <c r="K283" s="15" t="s">
        <v>2764</v>
      </c>
      <c r="L283" s="15" t="s">
        <v>2863</v>
      </c>
    </row>
    <row r="284" ht="56.25" customHeight="1">
      <c r="A284" s="23" t="s">
        <v>3329</v>
      </c>
      <c r="B284" s="15" t="str">
        <f>image("https://storage.googleapis.com/acdb/bottoms/BottomsTexSkirtBoxLace4.png")</f>
        <v/>
      </c>
      <c r="C284" s="15"/>
      <c r="D284" s="25" t="s">
        <v>28</v>
      </c>
      <c r="E284" s="13">
        <v>1320.0</v>
      </c>
      <c r="F284" s="13">
        <v>330.0</v>
      </c>
      <c r="G284" s="15">
        <v>4612.0</v>
      </c>
      <c r="H284" s="15" t="s">
        <v>38</v>
      </c>
      <c r="I284" s="15" t="s">
        <v>43</v>
      </c>
      <c r="J284" s="15" t="s">
        <v>2749</v>
      </c>
      <c r="K284" s="15" t="s">
        <v>2764</v>
      </c>
      <c r="L284" s="15" t="s">
        <v>2863</v>
      </c>
    </row>
    <row r="285" ht="56.25" customHeight="1">
      <c r="A285" s="23" t="s">
        <v>3329</v>
      </c>
      <c r="B285" s="15" t="str">
        <f>image("https://storage.googleapis.com/acdb/bottoms/BottomsTexSkirtBoxLace5.png")</f>
        <v/>
      </c>
      <c r="C285" s="15"/>
      <c r="D285" s="25" t="s">
        <v>28</v>
      </c>
      <c r="E285" s="13">
        <v>1320.0</v>
      </c>
      <c r="F285" s="13">
        <v>330.0</v>
      </c>
      <c r="G285" s="15">
        <v>4612.0</v>
      </c>
      <c r="H285" s="15" t="s">
        <v>38</v>
      </c>
      <c r="I285" s="15" t="s">
        <v>43</v>
      </c>
      <c r="J285" s="15" t="s">
        <v>2749</v>
      </c>
      <c r="K285" s="15" t="s">
        <v>2764</v>
      </c>
      <c r="L285" s="15" t="s">
        <v>2863</v>
      </c>
    </row>
    <row r="286" ht="56.25" customHeight="1">
      <c r="A286" s="23" t="s">
        <v>3329</v>
      </c>
      <c r="B286" s="15" t="str">
        <f>image("https://storage.googleapis.com/acdb/bottoms/BottomsTexSkirtBoxLace6.png")</f>
        <v/>
      </c>
      <c r="C286" s="15"/>
      <c r="D286" s="25" t="s">
        <v>28</v>
      </c>
      <c r="E286" s="13">
        <v>1320.0</v>
      </c>
      <c r="F286" s="13">
        <v>330.0</v>
      </c>
      <c r="G286" s="15">
        <v>4612.0</v>
      </c>
      <c r="H286" s="15" t="s">
        <v>38</v>
      </c>
      <c r="I286" s="15" t="s">
        <v>43</v>
      </c>
      <c r="J286" s="15" t="s">
        <v>2749</v>
      </c>
      <c r="K286" s="15" t="s">
        <v>2764</v>
      </c>
      <c r="L286" s="15" t="s">
        <v>2863</v>
      </c>
    </row>
    <row r="287" ht="56.25" customHeight="1">
      <c r="A287" s="23" t="s">
        <v>3329</v>
      </c>
      <c r="B287" s="15" t="str">
        <f>image("https://storage.googleapis.com/acdb/bottoms/BottomsTexSkirtBoxLace7.png")</f>
        <v/>
      </c>
      <c r="C287" s="15"/>
      <c r="D287" s="25" t="s">
        <v>28</v>
      </c>
      <c r="E287" s="13">
        <v>1320.0</v>
      </c>
      <c r="F287" s="13">
        <v>330.0</v>
      </c>
      <c r="G287" s="15">
        <v>4612.0</v>
      </c>
      <c r="H287" s="15" t="s">
        <v>38</v>
      </c>
      <c r="I287" s="15" t="s">
        <v>43</v>
      </c>
      <c r="J287" s="15" t="s">
        <v>2749</v>
      </c>
      <c r="K287" s="15" t="s">
        <v>2764</v>
      </c>
      <c r="L287" s="15" t="s">
        <v>2863</v>
      </c>
    </row>
    <row r="288" ht="56.25" customHeight="1">
      <c r="A288" s="23" t="s">
        <v>3337</v>
      </c>
      <c r="B288" s="15" t="str">
        <f>image("https://storage.googleapis.com/acdb/bottoms/BottomsTexSkirtLongFlower0.png")</f>
        <v/>
      </c>
      <c r="C288" s="15"/>
      <c r="D288" s="25" t="s">
        <v>28</v>
      </c>
      <c r="E288" s="13">
        <v>1100.0</v>
      </c>
      <c r="F288" s="13">
        <v>275.0</v>
      </c>
      <c r="G288" s="15">
        <v>5925.0</v>
      </c>
      <c r="H288" s="15" t="s">
        <v>38</v>
      </c>
      <c r="I288" s="15" t="s">
        <v>43</v>
      </c>
      <c r="J288" s="15" t="s">
        <v>2749</v>
      </c>
      <c r="K288" s="15" t="s">
        <v>2764</v>
      </c>
      <c r="L288" s="15" t="s">
        <v>2863</v>
      </c>
    </row>
    <row r="289" ht="56.25" customHeight="1">
      <c r="A289" s="23" t="s">
        <v>3337</v>
      </c>
      <c r="B289" s="15" t="str">
        <f>image("https://storage.googleapis.com/acdb/bottoms/BottomsTexSkirtLongFlower1.png")</f>
        <v/>
      </c>
      <c r="C289" s="15"/>
      <c r="D289" s="25" t="s">
        <v>28</v>
      </c>
      <c r="E289" s="13">
        <v>1100.0</v>
      </c>
      <c r="F289" s="13">
        <v>275.0</v>
      </c>
      <c r="G289" s="15">
        <v>5925.0</v>
      </c>
      <c r="H289" s="15" t="s">
        <v>38</v>
      </c>
      <c r="I289" s="15" t="s">
        <v>43</v>
      </c>
      <c r="J289" s="15" t="s">
        <v>2749</v>
      </c>
      <c r="K289" s="15" t="s">
        <v>2764</v>
      </c>
      <c r="L289" s="15" t="s">
        <v>2863</v>
      </c>
    </row>
    <row r="290" ht="56.25" customHeight="1">
      <c r="A290" s="23" t="s">
        <v>3337</v>
      </c>
      <c r="B290" s="15" t="str">
        <f>image("https://storage.googleapis.com/acdb/bottoms/BottomsTexSkirtLongFlower2.png")</f>
        <v/>
      </c>
      <c r="C290" s="15"/>
      <c r="D290" s="25" t="s">
        <v>28</v>
      </c>
      <c r="E290" s="13">
        <v>1100.0</v>
      </c>
      <c r="F290" s="13">
        <v>275.0</v>
      </c>
      <c r="G290" s="15">
        <v>5925.0</v>
      </c>
      <c r="H290" s="15" t="s">
        <v>38</v>
      </c>
      <c r="I290" s="15" t="s">
        <v>43</v>
      </c>
      <c r="J290" s="15" t="s">
        <v>2749</v>
      </c>
      <c r="K290" s="15" t="s">
        <v>2764</v>
      </c>
      <c r="L290" s="15" t="s">
        <v>2863</v>
      </c>
    </row>
    <row r="291" ht="56.25" customHeight="1">
      <c r="A291" s="23" t="s">
        <v>3340</v>
      </c>
      <c r="B291" s="15" t="str">
        <f>image("https://storage.googleapis.com/acdb/bottoms/BottomsTexPantsNormalAmericanfootball0.png")</f>
        <v/>
      </c>
      <c r="C291" s="15"/>
      <c r="D291" s="25" t="s">
        <v>28</v>
      </c>
      <c r="E291" s="13">
        <v>980.0</v>
      </c>
      <c r="F291" s="13">
        <v>245.0</v>
      </c>
      <c r="G291" s="15">
        <v>9844.0</v>
      </c>
      <c r="H291" s="15" t="s">
        <v>38</v>
      </c>
      <c r="I291" s="15" t="s">
        <v>43</v>
      </c>
      <c r="J291" s="15" t="s">
        <v>2749</v>
      </c>
      <c r="K291" s="15" t="s">
        <v>2751</v>
      </c>
      <c r="L291" s="15" t="s">
        <v>2793</v>
      </c>
    </row>
    <row r="292" ht="56.25" customHeight="1">
      <c r="A292" s="23" t="s">
        <v>3340</v>
      </c>
      <c r="B292" s="15" t="str">
        <f>image("https://storage.googleapis.com/acdb/bottoms/BottomsTexPantsNormalAmericanfootball1.png")</f>
        <v/>
      </c>
      <c r="C292" s="15"/>
      <c r="D292" s="25" t="s">
        <v>28</v>
      </c>
      <c r="E292" s="13">
        <v>980.0</v>
      </c>
      <c r="F292" s="13">
        <v>245.0</v>
      </c>
      <c r="G292" s="15">
        <v>9844.0</v>
      </c>
      <c r="H292" s="15" t="s">
        <v>38</v>
      </c>
      <c r="I292" s="15" t="s">
        <v>43</v>
      </c>
      <c r="J292" s="15" t="s">
        <v>2749</v>
      </c>
      <c r="K292" s="15" t="s">
        <v>2751</v>
      </c>
      <c r="L292" s="15" t="s">
        <v>2793</v>
      </c>
    </row>
    <row r="293" ht="56.25" customHeight="1">
      <c r="A293" s="23" t="s">
        <v>3340</v>
      </c>
      <c r="B293" s="15" t="str">
        <f>image("https://storage.googleapis.com/acdb/bottoms/BottomsTexPantsNormalAmericanfootball2.png")</f>
        <v/>
      </c>
      <c r="C293" s="15"/>
      <c r="D293" s="25" t="s">
        <v>28</v>
      </c>
      <c r="E293" s="13">
        <v>980.0</v>
      </c>
      <c r="F293" s="13">
        <v>245.0</v>
      </c>
      <c r="G293" s="15">
        <v>9844.0</v>
      </c>
      <c r="H293" s="15" t="s">
        <v>38</v>
      </c>
      <c r="I293" s="15" t="s">
        <v>43</v>
      </c>
      <c r="J293" s="15" t="s">
        <v>2749</v>
      </c>
      <c r="K293" s="15" t="s">
        <v>2751</v>
      </c>
      <c r="L293" s="15" t="s">
        <v>2793</v>
      </c>
    </row>
    <row r="294" ht="56.25" customHeight="1">
      <c r="A294" s="23" t="s">
        <v>3340</v>
      </c>
      <c r="B294" s="15" t="str">
        <f>image("https://storage.googleapis.com/acdb/bottoms/BottomsTexPantsNormalAmericanfootball3.png")</f>
        <v/>
      </c>
      <c r="C294" s="15"/>
      <c r="D294" s="25" t="s">
        <v>28</v>
      </c>
      <c r="E294" s="13">
        <v>980.0</v>
      </c>
      <c r="F294" s="13">
        <v>245.0</v>
      </c>
      <c r="G294" s="15">
        <v>9844.0</v>
      </c>
      <c r="H294" s="15" t="s">
        <v>38</v>
      </c>
      <c r="I294" s="15" t="s">
        <v>43</v>
      </c>
      <c r="J294" s="15" t="s">
        <v>2749</v>
      </c>
      <c r="K294" s="15" t="s">
        <v>2751</v>
      </c>
      <c r="L294" s="15" t="s">
        <v>2793</v>
      </c>
    </row>
    <row r="295" ht="56.25" customHeight="1">
      <c r="A295" s="23" t="s">
        <v>3340</v>
      </c>
      <c r="B295" s="15" t="str">
        <f>image("https://storage.googleapis.com/acdb/bottoms/BottomsTexPantsNormalAmericanfootball4.png")</f>
        <v/>
      </c>
      <c r="C295" s="15"/>
      <c r="D295" s="25" t="s">
        <v>28</v>
      </c>
      <c r="E295" s="13">
        <v>980.0</v>
      </c>
      <c r="F295" s="13">
        <v>245.0</v>
      </c>
      <c r="G295" s="15">
        <v>9844.0</v>
      </c>
      <c r="H295" s="15" t="s">
        <v>38</v>
      </c>
      <c r="I295" s="15" t="s">
        <v>43</v>
      </c>
      <c r="J295" s="15" t="s">
        <v>2749</v>
      </c>
      <c r="K295" s="15" t="s">
        <v>2751</v>
      </c>
      <c r="L295" s="15" t="s">
        <v>2793</v>
      </c>
    </row>
    <row r="296" ht="56.25" customHeight="1">
      <c r="A296" s="23" t="s">
        <v>3340</v>
      </c>
      <c r="B296" s="15" t="str">
        <f>image("https://storage.googleapis.com/acdb/bottoms/BottomsTexPantsNormalAmericanfootball5.png")</f>
        <v/>
      </c>
      <c r="C296" s="15"/>
      <c r="D296" s="25" t="s">
        <v>28</v>
      </c>
      <c r="E296" s="13">
        <v>980.0</v>
      </c>
      <c r="F296" s="13">
        <v>245.0</v>
      </c>
      <c r="G296" s="15">
        <v>9844.0</v>
      </c>
      <c r="H296" s="15" t="s">
        <v>38</v>
      </c>
      <c r="I296" s="15" t="s">
        <v>43</v>
      </c>
      <c r="J296" s="15" t="s">
        <v>2749</v>
      </c>
      <c r="K296" s="15" t="s">
        <v>2751</v>
      </c>
      <c r="L296" s="15" t="s">
        <v>2793</v>
      </c>
    </row>
    <row r="297" ht="56.25" customHeight="1">
      <c r="A297" s="23" t="s">
        <v>3340</v>
      </c>
      <c r="B297" s="15" t="str">
        <f>image("https://storage.googleapis.com/acdb/bottoms/BottomsTexPantsNormalAmericanfootball6.png")</f>
        <v/>
      </c>
      <c r="C297" s="15"/>
      <c r="D297" s="25" t="s">
        <v>28</v>
      </c>
      <c r="E297" s="13">
        <v>980.0</v>
      </c>
      <c r="F297" s="13">
        <v>245.0</v>
      </c>
      <c r="G297" s="15">
        <v>9844.0</v>
      </c>
      <c r="H297" s="15" t="s">
        <v>38</v>
      </c>
      <c r="I297" s="15" t="s">
        <v>43</v>
      </c>
      <c r="J297" s="15" t="s">
        <v>2749</v>
      </c>
      <c r="K297" s="15" t="s">
        <v>2751</v>
      </c>
      <c r="L297" s="15" t="s">
        <v>2793</v>
      </c>
    </row>
    <row r="298" ht="56.25" customHeight="1">
      <c r="A298" s="23" t="s">
        <v>3340</v>
      </c>
      <c r="B298" s="15" t="str">
        <f>image("https://storage.googleapis.com/acdb/bottoms/BottomsTexPantsNormalAmericanfootball7.png")</f>
        <v/>
      </c>
      <c r="C298" s="15"/>
      <c r="D298" s="25" t="s">
        <v>28</v>
      </c>
      <c r="E298" s="13">
        <v>980.0</v>
      </c>
      <c r="F298" s="13">
        <v>245.0</v>
      </c>
      <c r="G298" s="15">
        <v>9844.0</v>
      </c>
      <c r="H298" s="15" t="s">
        <v>38</v>
      </c>
      <c r="I298" s="15" t="s">
        <v>43</v>
      </c>
      <c r="J298" s="15" t="s">
        <v>2749</v>
      </c>
      <c r="K298" s="15" t="s">
        <v>2751</v>
      </c>
      <c r="L298" s="15" t="s">
        <v>2793</v>
      </c>
    </row>
    <row r="299" ht="56.25" customHeight="1">
      <c r="A299" s="23" t="s">
        <v>3351</v>
      </c>
      <c r="B299" s="15" t="str">
        <f>image("https://storage.googleapis.com/acdb/bottoms/BottomsTexPantsHalfFormal0.png")</f>
        <v/>
      </c>
      <c r="C299" s="15"/>
      <c r="D299" s="25" t="s">
        <v>28</v>
      </c>
      <c r="E299" s="13">
        <v>840.0</v>
      </c>
      <c r="F299" s="13">
        <v>210.0</v>
      </c>
      <c r="G299" s="15">
        <v>4372.0</v>
      </c>
      <c r="H299" s="15" t="s">
        <v>38</v>
      </c>
      <c r="I299" s="15" t="s">
        <v>43</v>
      </c>
      <c r="J299" s="15" t="s">
        <v>2749</v>
      </c>
      <c r="K299" s="15" t="s">
        <v>2751</v>
      </c>
      <c r="L299" s="15" t="s">
        <v>2744</v>
      </c>
    </row>
    <row r="300" ht="56.25" customHeight="1">
      <c r="A300" s="23" t="s">
        <v>3351</v>
      </c>
      <c r="B300" s="15" t="str">
        <f>image("https://storage.googleapis.com/acdb/bottoms/BottomsTexPantsHalfFormal1.png")</f>
        <v/>
      </c>
      <c r="C300" s="15"/>
      <c r="D300" s="25" t="s">
        <v>28</v>
      </c>
      <c r="E300" s="13">
        <v>840.0</v>
      </c>
      <c r="F300" s="13">
        <v>210.0</v>
      </c>
      <c r="G300" s="15">
        <v>4372.0</v>
      </c>
      <c r="H300" s="15" t="s">
        <v>38</v>
      </c>
      <c r="I300" s="15" t="s">
        <v>43</v>
      </c>
      <c r="J300" s="15" t="s">
        <v>2749</v>
      </c>
      <c r="K300" s="15" t="s">
        <v>2751</v>
      </c>
      <c r="L300" s="15" t="s">
        <v>2744</v>
      </c>
    </row>
    <row r="301" ht="56.25" customHeight="1">
      <c r="A301" s="23" t="s">
        <v>3351</v>
      </c>
      <c r="B301" s="15" t="str">
        <f>image("https://storage.googleapis.com/acdb/bottoms/BottomsTexPantsHalfFormal2.png")</f>
        <v/>
      </c>
      <c r="C301" s="15"/>
      <c r="D301" s="25" t="s">
        <v>28</v>
      </c>
      <c r="E301" s="13">
        <v>840.0</v>
      </c>
      <c r="F301" s="13">
        <v>210.0</v>
      </c>
      <c r="G301" s="15">
        <v>4372.0</v>
      </c>
      <c r="H301" s="15" t="s">
        <v>38</v>
      </c>
      <c r="I301" s="15" t="s">
        <v>43</v>
      </c>
      <c r="J301" s="15" t="s">
        <v>2749</v>
      </c>
      <c r="K301" s="15" t="s">
        <v>2751</v>
      </c>
      <c r="L301" s="15" t="s">
        <v>2744</v>
      </c>
    </row>
    <row r="302" ht="56.25" customHeight="1">
      <c r="A302" s="23" t="s">
        <v>3351</v>
      </c>
      <c r="B302" s="15" t="str">
        <f>image("https://storage.googleapis.com/acdb/bottoms/BottomsTexPantsHalfFormal3.png")</f>
        <v/>
      </c>
      <c r="C302" s="15"/>
      <c r="D302" s="25" t="s">
        <v>28</v>
      </c>
      <c r="E302" s="13">
        <v>840.0</v>
      </c>
      <c r="F302" s="13">
        <v>210.0</v>
      </c>
      <c r="G302" s="15">
        <v>4372.0</v>
      </c>
      <c r="H302" s="15" t="s">
        <v>38</v>
      </c>
      <c r="I302" s="15" t="s">
        <v>43</v>
      </c>
      <c r="J302" s="15" t="s">
        <v>2749</v>
      </c>
      <c r="K302" s="15" t="s">
        <v>2751</v>
      </c>
      <c r="L302" s="15" t="s">
        <v>2744</v>
      </c>
    </row>
    <row r="303" ht="56.25" customHeight="1">
      <c r="A303" s="23" t="s">
        <v>3351</v>
      </c>
      <c r="B303" s="15" t="str">
        <f>image("https://storage.googleapis.com/acdb/bottoms/BottomsTexPantsHalfFormal4.png")</f>
        <v/>
      </c>
      <c r="C303" s="15"/>
      <c r="D303" s="25" t="s">
        <v>28</v>
      </c>
      <c r="E303" s="13">
        <v>840.0</v>
      </c>
      <c r="F303" s="13">
        <v>210.0</v>
      </c>
      <c r="G303" s="15">
        <v>4372.0</v>
      </c>
      <c r="H303" s="15" t="s">
        <v>38</v>
      </c>
      <c r="I303" s="15" t="s">
        <v>43</v>
      </c>
      <c r="J303" s="15" t="s">
        <v>2749</v>
      </c>
      <c r="K303" s="15" t="s">
        <v>2751</v>
      </c>
      <c r="L303" s="15" t="s">
        <v>2744</v>
      </c>
    </row>
    <row r="304" ht="56.25" customHeight="1">
      <c r="A304" s="23" t="s">
        <v>3351</v>
      </c>
      <c r="B304" s="15" t="str">
        <f>image("https://storage.googleapis.com/acdb/bottoms/BottomsTexPantsHalfFormal5.png")</f>
        <v/>
      </c>
      <c r="C304" s="15"/>
      <c r="D304" s="25" t="s">
        <v>28</v>
      </c>
      <c r="E304" s="13">
        <v>840.0</v>
      </c>
      <c r="F304" s="13">
        <v>210.0</v>
      </c>
      <c r="G304" s="15">
        <v>4372.0</v>
      </c>
      <c r="H304" s="15" t="s">
        <v>38</v>
      </c>
      <c r="I304" s="15" t="s">
        <v>43</v>
      </c>
      <c r="J304" s="15" t="s">
        <v>2749</v>
      </c>
      <c r="K304" s="15" t="s">
        <v>2751</v>
      </c>
      <c r="L304" s="15" t="s">
        <v>2744</v>
      </c>
    </row>
    <row r="305" ht="56.25" customHeight="1">
      <c r="A305" s="23" t="s">
        <v>3351</v>
      </c>
      <c r="B305" s="15" t="str">
        <f>image("https://storage.googleapis.com/acdb/bottoms/BottomsTexPantsHalfFormal6.png")</f>
        <v/>
      </c>
      <c r="C305" s="15"/>
      <c r="D305" s="25" t="s">
        <v>28</v>
      </c>
      <c r="E305" s="13">
        <v>840.0</v>
      </c>
      <c r="F305" s="13">
        <v>210.0</v>
      </c>
      <c r="G305" s="15">
        <v>4372.0</v>
      </c>
      <c r="H305" s="15" t="s">
        <v>38</v>
      </c>
      <c r="I305" s="15" t="s">
        <v>43</v>
      </c>
      <c r="J305" s="15" t="s">
        <v>2749</v>
      </c>
      <c r="K305" s="15" t="s">
        <v>2751</v>
      </c>
      <c r="L305" s="15" t="s">
        <v>2744</v>
      </c>
    </row>
    <row r="306" ht="56.25" customHeight="1">
      <c r="A306" s="23" t="s">
        <v>3351</v>
      </c>
      <c r="B306" s="15" t="str">
        <f>image("https://storage.googleapis.com/acdb/bottoms/BottomsTexPantsHalfFormal7.png")</f>
        <v/>
      </c>
      <c r="C306" s="15"/>
      <c r="D306" s="25" t="s">
        <v>28</v>
      </c>
      <c r="E306" s="13">
        <v>840.0</v>
      </c>
      <c r="F306" s="13">
        <v>210.0</v>
      </c>
      <c r="G306" s="15">
        <v>4372.0</v>
      </c>
      <c r="H306" s="15" t="s">
        <v>38</v>
      </c>
      <c r="I306" s="15" t="s">
        <v>43</v>
      </c>
      <c r="J306" s="15" t="s">
        <v>2749</v>
      </c>
      <c r="K306" s="15" t="s">
        <v>2751</v>
      </c>
      <c r="L306" s="15" t="s">
        <v>2744</v>
      </c>
    </row>
    <row r="307" ht="56.25" customHeight="1">
      <c r="A307" s="23" t="s">
        <v>3359</v>
      </c>
      <c r="B307" s="15" t="str">
        <f>image("https://storage.googleapis.com/acdb/bottoms/BottomsTexPantsWideFrilled0.png")</f>
        <v/>
      </c>
      <c r="C307" s="15"/>
      <c r="D307" s="25" t="s">
        <v>28</v>
      </c>
      <c r="E307" s="13">
        <v>1200.0</v>
      </c>
      <c r="F307" s="13">
        <v>300.0</v>
      </c>
      <c r="G307" s="15">
        <v>4369.0</v>
      </c>
      <c r="H307" s="15" t="s">
        <v>38</v>
      </c>
      <c r="I307" s="15" t="s">
        <v>43</v>
      </c>
      <c r="J307" s="15" t="s">
        <v>2749</v>
      </c>
      <c r="K307" s="15" t="s">
        <v>2764</v>
      </c>
      <c r="L307" s="15" t="s">
        <v>2744</v>
      </c>
    </row>
    <row r="308" ht="56.25" customHeight="1">
      <c r="A308" s="23" t="s">
        <v>3359</v>
      </c>
      <c r="B308" s="15" t="str">
        <f>image("https://storage.googleapis.com/acdb/bottoms/BottomsTexPantsWideFrilled1.png")</f>
        <v/>
      </c>
      <c r="C308" s="15"/>
      <c r="D308" s="25" t="s">
        <v>28</v>
      </c>
      <c r="E308" s="13">
        <v>1200.0</v>
      </c>
      <c r="F308" s="13">
        <v>300.0</v>
      </c>
      <c r="G308" s="15">
        <v>4369.0</v>
      </c>
      <c r="H308" s="15" t="s">
        <v>38</v>
      </c>
      <c r="I308" s="15" t="s">
        <v>43</v>
      </c>
      <c r="J308" s="15" t="s">
        <v>2749</v>
      </c>
      <c r="K308" s="15" t="s">
        <v>2764</v>
      </c>
      <c r="L308" s="15" t="s">
        <v>2744</v>
      </c>
    </row>
    <row r="309" ht="56.25" customHeight="1">
      <c r="A309" s="23" t="s">
        <v>3359</v>
      </c>
      <c r="B309" s="15" t="str">
        <f>image("https://storage.googleapis.com/acdb/bottoms/BottomsTexPantsWideFrilled2.png")</f>
        <v/>
      </c>
      <c r="C309" s="15"/>
      <c r="D309" s="25" t="s">
        <v>28</v>
      </c>
      <c r="E309" s="13">
        <v>1200.0</v>
      </c>
      <c r="F309" s="13">
        <v>300.0</v>
      </c>
      <c r="G309" s="15">
        <v>4369.0</v>
      </c>
      <c r="H309" s="15" t="s">
        <v>38</v>
      </c>
      <c r="I309" s="15" t="s">
        <v>43</v>
      </c>
      <c r="J309" s="15" t="s">
        <v>2749</v>
      </c>
      <c r="K309" s="15" t="s">
        <v>2764</v>
      </c>
      <c r="L309" s="15" t="s">
        <v>2744</v>
      </c>
    </row>
    <row r="310" ht="56.25" customHeight="1">
      <c r="A310" s="23" t="s">
        <v>3359</v>
      </c>
      <c r="B310" s="15" t="str">
        <f>image("https://storage.googleapis.com/acdb/bottoms/BottomsTexPantsWideFrilled3.png")</f>
        <v/>
      </c>
      <c r="C310" s="15"/>
      <c r="D310" s="25" t="s">
        <v>28</v>
      </c>
      <c r="E310" s="13">
        <v>1200.0</v>
      </c>
      <c r="F310" s="13">
        <v>300.0</v>
      </c>
      <c r="G310" s="15">
        <v>4369.0</v>
      </c>
      <c r="H310" s="15" t="s">
        <v>38</v>
      </c>
      <c r="I310" s="15" t="s">
        <v>43</v>
      </c>
      <c r="J310" s="15" t="s">
        <v>2749</v>
      </c>
      <c r="K310" s="15" t="s">
        <v>2764</v>
      </c>
      <c r="L310" s="15" t="s">
        <v>2744</v>
      </c>
    </row>
    <row r="311" ht="56.25" customHeight="1">
      <c r="A311" s="23" t="s">
        <v>3359</v>
      </c>
      <c r="B311" s="15" t="str">
        <f>image("https://storage.googleapis.com/acdb/bottoms/BottomsTexPantsWideFrilled4.png")</f>
        <v/>
      </c>
      <c r="C311" s="15"/>
      <c r="D311" s="25" t="s">
        <v>28</v>
      </c>
      <c r="E311" s="13">
        <v>1200.0</v>
      </c>
      <c r="F311" s="13">
        <v>300.0</v>
      </c>
      <c r="G311" s="15">
        <v>4369.0</v>
      </c>
      <c r="H311" s="15" t="s">
        <v>38</v>
      </c>
      <c r="I311" s="15" t="s">
        <v>43</v>
      </c>
      <c r="J311" s="15" t="s">
        <v>2749</v>
      </c>
      <c r="K311" s="15" t="s">
        <v>2764</v>
      </c>
      <c r="L311" s="15" t="s">
        <v>2744</v>
      </c>
    </row>
    <row r="312" ht="56.25" customHeight="1">
      <c r="A312" s="23" t="s">
        <v>3363</v>
      </c>
      <c r="B312" s="15" t="str">
        <f>image("https://storage.googleapis.com/acdb/bottoms/BottomsTexSkirtAlineFrilled0.png")</f>
        <v/>
      </c>
      <c r="C312" s="15"/>
      <c r="D312" s="25" t="s">
        <v>28</v>
      </c>
      <c r="E312" s="13">
        <v>1100.0</v>
      </c>
      <c r="F312" s="13">
        <v>275.0</v>
      </c>
      <c r="G312" s="15">
        <v>4410.0</v>
      </c>
      <c r="H312" s="15" t="s">
        <v>38</v>
      </c>
      <c r="I312" s="15" t="s">
        <v>43</v>
      </c>
      <c r="J312" s="15" t="s">
        <v>2749</v>
      </c>
      <c r="K312" s="15" t="s">
        <v>2751</v>
      </c>
      <c r="L312" s="15" t="s">
        <v>384</v>
      </c>
    </row>
    <row r="313" ht="56.25" customHeight="1">
      <c r="A313" s="23" t="s">
        <v>3363</v>
      </c>
      <c r="B313" s="15" t="str">
        <f>image("https://storage.googleapis.com/acdb/bottoms/BottomsTexSkirtAlineFrilled1.png")</f>
        <v/>
      </c>
      <c r="C313" s="15"/>
      <c r="D313" s="25" t="s">
        <v>28</v>
      </c>
      <c r="E313" s="13">
        <v>1100.0</v>
      </c>
      <c r="F313" s="13">
        <v>275.0</v>
      </c>
      <c r="G313" s="15">
        <v>4410.0</v>
      </c>
      <c r="H313" s="15" t="s">
        <v>38</v>
      </c>
      <c r="I313" s="15" t="s">
        <v>43</v>
      </c>
      <c r="J313" s="15" t="s">
        <v>2749</v>
      </c>
      <c r="K313" s="15" t="s">
        <v>2751</v>
      </c>
      <c r="L313" s="15" t="s">
        <v>384</v>
      </c>
    </row>
    <row r="314" ht="56.25" customHeight="1">
      <c r="A314" s="23" t="s">
        <v>3363</v>
      </c>
      <c r="B314" s="15" t="str">
        <f>image("https://storage.googleapis.com/acdb/bottoms/BottomsTexSkirtAlineFrilled2.png")</f>
        <v/>
      </c>
      <c r="C314" s="15"/>
      <c r="D314" s="25" t="s">
        <v>28</v>
      </c>
      <c r="E314" s="13">
        <v>1100.0</v>
      </c>
      <c r="F314" s="13">
        <v>275.0</v>
      </c>
      <c r="G314" s="15">
        <v>4410.0</v>
      </c>
      <c r="H314" s="15" t="s">
        <v>38</v>
      </c>
      <c r="I314" s="15" t="s">
        <v>43</v>
      </c>
      <c r="J314" s="15" t="s">
        <v>2749</v>
      </c>
      <c r="K314" s="15" t="s">
        <v>2751</v>
      </c>
      <c r="L314" s="15" t="s">
        <v>384</v>
      </c>
    </row>
    <row r="315" ht="56.25" customHeight="1">
      <c r="A315" s="23" t="s">
        <v>3363</v>
      </c>
      <c r="B315" s="15" t="str">
        <f>image("https://storage.googleapis.com/acdb/bottoms/BottomsTexSkirtAlineFrilled3.png")</f>
        <v/>
      </c>
      <c r="C315" s="15"/>
      <c r="D315" s="25" t="s">
        <v>28</v>
      </c>
      <c r="E315" s="13">
        <v>1100.0</v>
      </c>
      <c r="F315" s="13">
        <v>275.0</v>
      </c>
      <c r="G315" s="15">
        <v>4410.0</v>
      </c>
      <c r="H315" s="15" t="s">
        <v>38</v>
      </c>
      <c r="I315" s="15" t="s">
        <v>43</v>
      </c>
      <c r="J315" s="15" t="s">
        <v>2749</v>
      </c>
      <c r="K315" s="15" t="s">
        <v>2751</v>
      </c>
      <c r="L315" s="15" t="s">
        <v>384</v>
      </c>
    </row>
    <row r="316" ht="56.25" customHeight="1">
      <c r="A316" s="23" t="s">
        <v>3363</v>
      </c>
      <c r="B316" s="15" t="str">
        <f>image("https://storage.googleapis.com/acdb/bottoms/BottomsTexSkirtAlineFrilled4.png")</f>
        <v/>
      </c>
      <c r="C316" s="15"/>
      <c r="D316" s="25" t="s">
        <v>28</v>
      </c>
      <c r="E316" s="13">
        <v>1100.0</v>
      </c>
      <c r="F316" s="13">
        <v>275.0</v>
      </c>
      <c r="G316" s="15">
        <v>4410.0</v>
      </c>
      <c r="H316" s="15" t="s">
        <v>38</v>
      </c>
      <c r="I316" s="15" t="s">
        <v>43</v>
      </c>
      <c r="J316" s="15" t="s">
        <v>2749</v>
      </c>
      <c r="K316" s="15" t="s">
        <v>2751</v>
      </c>
      <c r="L316" s="15" t="s">
        <v>384</v>
      </c>
    </row>
    <row r="317" ht="56.25" customHeight="1">
      <c r="A317" s="23" t="s">
        <v>3363</v>
      </c>
      <c r="B317" s="15" t="str">
        <f>image("https://storage.googleapis.com/acdb/bottoms/BottomsTexSkirtAlineFrilled5.png")</f>
        <v/>
      </c>
      <c r="C317" s="15"/>
      <c r="D317" s="25" t="s">
        <v>28</v>
      </c>
      <c r="E317" s="13">
        <v>1100.0</v>
      </c>
      <c r="F317" s="13">
        <v>275.0</v>
      </c>
      <c r="G317" s="15">
        <v>4410.0</v>
      </c>
      <c r="H317" s="15" t="s">
        <v>38</v>
      </c>
      <c r="I317" s="15" t="s">
        <v>43</v>
      </c>
      <c r="J317" s="15" t="s">
        <v>2749</v>
      </c>
      <c r="K317" s="15" t="s">
        <v>2751</v>
      </c>
      <c r="L317" s="15" t="s">
        <v>384</v>
      </c>
    </row>
    <row r="318" ht="56.25" customHeight="1">
      <c r="A318" s="23" t="s">
        <v>3366</v>
      </c>
      <c r="B318" s="15" t="str">
        <f>image("https://storage.googleapis.com/acdb/bottoms/BottomsTexPantsNormalSweatfrill0.png")</f>
        <v/>
      </c>
      <c r="C318" s="15"/>
      <c r="D318" s="25" t="s">
        <v>28</v>
      </c>
      <c r="E318" s="13">
        <v>880.0</v>
      </c>
      <c r="F318" s="13">
        <v>220.0</v>
      </c>
      <c r="G318" s="15">
        <v>5416.0</v>
      </c>
      <c r="H318" s="15" t="s">
        <v>38</v>
      </c>
      <c r="I318" s="15" t="s">
        <v>43</v>
      </c>
      <c r="J318" s="15" t="s">
        <v>2749</v>
      </c>
      <c r="K318" s="15" t="s">
        <v>2764</v>
      </c>
      <c r="L318" s="15" t="s">
        <v>384</v>
      </c>
    </row>
    <row r="319" ht="56.25" customHeight="1">
      <c r="A319" s="23" t="s">
        <v>3366</v>
      </c>
      <c r="B319" s="15" t="str">
        <f>image("https://storage.googleapis.com/acdb/bottoms/BottomsTexPantsNormalSweatfrill1.png")</f>
        <v/>
      </c>
      <c r="C319" s="15"/>
      <c r="D319" s="25" t="s">
        <v>28</v>
      </c>
      <c r="E319" s="13">
        <v>880.0</v>
      </c>
      <c r="F319" s="13">
        <v>220.0</v>
      </c>
      <c r="G319" s="15">
        <v>5416.0</v>
      </c>
      <c r="H319" s="15" t="s">
        <v>38</v>
      </c>
      <c r="I319" s="15" t="s">
        <v>43</v>
      </c>
      <c r="J319" s="15" t="s">
        <v>2749</v>
      </c>
      <c r="K319" s="15" t="s">
        <v>2764</v>
      </c>
      <c r="L319" s="15" t="s">
        <v>384</v>
      </c>
    </row>
    <row r="320" ht="56.25" customHeight="1">
      <c r="A320" s="23" t="s">
        <v>3366</v>
      </c>
      <c r="B320" s="15" t="str">
        <f>image("https://storage.googleapis.com/acdb/bottoms/BottomsTexPantsNormalSweatfrill2.png")</f>
        <v/>
      </c>
      <c r="C320" s="15"/>
      <c r="D320" s="25" t="s">
        <v>28</v>
      </c>
      <c r="E320" s="13">
        <v>880.0</v>
      </c>
      <c r="F320" s="13">
        <v>220.0</v>
      </c>
      <c r="G320" s="15">
        <v>5416.0</v>
      </c>
      <c r="H320" s="15" t="s">
        <v>38</v>
      </c>
      <c r="I320" s="15" t="s">
        <v>43</v>
      </c>
      <c r="J320" s="15" t="s">
        <v>2749</v>
      </c>
      <c r="K320" s="15" t="s">
        <v>2764</v>
      </c>
      <c r="L320" s="15" t="s">
        <v>384</v>
      </c>
    </row>
    <row r="321" ht="56.25" customHeight="1">
      <c r="A321" s="23" t="s">
        <v>3366</v>
      </c>
      <c r="B321" s="15" t="str">
        <f>image("https://storage.googleapis.com/acdb/bottoms/BottomsTexPantsNormalSweatfrill3.png")</f>
        <v/>
      </c>
      <c r="C321" s="15"/>
      <c r="D321" s="25" t="s">
        <v>28</v>
      </c>
      <c r="E321" s="13">
        <v>880.0</v>
      </c>
      <c r="F321" s="13">
        <v>220.0</v>
      </c>
      <c r="G321" s="15">
        <v>5416.0</v>
      </c>
      <c r="H321" s="15" t="s">
        <v>38</v>
      </c>
      <c r="I321" s="15" t="s">
        <v>43</v>
      </c>
      <c r="J321" s="15" t="s">
        <v>2749</v>
      </c>
      <c r="K321" s="15" t="s">
        <v>2764</v>
      </c>
      <c r="L321" s="15" t="s">
        <v>384</v>
      </c>
    </row>
    <row r="322" ht="56.25" customHeight="1">
      <c r="A322" s="23" t="s">
        <v>3366</v>
      </c>
      <c r="B322" s="15" t="str">
        <f>image("https://storage.googleapis.com/acdb/bottoms/BottomsTexPantsNormalSweatfrill4.png")</f>
        <v/>
      </c>
      <c r="C322" s="15"/>
      <c r="D322" s="25" t="s">
        <v>28</v>
      </c>
      <c r="E322" s="13">
        <v>880.0</v>
      </c>
      <c r="F322" s="13">
        <v>220.0</v>
      </c>
      <c r="G322" s="15">
        <v>5416.0</v>
      </c>
      <c r="H322" s="15" t="s">
        <v>38</v>
      </c>
      <c r="I322" s="15" t="s">
        <v>43</v>
      </c>
      <c r="J322" s="15" t="s">
        <v>2749</v>
      </c>
      <c r="K322" s="15" t="s">
        <v>2764</v>
      </c>
      <c r="L322" s="15" t="s">
        <v>384</v>
      </c>
    </row>
    <row r="323" ht="56.25" customHeight="1">
      <c r="A323" s="23" t="s">
        <v>3366</v>
      </c>
      <c r="B323" s="15" t="str">
        <f>image("https://storage.googleapis.com/acdb/bottoms/BottomsTexPantsNormalSweatfrill5.png")</f>
        <v/>
      </c>
      <c r="C323" s="15"/>
      <c r="D323" s="25" t="s">
        <v>28</v>
      </c>
      <c r="E323" s="13">
        <v>880.0</v>
      </c>
      <c r="F323" s="13">
        <v>220.0</v>
      </c>
      <c r="G323" s="15">
        <v>5416.0</v>
      </c>
      <c r="H323" s="15" t="s">
        <v>38</v>
      </c>
      <c r="I323" s="15" t="s">
        <v>43</v>
      </c>
      <c r="J323" s="15" t="s">
        <v>2749</v>
      </c>
      <c r="K323" s="15" t="s">
        <v>2764</v>
      </c>
      <c r="L323" s="15" t="s">
        <v>384</v>
      </c>
    </row>
    <row r="324" ht="56.25" customHeight="1">
      <c r="A324" s="23" t="s">
        <v>3374</v>
      </c>
      <c r="B324" s="15" t="str">
        <f>image("https://storage.googleapis.com/acdb/bottoms/BottomsTexSkirtBoxFringe0.png")</f>
        <v/>
      </c>
      <c r="C324" s="15"/>
      <c r="D324" s="25" t="s">
        <v>28</v>
      </c>
      <c r="E324" s="13">
        <v>1560.0</v>
      </c>
      <c r="F324" s="13">
        <v>390.0</v>
      </c>
      <c r="G324" s="15">
        <v>4307.0</v>
      </c>
      <c r="H324" s="15" t="s">
        <v>38</v>
      </c>
      <c r="I324" s="15" t="s">
        <v>43</v>
      </c>
      <c r="J324" s="15" t="s">
        <v>2749</v>
      </c>
      <c r="K324" s="15" t="s">
        <v>2764</v>
      </c>
      <c r="L324" s="15" t="s">
        <v>2744</v>
      </c>
    </row>
    <row r="325" ht="56.25" customHeight="1">
      <c r="A325" s="23" t="s">
        <v>3374</v>
      </c>
      <c r="B325" s="15" t="str">
        <f>image("https://storage.googleapis.com/acdb/bottoms/BottomsTexSkirtBoxFringe1.png")</f>
        <v/>
      </c>
      <c r="C325" s="15"/>
      <c r="D325" s="25" t="s">
        <v>28</v>
      </c>
      <c r="E325" s="13">
        <v>1560.0</v>
      </c>
      <c r="F325" s="13">
        <v>390.0</v>
      </c>
      <c r="G325" s="15">
        <v>4307.0</v>
      </c>
      <c r="H325" s="15" t="s">
        <v>38</v>
      </c>
      <c r="I325" s="15" t="s">
        <v>43</v>
      </c>
      <c r="J325" s="15" t="s">
        <v>2749</v>
      </c>
      <c r="K325" s="15" t="s">
        <v>2764</v>
      </c>
      <c r="L325" s="15" t="s">
        <v>2744</v>
      </c>
    </row>
    <row r="326" ht="56.25" customHeight="1">
      <c r="A326" s="23" t="s">
        <v>3374</v>
      </c>
      <c r="B326" s="15" t="str">
        <f>image("https://storage.googleapis.com/acdb/bottoms/BottomsTexSkirtBoxFringe2.png")</f>
        <v/>
      </c>
      <c r="C326" s="15"/>
      <c r="D326" s="25" t="s">
        <v>28</v>
      </c>
      <c r="E326" s="13">
        <v>1560.0</v>
      </c>
      <c r="F326" s="13">
        <v>390.0</v>
      </c>
      <c r="G326" s="15">
        <v>4307.0</v>
      </c>
      <c r="H326" s="15" t="s">
        <v>38</v>
      </c>
      <c r="I326" s="15" t="s">
        <v>43</v>
      </c>
      <c r="J326" s="15" t="s">
        <v>2749</v>
      </c>
      <c r="K326" s="15" t="s">
        <v>2764</v>
      </c>
      <c r="L326" s="15" t="s">
        <v>2744</v>
      </c>
    </row>
    <row r="327" ht="56.25" customHeight="1">
      <c r="A327" s="23" t="s">
        <v>3374</v>
      </c>
      <c r="B327" s="15" t="str">
        <f>image("https://storage.googleapis.com/acdb/bottoms/BottomsTexSkirtBoxFringe3.png")</f>
        <v/>
      </c>
      <c r="C327" s="15"/>
      <c r="D327" s="25" t="s">
        <v>28</v>
      </c>
      <c r="E327" s="13">
        <v>1560.0</v>
      </c>
      <c r="F327" s="13">
        <v>390.0</v>
      </c>
      <c r="G327" s="15">
        <v>4307.0</v>
      </c>
      <c r="H327" s="15" t="s">
        <v>38</v>
      </c>
      <c r="I327" s="15" t="s">
        <v>43</v>
      </c>
      <c r="J327" s="15" t="s">
        <v>2749</v>
      </c>
      <c r="K327" s="15" t="s">
        <v>2764</v>
      </c>
      <c r="L327" s="15" t="s">
        <v>2744</v>
      </c>
    </row>
    <row r="328" ht="56.25" customHeight="1">
      <c r="A328" s="23" t="s">
        <v>3374</v>
      </c>
      <c r="B328" s="15" t="str">
        <f>image("https://storage.googleapis.com/acdb/bottoms/BottomsTexSkirtBoxFringe4.png")</f>
        <v/>
      </c>
      <c r="C328" s="15"/>
      <c r="D328" s="25" t="s">
        <v>28</v>
      </c>
      <c r="E328" s="13">
        <v>1560.0</v>
      </c>
      <c r="F328" s="13">
        <v>390.0</v>
      </c>
      <c r="G328" s="15">
        <v>4307.0</v>
      </c>
      <c r="H328" s="15" t="s">
        <v>38</v>
      </c>
      <c r="I328" s="15" t="s">
        <v>43</v>
      </c>
      <c r="J328" s="15" t="s">
        <v>2749</v>
      </c>
      <c r="K328" s="15" t="s">
        <v>2764</v>
      </c>
      <c r="L328" s="15" t="s">
        <v>2744</v>
      </c>
    </row>
    <row r="329" ht="56.25" customHeight="1">
      <c r="A329" s="23" t="s">
        <v>3374</v>
      </c>
      <c r="B329" s="15" t="str">
        <f>image("https://storage.googleapis.com/acdb/bottoms/BottomsTexSkirtBoxFringe5.png")</f>
        <v/>
      </c>
      <c r="C329" s="15"/>
      <c r="D329" s="25" t="s">
        <v>28</v>
      </c>
      <c r="E329" s="13">
        <v>1560.0</v>
      </c>
      <c r="F329" s="13">
        <v>390.0</v>
      </c>
      <c r="G329" s="15">
        <v>4307.0</v>
      </c>
      <c r="H329" s="15" t="s">
        <v>38</v>
      </c>
      <c r="I329" s="15" t="s">
        <v>43</v>
      </c>
      <c r="J329" s="15" t="s">
        <v>2749</v>
      </c>
      <c r="K329" s="15" t="s">
        <v>2764</v>
      </c>
      <c r="L329" s="15" t="s">
        <v>2744</v>
      </c>
    </row>
    <row r="330" ht="56.25" customHeight="1">
      <c r="A330" s="23" t="s">
        <v>3374</v>
      </c>
      <c r="B330" s="15" t="str">
        <f>image("https://storage.googleapis.com/acdb/bottoms/BottomsTexSkirtBoxFringe6.png")</f>
        <v/>
      </c>
      <c r="C330" s="15"/>
      <c r="D330" s="25" t="s">
        <v>28</v>
      </c>
      <c r="E330" s="13">
        <v>1560.0</v>
      </c>
      <c r="F330" s="13">
        <v>390.0</v>
      </c>
      <c r="G330" s="15">
        <v>4307.0</v>
      </c>
      <c r="H330" s="15" t="s">
        <v>38</v>
      </c>
      <c r="I330" s="15" t="s">
        <v>43</v>
      </c>
      <c r="J330" s="15" t="s">
        <v>2749</v>
      </c>
      <c r="K330" s="15" t="s">
        <v>2764</v>
      </c>
      <c r="L330" s="15" t="s">
        <v>2744</v>
      </c>
    </row>
    <row r="331" ht="56.25" customHeight="1">
      <c r="A331" s="23" t="s">
        <v>3381</v>
      </c>
      <c r="B331" s="15" t="str">
        <f>image("https://storage.googleapis.com/acdb/bottoms/BottomsTexPantsWideGaucho0.png")</f>
        <v/>
      </c>
      <c r="C331" s="15"/>
      <c r="D331" s="25" t="s">
        <v>28</v>
      </c>
      <c r="E331" s="13">
        <v>880.0</v>
      </c>
      <c r="F331" s="13">
        <v>220.0</v>
      </c>
      <c r="G331" s="15">
        <v>4299.0</v>
      </c>
      <c r="H331" s="15" t="s">
        <v>38</v>
      </c>
      <c r="I331" s="15" t="s">
        <v>43</v>
      </c>
      <c r="J331" s="15" t="s">
        <v>2749</v>
      </c>
      <c r="K331" s="15" t="s">
        <v>2764</v>
      </c>
      <c r="L331" s="15" t="s">
        <v>2744</v>
      </c>
    </row>
    <row r="332" ht="56.25" customHeight="1">
      <c r="A332" s="23" t="s">
        <v>3381</v>
      </c>
      <c r="B332" s="15" t="str">
        <f>image("https://storage.googleapis.com/acdb/bottoms/BottomsTexPantsWideGaucho1.png")</f>
        <v/>
      </c>
      <c r="C332" s="15"/>
      <c r="D332" s="25" t="s">
        <v>28</v>
      </c>
      <c r="E332" s="13">
        <v>880.0</v>
      </c>
      <c r="F332" s="13">
        <v>220.0</v>
      </c>
      <c r="G332" s="15">
        <v>4299.0</v>
      </c>
      <c r="H332" s="15" t="s">
        <v>38</v>
      </c>
      <c r="I332" s="15" t="s">
        <v>43</v>
      </c>
      <c r="J332" s="15" t="s">
        <v>2749</v>
      </c>
      <c r="K332" s="15" t="s">
        <v>2764</v>
      </c>
      <c r="L332" s="15" t="s">
        <v>2744</v>
      </c>
    </row>
    <row r="333" ht="56.25" customHeight="1">
      <c r="A333" s="23" t="s">
        <v>3381</v>
      </c>
      <c r="B333" s="15" t="str">
        <f>image("https://storage.googleapis.com/acdb/bottoms/BottomsTexPantsWideGaucho2.png")</f>
        <v/>
      </c>
      <c r="C333" s="15"/>
      <c r="D333" s="25" t="s">
        <v>28</v>
      </c>
      <c r="E333" s="13">
        <v>880.0</v>
      </c>
      <c r="F333" s="13">
        <v>220.0</v>
      </c>
      <c r="G333" s="15">
        <v>4299.0</v>
      </c>
      <c r="H333" s="15" t="s">
        <v>38</v>
      </c>
      <c r="I333" s="15" t="s">
        <v>43</v>
      </c>
      <c r="J333" s="15" t="s">
        <v>2749</v>
      </c>
      <c r="K333" s="15" t="s">
        <v>2764</v>
      </c>
      <c r="L333" s="15" t="s">
        <v>2744</v>
      </c>
    </row>
    <row r="334" ht="56.25" customHeight="1">
      <c r="A334" s="23" t="s">
        <v>3381</v>
      </c>
      <c r="B334" s="15" t="str">
        <f>image("https://storage.googleapis.com/acdb/bottoms/BottomsTexPantsWideGaucho3.png")</f>
        <v/>
      </c>
      <c r="C334" s="15"/>
      <c r="D334" s="25" t="s">
        <v>28</v>
      </c>
      <c r="E334" s="13">
        <v>880.0</v>
      </c>
      <c r="F334" s="13">
        <v>220.0</v>
      </c>
      <c r="G334" s="15">
        <v>4299.0</v>
      </c>
      <c r="H334" s="15" t="s">
        <v>38</v>
      </c>
      <c r="I334" s="15" t="s">
        <v>43</v>
      </c>
      <c r="J334" s="15" t="s">
        <v>2749</v>
      </c>
      <c r="K334" s="15" t="s">
        <v>2764</v>
      </c>
      <c r="L334" s="15" t="s">
        <v>2744</v>
      </c>
    </row>
    <row r="335" ht="56.25" customHeight="1">
      <c r="A335" s="23" t="s">
        <v>3381</v>
      </c>
      <c r="B335" s="15" t="str">
        <f>image("https://storage.googleapis.com/acdb/bottoms/BottomsTexPantsWideGaucho4.png")</f>
        <v/>
      </c>
      <c r="C335" s="15"/>
      <c r="D335" s="25" t="s">
        <v>28</v>
      </c>
      <c r="E335" s="13">
        <v>880.0</v>
      </c>
      <c r="F335" s="13">
        <v>220.0</v>
      </c>
      <c r="G335" s="15">
        <v>4299.0</v>
      </c>
      <c r="H335" s="15" t="s">
        <v>38</v>
      </c>
      <c r="I335" s="15" t="s">
        <v>43</v>
      </c>
      <c r="J335" s="15" t="s">
        <v>2749</v>
      </c>
      <c r="K335" s="15" t="s">
        <v>2764</v>
      </c>
      <c r="L335" s="15" t="s">
        <v>2744</v>
      </c>
    </row>
    <row r="336" ht="56.25" customHeight="1">
      <c r="A336" s="23" t="s">
        <v>3385</v>
      </c>
      <c r="B336" s="15" t="str">
        <f>image("https://storage.googleapis.com/acdb/bottoms/BottomsTexPantsNormalChimayo0.png")</f>
        <v/>
      </c>
      <c r="C336" s="15"/>
      <c r="D336" s="25" t="s">
        <v>28</v>
      </c>
      <c r="E336" s="13">
        <v>1040.0</v>
      </c>
      <c r="F336" s="13">
        <v>260.0</v>
      </c>
      <c r="G336" s="15">
        <v>5795.0</v>
      </c>
      <c r="H336" s="15" t="s">
        <v>38</v>
      </c>
      <c r="I336" s="15" t="s">
        <v>43</v>
      </c>
      <c r="J336" s="15" t="s">
        <v>2749</v>
      </c>
      <c r="K336" s="15" t="s">
        <v>2764</v>
      </c>
      <c r="L336" s="15" t="s">
        <v>2744</v>
      </c>
    </row>
    <row r="337" ht="56.25" customHeight="1">
      <c r="A337" s="23" t="s">
        <v>3385</v>
      </c>
      <c r="B337" s="15" t="str">
        <f>image("https://storage.googleapis.com/acdb/bottoms/BottomsTexPantsNormalChimayo1.png")</f>
        <v/>
      </c>
      <c r="C337" s="15"/>
      <c r="D337" s="25" t="s">
        <v>28</v>
      </c>
      <c r="E337" s="13">
        <v>1040.0</v>
      </c>
      <c r="F337" s="13">
        <v>260.0</v>
      </c>
      <c r="G337" s="15">
        <v>5795.0</v>
      </c>
      <c r="H337" s="15" t="s">
        <v>38</v>
      </c>
      <c r="I337" s="15" t="s">
        <v>43</v>
      </c>
      <c r="J337" s="15" t="s">
        <v>2749</v>
      </c>
      <c r="K337" s="15" t="s">
        <v>2764</v>
      </c>
      <c r="L337" s="15" t="s">
        <v>2744</v>
      </c>
    </row>
    <row r="338" ht="56.25" customHeight="1">
      <c r="A338" s="23" t="s">
        <v>3385</v>
      </c>
      <c r="B338" s="15" t="str">
        <f>image("https://storage.googleapis.com/acdb/bottoms/BottomsTexPantsNormalChimayo2.png")</f>
        <v/>
      </c>
      <c r="C338" s="15"/>
      <c r="D338" s="25" t="s">
        <v>28</v>
      </c>
      <c r="E338" s="13">
        <v>1040.0</v>
      </c>
      <c r="F338" s="13">
        <v>260.0</v>
      </c>
      <c r="G338" s="15">
        <v>5795.0</v>
      </c>
      <c r="H338" s="15" t="s">
        <v>38</v>
      </c>
      <c r="I338" s="15" t="s">
        <v>43</v>
      </c>
      <c r="J338" s="15" t="s">
        <v>2749</v>
      </c>
      <c r="K338" s="15" t="s">
        <v>2764</v>
      </c>
      <c r="L338" s="15" t="s">
        <v>2744</v>
      </c>
    </row>
    <row r="339" ht="56.25" customHeight="1">
      <c r="A339" s="23" t="s">
        <v>3385</v>
      </c>
      <c r="B339" s="15" t="str">
        <f>image("https://storage.googleapis.com/acdb/bottoms/BottomsTexPantsNormalChimayo3.png")</f>
        <v/>
      </c>
      <c r="C339" s="15"/>
      <c r="D339" s="25" t="s">
        <v>28</v>
      </c>
      <c r="E339" s="13">
        <v>1040.0</v>
      </c>
      <c r="F339" s="13">
        <v>260.0</v>
      </c>
      <c r="G339" s="15">
        <v>5795.0</v>
      </c>
      <c r="H339" s="15" t="s">
        <v>38</v>
      </c>
      <c r="I339" s="15" t="s">
        <v>43</v>
      </c>
      <c r="J339" s="15" t="s">
        <v>2749</v>
      </c>
      <c r="K339" s="15" t="s">
        <v>2764</v>
      </c>
      <c r="L339" s="15" t="s">
        <v>2744</v>
      </c>
    </row>
    <row r="340" ht="56.25" customHeight="1">
      <c r="A340" s="23" t="s">
        <v>3385</v>
      </c>
      <c r="B340" s="15" t="str">
        <f>image("https://storage.googleapis.com/acdb/bottoms/BottomsTexPantsNormalChimayo4.png")</f>
        <v/>
      </c>
      <c r="C340" s="15"/>
      <c r="D340" s="25" t="s">
        <v>28</v>
      </c>
      <c r="E340" s="13">
        <v>1040.0</v>
      </c>
      <c r="F340" s="13">
        <v>260.0</v>
      </c>
      <c r="G340" s="15">
        <v>5795.0</v>
      </c>
      <c r="H340" s="15" t="s">
        <v>38</v>
      </c>
      <c r="I340" s="15" t="s">
        <v>43</v>
      </c>
      <c r="J340" s="15" t="s">
        <v>2749</v>
      </c>
      <c r="K340" s="15" t="s">
        <v>2764</v>
      </c>
      <c r="L340" s="15" t="s">
        <v>2744</v>
      </c>
    </row>
    <row r="341" ht="56.25" customHeight="1">
      <c r="A341" s="23" t="s">
        <v>3391</v>
      </c>
      <c r="B341" s="15" t="str">
        <f>image("https://storage.googleapis.com/acdb/bottoms/BottomsTexSkirtAlineGingham0.png")</f>
        <v/>
      </c>
      <c r="C341" s="15"/>
      <c r="D341" s="25" t="s">
        <v>28</v>
      </c>
      <c r="E341" s="13">
        <v>880.0</v>
      </c>
      <c r="F341" s="13">
        <v>220.0</v>
      </c>
      <c r="G341" s="15">
        <v>3319.0</v>
      </c>
      <c r="H341" s="15" t="s">
        <v>38</v>
      </c>
      <c r="I341" s="15" t="s">
        <v>43</v>
      </c>
      <c r="J341" s="15" t="s">
        <v>2749</v>
      </c>
      <c r="K341" s="15" t="s">
        <v>2764</v>
      </c>
      <c r="L341" s="15" t="s">
        <v>2744</v>
      </c>
    </row>
    <row r="342" ht="56.25" customHeight="1">
      <c r="A342" s="23" t="s">
        <v>3391</v>
      </c>
      <c r="B342" s="15" t="str">
        <f>image("https://storage.googleapis.com/acdb/bottoms/BottomsTexSkirtAlineGingham1.png")</f>
        <v/>
      </c>
      <c r="C342" s="15"/>
      <c r="D342" s="25" t="s">
        <v>28</v>
      </c>
      <c r="E342" s="13">
        <v>880.0</v>
      </c>
      <c r="F342" s="13">
        <v>220.0</v>
      </c>
      <c r="G342" s="15">
        <v>3319.0</v>
      </c>
      <c r="H342" s="15" t="s">
        <v>38</v>
      </c>
      <c r="I342" s="15" t="s">
        <v>43</v>
      </c>
      <c r="J342" s="15" t="s">
        <v>2749</v>
      </c>
      <c r="K342" s="15" t="s">
        <v>2764</v>
      </c>
      <c r="L342" s="15" t="s">
        <v>2744</v>
      </c>
    </row>
    <row r="343" ht="56.25" customHeight="1">
      <c r="A343" s="23" t="s">
        <v>3391</v>
      </c>
      <c r="B343" s="15" t="str">
        <f>image("https://storage.googleapis.com/acdb/bottoms/BottomsTexSkirtAlineGingham2.png")</f>
        <v/>
      </c>
      <c r="C343" s="15"/>
      <c r="D343" s="25" t="s">
        <v>28</v>
      </c>
      <c r="E343" s="13">
        <v>880.0</v>
      </c>
      <c r="F343" s="13">
        <v>220.0</v>
      </c>
      <c r="G343" s="15">
        <v>3319.0</v>
      </c>
      <c r="H343" s="15" t="s">
        <v>38</v>
      </c>
      <c r="I343" s="15" t="s">
        <v>43</v>
      </c>
      <c r="J343" s="15" t="s">
        <v>2749</v>
      </c>
      <c r="K343" s="15" t="s">
        <v>2764</v>
      </c>
      <c r="L343" s="15" t="s">
        <v>2744</v>
      </c>
    </row>
    <row r="344" ht="56.25" customHeight="1">
      <c r="A344" s="23" t="s">
        <v>3391</v>
      </c>
      <c r="B344" s="15" t="str">
        <f>image("https://storage.googleapis.com/acdb/bottoms/BottomsTexSkirtAlineGingham3.png")</f>
        <v/>
      </c>
      <c r="C344" s="15"/>
      <c r="D344" s="25" t="s">
        <v>28</v>
      </c>
      <c r="E344" s="13">
        <v>880.0</v>
      </c>
      <c r="F344" s="13">
        <v>220.0</v>
      </c>
      <c r="G344" s="15">
        <v>3319.0</v>
      </c>
      <c r="H344" s="15" t="s">
        <v>38</v>
      </c>
      <c r="I344" s="15" t="s">
        <v>43</v>
      </c>
      <c r="J344" s="15" t="s">
        <v>2749</v>
      </c>
      <c r="K344" s="15" t="s">
        <v>2764</v>
      </c>
      <c r="L344" s="15" t="s">
        <v>2744</v>
      </c>
    </row>
    <row r="345" ht="56.25" customHeight="1">
      <c r="A345" s="23" t="s">
        <v>3391</v>
      </c>
      <c r="B345" s="15" t="str">
        <f>image("https://storage.googleapis.com/acdb/bottoms/BottomsTexSkirtAlineGingham4.png")</f>
        <v/>
      </c>
      <c r="C345" s="15"/>
      <c r="D345" s="25" t="s">
        <v>28</v>
      </c>
      <c r="E345" s="13">
        <v>880.0</v>
      </c>
      <c r="F345" s="13">
        <v>220.0</v>
      </c>
      <c r="G345" s="15">
        <v>3319.0</v>
      </c>
      <c r="H345" s="15" t="s">
        <v>38</v>
      </c>
      <c r="I345" s="15" t="s">
        <v>43</v>
      </c>
      <c r="J345" s="15" t="s">
        <v>2749</v>
      </c>
      <c r="K345" s="15" t="s">
        <v>2764</v>
      </c>
      <c r="L345" s="15" t="s">
        <v>2744</v>
      </c>
    </row>
    <row r="346" ht="56.25" customHeight="1">
      <c r="A346" s="23" t="s">
        <v>3391</v>
      </c>
      <c r="B346" s="15" t="str">
        <f>image("https://storage.googleapis.com/acdb/bottoms/BottomsTexSkirtAlineGingham5.png")</f>
        <v/>
      </c>
      <c r="C346" s="15"/>
      <c r="D346" s="25" t="s">
        <v>28</v>
      </c>
      <c r="E346" s="13">
        <v>880.0</v>
      </c>
      <c r="F346" s="13">
        <v>220.0</v>
      </c>
      <c r="G346" s="15">
        <v>3319.0</v>
      </c>
      <c r="H346" s="15" t="s">
        <v>38</v>
      </c>
      <c r="I346" s="15" t="s">
        <v>43</v>
      </c>
      <c r="J346" s="15" t="s">
        <v>2749</v>
      </c>
      <c r="K346" s="15" t="s">
        <v>2764</v>
      </c>
      <c r="L346" s="15" t="s">
        <v>2744</v>
      </c>
    </row>
    <row r="347" ht="56.25" customHeight="1">
      <c r="A347" s="23" t="s">
        <v>3391</v>
      </c>
      <c r="B347" s="15" t="str">
        <f>image("https://storage.googleapis.com/acdb/bottoms/BottomsTexSkirtAlineGingham6.png")</f>
        <v/>
      </c>
      <c r="C347" s="15"/>
      <c r="D347" s="25" t="s">
        <v>28</v>
      </c>
      <c r="E347" s="13">
        <v>880.0</v>
      </c>
      <c r="F347" s="13">
        <v>220.0</v>
      </c>
      <c r="G347" s="15">
        <v>3319.0</v>
      </c>
      <c r="H347" s="15" t="s">
        <v>38</v>
      </c>
      <c r="I347" s="15" t="s">
        <v>43</v>
      </c>
      <c r="J347" s="15" t="s">
        <v>2749</v>
      </c>
      <c r="K347" s="15" t="s">
        <v>2764</v>
      </c>
      <c r="L347" s="15" t="s">
        <v>2744</v>
      </c>
    </row>
    <row r="348" ht="56.25" customHeight="1">
      <c r="A348" s="23" t="s">
        <v>3391</v>
      </c>
      <c r="B348" s="15" t="str">
        <f>image("https://storage.googleapis.com/acdb/bottoms/BottomsTexSkirtAlineGingham7.png")</f>
        <v/>
      </c>
      <c r="C348" s="15"/>
      <c r="D348" s="25" t="s">
        <v>28</v>
      </c>
      <c r="E348" s="13">
        <v>880.0</v>
      </c>
      <c r="F348" s="13">
        <v>220.0</v>
      </c>
      <c r="G348" s="15">
        <v>3319.0</v>
      </c>
      <c r="H348" s="15" t="s">
        <v>38</v>
      </c>
      <c r="I348" s="15" t="s">
        <v>43</v>
      </c>
      <c r="J348" s="15" t="s">
        <v>2749</v>
      </c>
      <c r="K348" s="15" t="s">
        <v>2764</v>
      </c>
      <c r="L348" s="15" t="s">
        <v>2744</v>
      </c>
    </row>
    <row r="349" ht="56.25" customHeight="1">
      <c r="A349" s="23" t="s">
        <v>3397</v>
      </c>
      <c r="B349" s="15" t="str">
        <f>image("https://storage.googleapis.com/acdb/bottoms/BottomsTexPantsHalfGobelins0.png")</f>
        <v/>
      </c>
      <c r="C349" s="15"/>
      <c r="D349" s="25" t="s">
        <v>28</v>
      </c>
      <c r="E349" s="13">
        <v>840.0</v>
      </c>
      <c r="F349" s="13">
        <v>210.0</v>
      </c>
      <c r="G349" s="15">
        <v>5734.0</v>
      </c>
      <c r="H349" s="15" t="s">
        <v>38</v>
      </c>
      <c r="I349" s="15" t="s">
        <v>43</v>
      </c>
      <c r="J349" s="15" t="s">
        <v>2749</v>
      </c>
      <c r="K349" s="15" t="s">
        <v>2751</v>
      </c>
      <c r="L349" s="15" t="s">
        <v>2863</v>
      </c>
    </row>
    <row r="350" ht="56.25" customHeight="1">
      <c r="A350" s="23" t="s">
        <v>3397</v>
      </c>
      <c r="B350" s="15" t="str">
        <f>image("https://storage.googleapis.com/acdb/bottoms/BottomsTexPantsHalfGobelins1.png")</f>
        <v/>
      </c>
      <c r="C350" s="15"/>
      <c r="D350" s="25" t="s">
        <v>28</v>
      </c>
      <c r="E350" s="13">
        <v>840.0</v>
      </c>
      <c r="F350" s="13">
        <v>210.0</v>
      </c>
      <c r="G350" s="15">
        <v>5734.0</v>
      </c>
      <c r="H350" s="15" t="s">
        <v>38</v>
      </c>
      <c r="I350" s="15" t="s">
        <v>43</v>
      </c>
      <c r="J350" s="15" t="s">
        <v>2749</v>
      </c>
      <c r="K350" s="15" t="s">
        <v>2751</v>
      </c>
      <c r="L350" s="15" t="s">
        <v>2863</v>
      </c>
    </row>
    <row r="351" ht="56.25" customHeight="1">
      <c r="A351" s="23" t="s">
        <v>3399</v>
      </c>
      <c r="B351" s="15" t="str">
        <f>image("https://storage.googleapis.com/acdb/bottoms/BottomsTexSkirtBoxGrass0.png")</f>
        <v/>
      </c>
      <c r="C351" s="15"/>
      <c r="D351" s="25" t="s">
        <v>50</v>
      </c>
      <c r="E351" s="24" t="s">
        <v>51</v>
      </c>
      <c r="F351" s="13">
        <v>140.0</v>
      </c>
      <c r="G351" s="15">
        <v>4333.0</v>
      </c>
      <c r="H351" s="15" t="s">
        <v>38</v>
      </c>
      <c r="I351" s="15" t="s">
        <v>54</v>
      </c>
      <c r="J351" s="15" t="s">
        <v>55</v>
      </c>
      <c r="K351" s="15"/>
      <c r="L351" s="15" t="s">
        <v>2793</v>
      </c>
    </row>
    <row r="352" ht="56.25" customHeight="1">
      <c r="A352" s="23" t="s">
        <v>3402</v>
      </c>
      <c r="B352" s="15" t="str">
        <f>image("https://storage.googleapis.com/acdb/bottoms/BottomsTexSkirtBoxGrass1.png")</f>
        <v/>
      </c>
      <c r="C352" s="15"/>
      <c r="D352" s="25" t="s">
        <v>50</v>
      </c>
      <c r="E352" s="24" t="s">
        <v>51</v>
      </c>
      <c r="F352" s="13">
        <v>140.0</v>
      </c>
      <c r="G352" s="15">
        <v>8907.0</v>
      </c>
      <c r="H352" s="15" t="s">
        <v>38</v>
      </c>
      <c r="I352" s="15" t="s">
        <v>54</v>
      </c>
      <c r="J352" s="15" t="s">
        <v>55</v>
      </c>
      <c r="K352" s="15"/>
      <c r="L352" s="15" t="s">
        <v>2793</v>
      </c>
    </row>
    <row r="353" ht="56.25" customHeight="1">
      <c r="A353" s="23" t="s">
        <v>3403</v>
      </c>
      <c r="B353" s="15" t="str">
        <f>image("https://storage.googleapis.com/acdb/bottoms/BottomsTexPantsWideHickory0.png")</f>
        <v/>
      </c>
      <c r="C353" s="15"/>
      <c r="D353" s="25" t="s">
        <v>28</v>
      </c>
      <c r="E353" s="13">
        <v>1560.0</v>
      </c>
      <c r="F353" s="13">
        <v>390.0</v>
      </c>
      <c r="G353" s="15">
        <v>4254.0</v>
      </c>
      <c r="H353" s="15" t="s">
        <v>38</v>
      </c>
      <c r="I353" s="15" t="s">
        <v>43</v>
      </c>
      <c r="J353" s="15" t="s">
        <v>2749</v>
      </c>
      <c r="K353" s="15" t="s">
        <v>2751</v>
      </c>
      <c r="L353" s="15" t="s">
        <v>2744</v>
      </c>
    </row>
    <row r="354" ht="56.25" customHeight="1">
      <c r="A354" s="23" t="s">
        <v>3403</v>
      </c>
      <c r="B354" s="15" t="str">
        <f>image("https://storage.googleapis.com/acdb/bottoms/BottomsTexPantsWideHickory1.png")</f>
        <v/>
      </c>
      <c r="C354" s="15"/>
      <c r="D354" s="25" t="s">
        <v>28</v>
      </c>
      <c r="E354" s="13">
        <v>1560.0</v>
      </c>
      <c r="F354" s="13">
        <v>390.0</v>
      </c>
      <c r="G354" s="15">
        <v>4254.0</v>
      </c>
      <c r="H354" s="15" t="s">
        <v>38</v>
      </c>
      <c r="I354" s="15" t="s">
        <v>43</v>
      </c>
      <c r="J354" s="15" t="s">
        <v>2749</v>
      </c>
      <c r="K354" s="15" t="s">
        <v>2751</v>
      </c>
      <c r="L354" s="15" t="s">
        <v>2744</v>
      </c>
    </row>
    <row r="355" ht="56.25" customHeight="1">
      <c r="A355" s="23" t="s">
        <v>3405</v>
      </c>
      <c r="B355" s="15" t="str">
        <f>image("https://storage.googleapis.com/acdb/bottoms/BottomsTexPantsHotRunning0.png")</f>
        <v/>
      </c>
      <c r="C355" s="15"/>
      <c r="D355" s="25" t="s">
        <v>28</v>
      </c>
      <c r="E355" s="13">
        <v>700.0</v>
      </c>
      <c r="F355" s="13">
        <v>175.0</v>
      </c>
      <c r="G355" s="15">
        <v>4195.0</v>
      </c>
      <c r="H355" s="15" t="s">
        <v>38</v>
      </c>
      <c r="I355" s="15" t="s">
        <v>43</v>
      </c>
      <c r="J355" s="15" t="s">
        <v>2749</v>
      </c>
      <c r="K355" s="15" t="s">
        <v>2764</v>
      </c>
      <c r="L355" s="15" t="s">
        <v>2793</v>
      </c>
    </row>
    <row r="356" ht="56.25" customHeight="1">
      <c r="A356" s="23" t="s">
        <v>3405</v>
      </c>
      <c r="B356" s="15" t="str">
        <f>image("https://storage.googleapis.com/acdb/bottoms/BottomsTexPantsHotRunning1.png")</f>
        <v/>
      </c>
      <c r="C356" s="15"/>
      <c r="D356" s="25" t="s">
        <v>28</v>
      </c>
      <c r="E356" s="13">
        <v>700.0</v>
      </c>
      <c r="F356" s="13">
        <v>175.0</v>
      </c>
      <c r="G356" s="15">
        <v>4195.0</v>
      </c>
      <c r="H356" s="15" t="s">
        <v>38</v>
      </c>
      <c r="I356" s="15" t="s">
        <v>43</v>
      </c>
      <c r="J356" s="15" t="s">
        <v>2749</v>
      </c>
      <c r="K356" s="15" t="s">
        <v>2764</v>
      </c>
      <c r="L356" s="15" t="s">
        <v>2793</v>
      </c>
    </row>
    <row r="357" ht="56.25" customHeight="1">
      <c r="A357" s="23" t="s">
        <v>3405</v>
      </c>
      <c r="B357" s="15" t="str">
        <f>image("https://storage.googleapis.com/acdb/bottoms/BottomsTexPantsHotRunning2.png")</f>
        <v/>
      </c>
      <c r="C357" s="15"/>
      <c r="D357" s="25" t="s">
        <v>28</v>
      </c>
      <c r="E357" s="13">
        <v>700.0</v>
      </c>
      <c r="F357" s="13">
        <v>175.0</v>
      </c>
      <c r="G357" s="15">
        <v>4195.0</v>
      </c>
      <c r="H357" s="15" t="s">
        <v>38</v>
      </c>
      <c r="I357" s="15" t="s">
        <v>43</v>
      </c>
      <c r="J357" s="15" t="s">
        <v>2749</v>
      </c>
      <c r="K357" s="15" t="s">
        <v>2764</v>
      </c>
      <c r="L357" s="15" t="s">
        <v>2793</v>
      </c>
    </row>
    <row r="358" ht="56.25" customHeight="1">
      <c r="A358" s="23" t="s">
        <v>3405</v>
      </c>
      <c r="B358" s="15" t="str">
        <f>image("https://storage.googleapis.com/acdb/bottoms/BottomsTexPantsHotRunning3.png")</f>
        <v/>
      </c>
      <c r="C358" s="15"/>
      <c r="D358" s="25" t="s">
        <v>28</v>
      </c>
      <c r="E358" s="13">
        <v>700.0</v>
      </c>
      <c r="F358" s="13">
        <v>175.0</v>
      </c>
      <c r="G358" s="15">
        <v>4195.0</v>
      </c>
      <c r="H358" s="15" t="s">
        <v>38</v>
      </c>
      <c r="I358" s="15" t="s">
        <v>43</v>
      </c>
      <c r="J358" s="15" t="s">
        <v>2749</v>
      </c>
      <c r="K358" s="15" t="s">
        <v>2764</v>
      </c>
      <c r="L358" s="15" t="s">
        <v>2793</v>
      </c>
    </row>
    <row r="359" ht="56.25" customHeight="1">
      <c r="A359" s="23" t="s">
        <v>3405</v>
      </c>
      <c r="B359" s="15" t="str">
        <f>image("https://storage.googleapis.com/acdb/bottoms/BottomsTexPantsHotRunning4.png")</f>
        <v/>
      </c>
      <c r="C359" s="15"/>
      <c r="D359" s="25" t="s">
        <v>28</v>
      </c>
      <c r="E359" s="13">
        <v>700.0</v>
      </c>
      <c r="F359" s="13">
        <v>175.0</v>
      </c>
      <c r="G359" s="15">
        <v>4195.0</v>
      </c>
      <c r="H359" s="15" t="s">
        <v>38</v>
      </c>
      <c r="I359" s="15" t="s">
        <v>43</v>
      </c>
      <c r="J359" s="15" t="s">
        <v>2749</v>
      </c>
      <c r="K359" s="15" t="s">
        <v>2764</v>
      </c>
      <c r="L359" s="15" t="s">
        <v>2793</v>
      </c>
    </row>
    <row r="360" ht="56.25" customHeight="1">
      <c r="A360" s="23" t="s">
        <v>3405</v>
      </c>
      <c r="B360" s="15" t="str">
        <f>image("https://storage.googleapis.com/acdb/bottoms/BottomsTexPantsHotRunning5.png")</f>
        <v/>
      </c>
      <c r="C360" s="15"/>
      <c r="D360" s="25" t="s">
        <v>28</v>
      </c>
      <c r="E360" s="13">
        <v>700.0</v>
      </c>
      <c r="F360" s="13">
        <v>175.0</v>
      </c>
      <c r="G360" s="15">
        <v>4195.0</v>
      </c>
      <c r="H360" s="15" t="s">
        <v>38</v>
      </c>
      <c r="I360" s="15" t="s">
        <v>43</v>
      </c>
      <c r="J360" s="15" t="s">
        <v>2749</v>
      </c>
      <c r="K360" s="15" t="s">
        <v>2764</v>
      </c>
      <c r="L360" s="15" t="s">
        <v>2793</v>
      </c>
    </row>
    <row r="361" ht="56.25" customHeight="1">
      <c r="A361" s="23" t="s">
        <v>3405</v>
      </c>
      <c r="B361" s="15" t="str">
        <f>image("https://storage.googleapis.com/acdb/bottoms/BottomsTexPantsHotRunning6.png")</f>
        <v/>
      </c>
      <c r="C361" s="15"/>
      <c r="D361" s="25" t="s">
        <v>28</v>
      </c>
      <c r="E361" s="13">
        <v>700.0</v>
      </c>
      <c r="F361" s="13">
        <v>175.0</v>
      </c>
      <c r="G361" s="15">
        <v>4195.0</v>
      </c>
      <c r="H361" s="15" t="s">
        <v>38</v>
      </c>
      <c r="I361" s="15" t="s">
        <v>43</v>
      </c>
      <c r="J361" s="15" t="s">
        <v>2749</v>
      </c>
      <c r="K361" s="15" t="s">
        <v>2764</v>
      </c>
      <c r="L361" s="15" t="s">
        <v>2793</v>
      </c>
    </row>
    <row r="362" ht="56.25" customHeight="1">
      <c r="A362" s="23" t="s">
        <v>3405</v>
      </c>
      <c r="B362" s="15" t="str">
        <f>image("https://storage.googleapis.com/acdb/bottoms/BottomsTexPantsHotRunning7.png")</f>
        <v/>
      </c>
      <c r="C362" s="15"/>
      <c r="D362" s="25" t="s">
        <v>28</v>
      </c>
      <c r="E362" s="13">
        <v>700.0</v>
      </c>
      <c r="F362" s="13">
        <v>175.0</v>
      </c>
      <c r="G362" s="15">
        <v>4195.0</v>
      </c>
      <c r="H362" s="15" t="s">
        <v>38</v>
      </c>
      <c r="I362" s="15" t="s">
        <v>43</v>
      </c>
      <c r="J362" s="15" t="s">
        <v>2749</v>
      </c>
      <c r="K362" s="15" t="s">
        <v>2764</v>
      </c>
      <c r="L362" s="15" t="s">
        <v>2793</v>
      </c>
    </row>
    <row r="363" ht="56.25" customHeight="1">
      <c r="A363" s="23" t="s">
        <v>3411</v>
      </c>
      <c r="B363" s="15" t="str">
        <f>image("https://storage.googleapis.com/acdb/bottoms/BottomsTexSkirtAlineKilt0.png")</f>
        <v/>
      </c>
      <c r="C363" s="15"/>
      <c r="D363" s="25" t="s">
        <v>28</v>
      </c>
      <c r="E363" s="13">
        <v>1000.0</v>
      </c>
      <c r="F363" s="13">
        <v>250.0</v>
      </c>
      <c r="G363" s="15">
        <v>3337.0</v>
      </c>
      <c r="H363" s="15" t="s">
        <v>38</v>
      </c>
      <c r="I363" s="15" t="s">
        <v>43</v>
      </c>
      <c r="J363" s="15" t="s">
        <v>2749</v>
      </c>
      <c r="K363" s="15" t="s">
        <v>2751</v>
      </c>
      <c r="L363" s="15" t="s">
        <v>2744</v>
      </c>
    </row>
    <row r="364" ht="56.25" customHeight="1">
      <c r="A364" s="23" t="s">
        <v>3411</v>
      </c>
      <c r="B364" s="15" t="str">
        <f>image("https://storage.googleapis.com/acdb/bottoms/BottomsTexSkirtAlineKilt1.png")</f>
        <v/>
      </c>
      <c r="C364" s="15"/>
      <c r="D364" s="25" t="s">
        <v>28</v>
      </c>
      <c r="E364" s="13">
        <v>1000.0</v>
      </c>
      <c r="F364" s="13">
        <v>250.0</v>
      </c>
      <c r="G364" s="15">
        <v>3337.0</v>
      </c>
      <c r="H364" s="15" t="s">
        <v>38</v>
      </c>
      <c r="I364" s="15" t="s">
        <v>43</v>
      </c>
      <c r="J364" s="15" t="s">
        <v>2749</v>
      </c>
      <c r="K364" s="15" t="s">
        <v>2751</v>
      </c>
      <c r="L364" s="15" t="s">
        <v>2744</v>
      </c>
    </row>
    <row r="365" ht="56.25" customHeight="1">
      <c r="A365" s="23" t="s">
        <v>3411</v>
      </c>
      <c r="B365" s="15" t="str">
        <f>image("https://storage.googleapis.com/acdb/bottoms/BottomsTexSkirtAlineKilt2.png")</f>
        <v/>
      </c>
      <c r="C365" s="15"/>
      <c r="D365" s="25" t="s">
        <v>28</v>
      </c>
      <c r="E365" s="13">
        <v>1000.0</v>
      </c>
      <c r="F365" s="13">
        <v>250.0</v>
      </c>
      <c r="G365" s="15">
        <v>3337.0</v>
      </c>
      <c r="H365" s="15" t="s">
        <v>38</v>
      </c>
      <c r="I365" s="15" t="s">
        <v>43</v>
      </c>
      <c r="J365" s="15" t="s">
        <v>2749</v>
      </c>
      <c r="K365" s="15" t="s">
        <v>2751</v>
      </c>
      <c r="L365" s="15" t="s">
        <v>2744</v>
      </c>
    </row>
    <row r="366" ht="56.25" customHeight="1">
      <c r="A366" s="23" t="s">
        <v>3411</v>
      </c>
      <c r="B366" s="15" t="str">
        <f>image("https://storage.googleapis.com/acdb/bottoms/BottomsTexSkirtAlineKilt3.png")</f>
        <v/>
      </c>
      <c r="C366" s="15"/>
      <c r="D366" s="25" t="s">
        <v>28</v>
      </c>
      <c r="E366" s="13">
        <v>1000.0</v>
      </c>
      <c r="F366" s="13">
        <v>250.0</v>
      </c>
      <c r="G366" s="15">
        <v>3337.0</v>
      </c>
      <c r="H366" s="15" t="s">
        <v>38</v>
      </c>
      <c r="I366" s="15" t="s">
        <v>43</v>
      </c>
      <c r="J366" s="15" t="s">
        <v>2749</v>
      </c>
      <c r="K366" s="15" t="s">
        <v>2751</v>
      </c>
      <c r="L366" s="15" t="s">
        <v>2744</v>
      </c>
    </row>
    <row r="367" ht="56.25" customHeight="1">
      <c r="A367" s="23" t="s">
        <v>3415</v>
      </c>
      <c r="B367" s="15" t="str">
        <f>image("https://storage.googleapis.com/acdb/bottoms/BottomsTexPantsNormalKnit0.png")</f>
        <v/>
      </c>
      <c r="C367" s="15"/>
      <c r="D367" s="25" t="s">
        <v>28</v>
      </c>
      <c r="E367" s="13">
        <v>910.0</v>
      </c>
      <c r="F367" s="13">
        <v>227.0</v>
      </c>
      <c r="G367" s="15">
        <v>5707.0</v>
      </c>
      <c r="H367" s="15" t="s">
        <v>38</v>
      </c>
      <c r="I367" s="15" t="s">
        <v>43</v>
      </c>
      <c r="J367" s="15" t="s">
        <v>2749</v>
      </c>
      <c r="K367" s="15" t="s">
        <v>2764</v>
      </c>
      <c r="L367" s="15" t="s">
        <v>2744</v>
      </c>
    </row>
    <row r="368" ht="56.25" customHeight="1">
      <c r="A368" s="23" t="s">
        <v>3415</v>
      </c>
      <c r="B368" s="15" t="str">
        <f>image("https://storage.googleapis.com/acdb/bottoms/BottomsTexPantsNormalKnit1.png")</f>
        <v/>
      </c>
      <c r="C368" s="15"/>
      <c r="D368" s="25" t="s">
        <v>28</v>
      </c>
      <c r="E368" s="13">
        <v>910.0</v>
      </c>
      <c r="F368" s="13">
        <v>227.0</v>
      </c>
      <c r="G368" s="15">
        <v>5707.0</v>
      </c>
      <c r="H368" s="15" t="s">
        <v>38</v>
      </c>
      <c r="I368" s="15" t="s">
        <v>43</v>
      </c>
      <c r="J368" s="15" t="s">
        <v>2749</v>
      </c>
      <c r="K368" s="15" t="s">
        <v>2764</v>
      </c>
      <c r="L368" s="15" t="s">
        <v>2744</v>
      </c>
    </row>
    <row r="369" ht="56.25" customHeight="1">
      <c r="A369" s="23" t="s">
        <v>3415</v>
      </c>
      <c r="B369" s="15" t="str">
        <f>image("https://storage.googleapis.com/acdb/bottoms/BottomsTexPantsNormalKnit2.png")</f>
        <v/>
      </c>
      <c r="C369" s="15"/>
      <c r="D369" s="25" t="s">
        <v>28</v>
      </c>
      <c r="E369" s="13">
        <v>910.0</v>
      </c>
      <c r="F369" s="13">
        <v>227.0</v>
      </c>
      <c r="G369" s="15">
        <v>5707.0</v>
      </c>
      <c r="H369" s="15" t="s">
        <v>38</v>
      </c>
      <c r="I369" s="15" t="s">
        <v>43</v>
      </c>
      <c r="J369" s="15" t="s">
        <v>2749</v>
      </c>
      <c r="K369" s="15" t="s">
        <v>2764</v>
      </c>
      <c r="L369" s="15" t="s">
        <v>2744</v>
      </c>
    </row>
    <row r="370" ht="56.25" customHeight="1">
      <c r="A370" s="23" t="s">
        <v>3415</v>
      </c>
      <c r="B370" s="15" t="str">
        <f>image("https://storage.googleapis.com/acdb/bottoms/BottomsTexPantsNormalKnit3.png")</f>
        <v/>
      </c>
      <c r="C370" s="15"/>
      <c r="D370" s="25" t="s">
        <v>28</v>
      </c>
      <c r="E370" s="13">
        <v>910.0</v>
      </c>
      <c r="F370" s="13">
        <v>227.0</v>
      </c>
      <c r="G370" s="15">
        <v>5707.0</v>
      </c>
      <c r="H370" s="15" t="s">
        <v>38</v>
      </c>
      <c r="I370" s="15" t="s">
        <v>43</v>
      </c>
      <c r="J370" s="15" t="s">
        <v>2749</v>
      </c>
      <c r="K370" s="15" t="s">
        <v>2764</v>
      </c>
      <c r="L370" s="15" t="s">
        <v>2744</v>
      </c>
    </row>
    <row r="371" ht="56.25" customHeight="1">
      <c r="A371" s="23" t="s">
        <v>3418</v>
      </c>
      <c r="B371" s="15" t="str">
        <f>image("https://storage.googleapis.com/acdb/bottoms/BottomsTexSkirtBoxAran0.png")</f>
        <v/>
      </c>
      <c r="C371" s="15"/>
      <c r="D371" s="25" t="s">
        <v>28</v>
      </c>
      <c r="E371" s="13">
        <v>910.0</v>
      </c>
      <c r="F371" s="13">
        <v>227.0</v>
      </c>
      <c r="G371" s="15">
        <v>5414.0</v>
      </c>
      <c r="H371" s="15" t="s">
        <v>38</v>
      </c>
      <c r="I371" s="15" t="s">
        <v>43</v>
      </c>
      <c r="J371" s="15" t="s">
        <v>2749</v>
      </c>
      <c r="K371" s="15" t="s">
        <v>2764</v>
      </c>
      <c r="L371" s="15" t="s">
        <v>2744</v>
      </c>
    </row>
    <row r="372" ht="56.25" customHeight="1">
      <c r="A372" s="23" t="s">
        <v>3418</v>
      </c>
      <c r="B372" s="15" t="str">
        <f>image("https://storage.googleapis.com/acdb/bottoms/BottomsTexSkirtBoxAran1.png")</f>
        <v/>
      </c>
      <c r="C372" s="15"/>
      <c r="D372" s="25" t="s">
        <v>28</v>
      </c>
      <c r="E372" s="13">
        <v>910.0</v>
      </c>
      <c r="F372" s="13">
        <v>227.0</v>
      </c>
      <c r="G372" s="15">
        <v>5414.0</v>
      </c>
      <c r="H372" s="15" t="s">
        <v>38</v>
      </c>
      <c r="I372" s="15" t="s">
        <v>43</v>
      </c>
      <c r="J372" s="15" t="s">
        <v>2749</v>
      </c>
      <c r="K372" s="15" t="s">
        <v>2764</v>
      </c>
      <c r="L372" s="15" t="s">
        <v>2744</v>
      </c>
    </row>
    <row r="373" ht="56.25" customHeight="1">
      <c r="A373" s="23" t="s">
        <v>3418</v>
      </c>
      <c r="B373" s="15" t="str">
        <f>image("https://storage.googleapis.com/acdb/bottoms/BottomsTexSkirtBoxAran2.png")</f>
        <v/>
      </c>
      <c r="C373" s="15"/>
      <c r="D373" s="25" t="s">
        <v>28</v>
      </c>
      <c r="E373" s="13">
        <v>910.0</v>
      </c>
      <c r="F373" s="13">
        <v>227.0</v>
      </c>
      <c r="G373" s="15">
        <v>5414.0</v>
      </c>
      <c r="H373" s="15" t="s">
        <v>38</v>
      </c>
      <c r="I373" s="15" t="s">
        <v>43</v>
      </c>
      <c r="J373" s="15" t="s">
        <v>2749</v>
      </c>
      <c r="K373" s="15" t="s">
        <v>2764</v>
      </c>
      <c r="L373" s="15" t="s">
        <v>2744</v>
      </c>
    </row>
    <row r="374" ht="56.25" customHeight="1">
      <c r="A374" s="23" t="s">
        <v>3418</v>
      </c>
      <c r="B374" s="15" t="str">
        <f>image("https://storage.googleapis.com/acdb/bottoms/BottomsTexSkirtBoxAran3.png")</f>
        <v/>
      </c>
      <c r="C374" s="15"/>
      <c r="D374" s="25" t="s">
        <v>28</v>
      </c>
      <c r="E374" s="13">
        <v>910.0</v>
      </c>
      <c r="F374" s="13">
        <v>227.0</v>
      </c>
      <c r="G374" s="15">
        <v>5414.0</v>
      </c>
      <c r="H374" s="15" t="s">
        <v>38</v>
      </c>
      <c r="I374" s="15" t="s">
        <v>43</v>
      </c>
      <c r="J374" s="15" t="s">
        <v>2749</v>
      </c>
      <c r="K374" s="15" t="s">
        <v>2764</v>
      </c>
      <c r="L374" s="15" t="s">
        <v>2744</v>
      </c>
    </row>
    <row r="375" ht="56.25" customHeight="1">
      <c r="A375" s="23" t="s">
        <v>3421</v>
      </c>
      <c r="B375" s="15" t="str">
        <f>image("https://storage.googleapis.com/acdb/bottoms/BottomsTexPantsWideKungfu0.png")</f>
        <v/>
      </c>
      <c r="C375" s="15"/>
      <c r="D375" s="25" t="s">
        <v>28</v>
      </c>
      <c r="E375" s="13">
        <v>1680.0</v>
      </c>
      <c r="F375" s="13">
        <v>420.0</v>
      </c>
      <c r="G375" s="15">
        <v>4331.0</v>
      </c>
      <c r="H375" s="15" t="s">
        <v>38</v>
      </c>
      <c r="I375" s="15" t="s">
        <v>43</v>
      </c>
      <c r="J375" s="15" t="s">
        <v>2749</v>
      </c>
      <c r="K375" s="15" t="s">
        <v>2751</v>
      </c>
      <c r="L375" s="15" t="s">
        <v>2744</v>
      </c>
    </row>
    <row r="376" ht="56.25" customHeight="1">
      <c r="A376" s="23" t="s">
        <v>3421</v>
      </c>
      <c r="B376" s="15" t="str">
        <f>image("https://storage.googleapis.com/acdb/bottoms/BottomsTexPantsWideKungfu1.png")</f>
        <v/>
      </c>
      <c r="C376" s="15"/>
      <c r="D376" s="25" t="s">
        <v>28</v>
      </c>
      <c r="E376" s="13">
        <v>1680.0</v>
      </c>
      <c r="F376" s="13">
        <v>420.0</v>
      </c>
      <c r="G376" s="15">
        <v>4331.0</v>
      </c>
      <c r="H376" s="15" t="s">
        <v>38</v>
      </c>
      <c r="I376" s="15" t="s">
        <v>43</v>
      </c>
      <c r="J376" s="15" t="s">
        <v>2749</v>
      </c>
      <c r="K376" s="15" t="s">
        <v>2751</v>
      </c>
      <c r="L376" s="15" t="s">
        <v>2744</v>
      </c>
    </row>
    <row r="377" ht="56.25" customHeight="1">
      <c r="A377" s="23" t="s">
        <v>3421</v>
      </c>
      <c r="B377" s="15" t="str">
        <f>image("https://storage.googleapis.com/acdb/bottoms/BottomsTexPantsWideKungfu2.png")</f>
        <v/>
      </c>
      <c r="C377" s="15"/>
      <c r="D377" s="25" t="s">
        <v>28</v>
      </c>
      <c r="E377" s="13">
        <v>1680.0</v>
      </c>
      <c r="F377" s="13">
        <v>420.0</v>
      </c>
      <c r="G377" s="15">
        <v>4331.0</v>
      </c>
      <c r="H377" s="15" t="s">
        <v>38</v>
      </c>
      <c r="I377" s="15" t="s">
        <v>43</v>
      </c>
      <c r="J377" s="15" t="s">
        <v>2749</v>
      </c>
      <c r="K377" s="15" t="s">
        <v>2751</v>
      </c>
      <c r="L377" s="15" t="s">
        <v>2744</v>
      </c>
    </row>
    <row r="378" ht="56.25" customHeight="1">
      <c r="A378" s="23" t="s">
        <v>3421</v>
      </c>
      <c r="B378" s="15" t="str">
        <f>image("https://storage.googleapis.com/acdb/bottoms/BottomsTexPantsWideKungfu3.png")</f>
        <v/>
      </c>
      <c r="C378" s="15"/>
      <c r="D378" s="25" t="s">
        <v>28</v>
      </c>
      <c r="E378" s="13">
        <v>1680.0</v>
      </c>
      <c r="F378" s="13">
        <v>420.0</v>
      </c>
      <c r="G378" s="15">
        <v>4331.0</v>
      </c>
      <c r="H378" s="15" t="s">
        <v>38</v>
      </c>
      <c r="I378" s="15" t="s">
        <v>43</v>
      </c>
      <c r="J378" s="15" t="s">
        <v>2749</v>
      </c>
      <c r="K378" s="15" t="s">
        <v>2751</v>
      </c>
      <c r="L378" s="15" t="s">
        <v>2744</v>
      </c>
    </row>
    <row r="379" ht="56.25" customHeight="1">
      <c r="A379" s="23" t="s">
        <v>3421</v>
      </c>
      <c r="B379" s="15" t="str">
        <f>image("https://storage.googleapis.com/acdb/bottoms/BottomsTexPantsWideKungfu4.png")</f>
        <v/>
      </c>
      <c r="C379" s="15"/>
      <c r="D379" s="25" t="s">
        <v>28</v>
      </c>
      <c r="E379" s="13">
        <v>1680.0</v>
      </c>
      <c r="F379" s="13">
        <v>420.0</v>
      </c>
      <c r="G379" s="15">
        <v>4331.0</v>
      </c>
      <c r="H379" s="15" t="s">
        <v>38</v>
      </c>
      <c r="I379" s="15" t="s">
        <v>43</v>
      </c>
      <c r="J379" s="15" t="s">
        <v>2749</v>
      </c>
      <c r="K379" s="15" t="s">
        <v>2751</v>
      </c>
      <c r="L379" s="15" t="s">
        <v>2744</v>
      </c>
    </row>
    <row r="380" ht="56.25" customHeight="1">
      <c r="A380" s="23" t="s">
        <v>3425</v>
      </c>
      <c r="B380" s="15" t="str">
        <f>image("https://storage.googleapis.com/acdb/bottoms/BottomsTexPantsHalfKate0.png")</f>
        <v/>
      </c>
      <c r="C380" s="15"/>
      <c r="D380" s="25" t="s">
        <v>28</v>
      </c>
      <c r="E380" s="13">
        <v>2540.0</v>
      </c>
      <c r="F380" s="13">
        <v>635.0</v>
      </c>
      <c r="G380" s="15">
        <v>9878.0</v>
      </c>
      <c r="H380" s="15" t="s">
        <v>38</v>
      </c>
      <c r="I380" s="15" t="s">
        <v>43</v>
      </c>
      <c r="J380" s="15" t="s">
        <v>3134</v>
      </c>
      <c r="K380" s="15"/>
      <c r="L380" s="15" t="s">
        <v>2756</v>
      </c>
    </row>
    <row r="381" ht="56.25" customHeight="1">
      <c r="A381" s="23" t="s">
        <v>3425</v>
      </c>
      <c r="B381" s="15" t="str">
        <f>image("https://storage.googleapis.com/acdb/bottoms/BottomsTexPantsHalfKate1.png")</f>
        <v/>
      </c>
      <c r="C381" s="15"/>
      <c r="D381" s="25" t="s">
        <v>28</v>
      </c>
      <c r="E381" s="13">
        <v>2540.0</v>
      </c>
      <c r="F381" s="13">
        <v>635.0</v>
      </c>
      <c r="G381" s="15">
        <v>9878.0</v>
      </c>
      <c r="H381" s="15" t="s">
        <v>38</v>
      </c>
      <c r="I381" s="15" t="s">
        <v>43</v>
      </c>
      <c r="J381" s="15" t="s">
        <v>3134</v>
      </c>
      <c r="K381" s="15"/>
      <c r="L381" s="15" t="s">
        <v>2756</v>
      </c>
    </row>
    <row r="382" ht="56.25" customHeight="1">
      <c r="A382" s="23" t="s">
        <v>3425</v>
      </c>
      <c r="B382" s="15" t="str">
        <f>image("https://storage.googleapis.com/acdb/bottoms/BottomsTexPantsHalfKate2.png")</f>
        <v/>
      </c>
      <c r="C382" s="15"/>
      <c r="D382" s="25" t="s">
        <v>28</v>
      </c>
      <c r="E382" s="13">
        <v>2540.0</v>
      </c>
      <c r="F382" s="13">
        <v>635.0</v>
      </c>
      <c r="G382" s="15">
        <v>9878.0</v>
      </c>
      <c r="H382" s="15" t="s">
        <v>38</v>
      </c>
      <c r="I382" s="15" t="s">
        <v>43</v>
      </c>
      <c r="J382" s="15" t="s">
        <v>3134</v>
      </c>
      <c r="K382" s="15"/>
      <c r="L382" s="15" t="s">
        <v>2756</v>
      </c>
    </row>
    <row r="383" ht="56.25" customHeight="1">
      <c r="A383" s="23" t="s">
        <v>3425</v>
      </c>
      <c r="B383" s="15" t="str">
        <f>image("https://storage.googleapis.com/acdb/bottoms/BottomsTexPantsHalfKate3.png")</f>
        <v/>
      </c>
      <c r="C383" s="15"/>
      <c r="D383" s="25" t="s">
        <v>28</v>
      </c>
      <c r="E383" s="13">
        <v>2540.0</v>
      </c>
      <c r="F383" s="13">
        <v>635.0</v>
      </c>
      <c r="G383" s="15">
        <v>9878.0</v>
      </c>
      <c r="H383" s="15" t="s">
        <v>38</v>
      </c>
      <c r="I383" s="15" t="s">
        <v>43</v>
      </c>
      <c r="J383" s="15" t="s">
        <v>3134</v>
      </c>
      <c r="K383" s="15"/>
      <c r="L383" s="15" t="s">
        <v>2756</v>
      </c>
    </row>
    <row r="384" ht="56.25" customHeight="1">
      <c r="A384" s="23" t="s">
        <v>3425</v>
      </c>
      <c r="B384" s="15" t="str">
        <f>image("https://storage.googleapis.com/acdb/bottoms/BottomsTexPantsHalfKate4.png")</f>
        <v/>
      </c>
      <c r="C384" s="15"/>
      <c r="D384" s="25" t="s">
        <v>28</v>
      </c>
      <c r="E384" s="13">
        <v>2540.0</v>
      </c>
      <c r="F384" s="13">
        <v>635.0</v>
      </c>
      <c r="G384" s="15">
        <v>9878.0</v>
      </c>
      <c r="H384" s="15" t="s">
        <v>38</v>
      </c>
      <c r="I384" s="15" t="s">
        <v>43</v>
      </c>
      <c r="J384" s="15" t="s">
        <v>3134</v>
      </c>
      <c r="K384" s="15"/>
      <c r="L384" s="15" t="s">
        <v>2756</v>
      </c>
    </row>
    <row r="385" ht="56.25" customHeight="1">
      <c r="A385" s="23" t="s">
        <v>3425</v>
      </c>
      <c r="B385" s="15" t="str">
        <f>image("https://storage.googleapis.com/acdb/bottoms/BottomsTexPantsHalfKate5.png")</f>
        <v/>
      </c>
      <c r="C385" s="15"/>
      <c r="D385" s="25" t="s">
        <v>28</v>
      </c>
      <c r="E385" s="13">
        <v>2540.0</v>
      </c>
      <c r="F385" s="13">
        <v>635.0</v>
      </c>
      <c r="G385" s="15">
        <v>9878.0</v>
      </c>
      <c r="H385" s="15" t="s">
        <v>38</v>
      </c>
      <c r="I385" s="15" t="s">
        <v>43</v>
      </c>
      <c r="J385" s="15" t="s">
        <v>3134</v>
      </c>
      <c r="K385" s="15"/>
      <c r="L385" s="15" t="s">
        <v>2756</v>
      </c>
    </row>
    <row r="386" ht="56.25" customHeight="1">
      <c r="A386" s="23" t="s">
        <v>3430</v>
      </c>
      <c r="B386" s="15" t="str">
        <f>image("https://storage.googleapis.com/acdb/bottoms/BottomsTexSkirtLongKate0.png")</f>
        <v/>
      </c>
      <c r="C386" s="15"/>
      <c r="D386" s="25" t="s">
        <v>28</v>
      </c>
      <c r="E386" s="13">
        <v>3100.0</v>
      </c>
      <c r="F386" s="13">
        <v>775.0</v>
      </c>
      <c r="G386" s="15">
        <v>9879.0</v>
      </c>
      <c r="H386" s="15" t="s">
        <v>38</v>
      </c>
      <c r="I386" s="15" t="s">
        <v>43</v>
      </c>
      <c r="J386" s="15" t="s">
        <v>3134</v>
      </c>
      <c r="K386" s="15"/>
      <c r="L386" s="15" t="s">
        <v>2863</v>
      </c>
    </row>
    <row r="387" ht="56.25" customHeight="1">
      <c r="A387" s="23" t="s">
        <v>3430</v>
      </c>
      <c r="B387" s="15" t="str">
        <f>image("https://storage.googleapis.com/acdb/bottoms/BottomsTexSkirtLongKate1.png")</f>
        <v/>
      </c>
      <c r="C387" s="15"/>
      <c r="D387" s="25" t="s">
        <v>28</v>
      </c>
      <c r="E387" s="13">
        <v>3100.0</v>
      </c>
      <c r="F387" s="13">
        <v>775.0</v>
      </c>
      <c r="G387" s="15">
        <v>9879.0</v>
      </c>
      <c r="H387" s="15" t="s">
        <v>38</v>
      </c>
      <c r="I387" s="15" t="s">
        <v>43</v>
      </c>
      <c r="J387" s="15" t="s">
        <v>3134</v>
      </c>
      <c r="K387" s="15"/>
      <c r="L387" s="15" t="s">
        <v>2863</v>
      </c>
    </row>
    <row r="388" ht="56.25" customHeight="1">
      <c r="A388" s="23" t="s">
        <v>3430</v>
      </c>
      <c r="B388" s="15" t="str">
        <f>image("https://storage.googleapis.com/acdb/bottoms/BottomsTexSkirtLongKate2.png")</f>
        <v/>
      </c>
      <c r="C388" s="15"/>
      <c r="D388" s="25" t="s">
        <v>28</v>
      </c>
      <c r="E388" s="13">
        <v>3100.0</v>
      </c>
      <c r="F388" s="13">
        <v>775.0</v>
      </c>
      <c r="G388" s="15">
        <v>9879.0</v>
      </c>
      <c r="H388" s="15" t="s">
        <v>38</v>
      </c>
      <c r="I388" s="15" t="s">
        <v>43</v>
      </c>
      <c r="J388" s="15" t="s">
        <v>3134</v>
      </c>
      <c r="K388" s="15"/>
      <c r="L388" s="15" t="s">
        <v>2863</v>
      </c>
    </row>
    <row r="389" ht="56.25" customHeight="1">
      <c r="A389" s="23" t="s">
        <v>3430</v>
      </c>
      <c r="B389" s="15" t="str">
        <f>image("https://storage.googleapis.com/acdb/bottoms/BottomsTexSkirtLongKate3.png")</f>
        <v/>
      </c>
      <c r="C389" s="15"/>
      <c r="D389" s="25" t="s">
        <v>28</v>
      </c>
      <c r="E389" s="13">
        <v>3100.0</v>
      </c>
      <c r="F389" s="13">
        <v>775.0</v>
      </c>
      <c r="G389" s="15">
        <v>9879.0</v>
      </c>
      <c r="H389" s="15" t="s">
        <v>38</v>
      </c>
      <c r="I389" s="15" t="s">
        <v>43</v>
      </c>
      <c r="J389" s="15" t="s">
        <v>3134</v>
      </c>
      <c r="K389" s="15"/>
      <c r="L389" s="15" t="s">
        <v>2863</v>
      </c>
    </row>
    <row r="390" ht="56.25" customHeight="1">
      <c r="A390" s="23" t="s">
        <v>3430</v>
      </c>
      <c r="B390" s="15" t="str">
        <f>image("https://storage.googleapis.com/acdb/bottoms/BottomsTexSkirtLongKate4.png")</f>
        <v/>
      </c>
      <c r="C390" s="15"/>
      <c r="D390" s="25" t="s">
        <v>28</v>
      </c>
      <c r="E390" s="13">
        <v>3100.0</v>
      </c>
      <c r="F390" s="13">
        <v>775.0</v>
      </c>
      <c r="G390" s="15">
        <v>9879.0</v>
      </c>
      <c r="H390" s="15" t="s">
        <v>38</v>
      </c>
      <c r="I390" s="15" t="s">
        <v>43</v>
      </c>
      <c r="J390" s="15" t="s">
        <v>3134</v>
      </c>
      <c r="K390" s="15"/>
      <c r="L390" s="15" t="s">
        <v>2863</v>
      </c>
    </row>
    <row r="391" ht="56.25" customHeight="1">
      <c r="A391" s="23" t="s">
        <v>3430</v>
      </c>
      <c r="B391" s="15" t="str">
        <f>image("https://storage.googleapis.com/acdb/bottoms/BottomsTexSkirtLongKate5.png")</f>
        <v/>
      </c>
      <c r="C391" s="15"/>
      <c r="D391" s="25" t="s">
        <v>28</v>
      </c>
      <c r="E391" s="13">
        <v>3100.0</v>
      </c>
      <c r="F391" s="13">
        <v>775.0</v>
      </c>
      <c r="G391" s="15">
        <v>9879.0</v>
      </c>
      <c r="H391" s="15" t="s">
        <v>38</v>
      </c>
      <c r="I391" s="15" t="s">
        <v>43</v>
      </c>
      <c r="J391" s="15" t="s">
        <v>3134</v>
      </c>
      <c r="K391" s="15"/>
      <c r="L391" s="15" t="s">
        <v>2863</v>
      </c>
    </row>
    <row r="392" ht="56.25" customHeight="1">
      <c r="A392" s="23" t="s">
        <v>3437</v>
      </c>
      <c r="B392" s="15" t="str">
        <f>image("https://storage.googleapis.com/acdb/bottoms/BottomsTexPantsHotLace0.png")</f>
        <v/>
      </c>
      <c r="C392" s="15"/>
      <c r="D392" s="25" t="s">
        <v>28</v>
      </c>
      <c r="E392" s="13">
        <v>840.0</v>
      </c>
      <c r="F392" s="13">
        <v>210.0</v>
      </c>
      <c r="G392" s="15">
        <v>4517.0</v>
      </c>
      <c r="H392" s="15" t="s">
        <v>38</v>
      </c>
      <c r="I392" s="15" t="s">
        <v>43</v>
      </c>
      <c r="J392" s="15" t="s">
        <v>2749</v>
      </c>
      <c r="K392" s="15" t="s">
        <v>2764</v>
      </c>
      <c r="L392" s="15" t="s">
        <v>384</v>
      </c>
    </row>
    <row r="393" ht="56.25" customHeight="1">
      <c r="A393" s="23" t="s">
        <v>3437</v>
      </c>
      <c r="B393" s="15" t="str">
        <f>image("https://storage.googleapis.com/acdb/bottoms/BottomsTexPantsHotLace1.png")</f>
        <v/>
      </c>
      <c r="C393" s="15"/>
      <c r="D393" s="25" t="s">
        <v>28</v>
      </c>
      <c r="E393" s="13">
        <v>840.0</v>
      </c>
      <c r="F393" s="13">
        <v>210.0</v>
      </c>
      <c r="G393" s="15">
        <v>4517.0</v>
      </c>
      <c r="H393" s="15" t="s">
        <v>38</v>
      </c>
      <c r="I393" s="15" t="s">
        <v>43</v>
      </c>
      <c r="J393" s="15" t="s">
        <v>2749</v>
      </c>
      <c r="K393" s="15" t="s">
        <v>2764</v>
      </c>
      <c r="L393" s="15" t="s">
        <v>384</v>
      </c>
    </row>
    <row r="394" ht="56.25" customHeight="1">
      <c r="A394" s="23" t="s">
        <v>3437</v>
      </c>
      <c r="B394" s="15" t="str">
        <f>image("https://storage.googleapis.com/acdb/bottoms/BottomsTexPantsHotLace2.png")</f>
        <v/>
      </c>
      <c r="C394" s="15"/>
      <c r="D394" s="25" t="s">
        <v>28</v>
      </c>
      <c r="E394" s="13">
        <v>840.0</v>
      </c>
      <c r="F394" s="13">
        <v>210.0</v>
      </c>
      <c r="G394" s="15">
        <v>4517.0</v>
      </c>
      <c r="H394" s="15" t="s">
        <v>38</v>
      </c>
      <c r="I394" s="15" t="s">
        <v>43</v>
      </c>
      <c r="J394" s="15" t="s">
        <v>2749</v>
      </c>
      <c r="K394" s="15" t="s">
        <v>2764</v>
      </c>
      <c r="L394" s="15" t="s">
        <v>384</v>
      </c>
    </row>
    <row r="395" ht="56.25" customHeight="1">
      <c r="A395" s="23" t="s">
        <v>3437</v>
      </c>
      <c r="B395" s="15" t="str">
        <f>image("https://storage.googleapis.com/acdb/bottoms/BottomsTexPantsHotLace3.png")</f>
        <v/>
      </c>
      <c r="C395" s="15"/>
      <c r="D395" s="25" t="s">
        <v>28</v>
      </c>
      <c r="E395" s="13">
        <v>840.0</v>
      </c>
      <c r="F395" s="13">
        <v>210.0</v>
      </c>
      <c r="G395" s="15">
        <v>4517.0</v>
      </c>
      <c r="H395" s="15" t="s">
        <v>38</v>
      </c>
      <c r="I395" s="15" t="s">
        <v>43</v>
      </c>
      <c r="J395" s="15" t="s">
        <v>2749</v>
      </c>
      <c r="K395" s="15" t="s">
        <v>2764</v>
      </c>
      <c r="L395" s="15" t="s">
        <v>384</v>
      </c>
    </row>
    <row r="396" ht="56.25" customHeight="1">
      <c r="A396" s="23" t="s">
        <v>3437</v>
      </c>
      <c r="B396" s="15" t="str">
        <f>image("https://storage.googleapis.com/acdb/bottoms/BottomsTexPantsHotLace4.png")</f>
        <v/>
      </c>
      <c r="C396" s="15"/>
      <c r="D396" s="25" t="s">
        <v>28</v>
      </c>
      <c r="E396" s="13">
        <v>840.0</v>
      </c>
      <c r="F396" s="13">
        <v>210.0</v>
      </c>
      <c r="G396" s="15">
        <v>4517.0</v>
      </c>
      <c r="H396" s="15" t="s">
        <v>38</v>
      </c>
      <c r="I396" s="15" t="s">
        <v>43</v>
      </c>
      <c r="J396" s="15" t="s">
        <v>2749</v>
      </c>
      <c r="K396" s="15" t="s">
        <v>2764</v>
      </c>
      <c r="L396" s="15" t="s">
        <v>384</v>
      </c>
    </row>
    <row r="397" ht="56.25" customHeight="1">
      <c r="A397" s="23" t="s">
        <v>3440</v>
      </c>
      <c r="B397" s="15" t="str">
        <f>image("https://storage.googleapis.com/acdb/bottoms/BottomsTexSkirtAlineLace0.png")</f>
        <v/>
      </c>
      <c r="C397" s="15"/>
      <c r="D397" s="25" t="s">
        <v>28</v>
      </c>
      <c r="E397" s="13">
        <v>920.0</v>
      </c>
      <c r="F397" s="13">
        <v>230.0</v>
      </c>
      <c r="G397" s="15">
        <v>3384.0</v>
      </c>
      <c r="H397" s="15" t="s">
        <v>38</v>
      </c>
      <c r="I397" s="15" t="s">
        <v>43</v>
      </c>
      <c r="J397" s="15" t="s">
        <v>2749</v>
      </c>
      <c r="K397" s="15" t="s">
        <v>2764</v>
      </c>
      <c r="L397" s="15" t="s">
        <v>384</v>
      </c>
    </row>
    <row r="398" ht="56.25" customHeight="1">
      <c r="A398" s="23" t="s">
        <v>3440</v>
      </c>
      <c r="B398" s="15" t="str">
        <f>image("https://storage.googleapis.com/acdb/bottoms/BottomsTexSkirtAlineLace1.png")</f>
        <v/>
      </c>
      <c r="C398" s="15"/>
      <c r="D398" s="25" t="s">
        <v>28</v>
      </c>
      <c r="E398" s="13">
        <v>920.0</v>
      </c>
      <c r="F398" s="13">
        <v>230.0</v>
      </c>
      <c r="G398" s="15">
        <v>3384.0</v>
      </c>
      <c r="H398" s="15" t="s">
        <v>38</v>
      </c>
      <c r="I398" s="15" t="s">
        <v>43</v>
      </c>
      <c r="J398" s="15" t="s">
        <v>2749</v>
      </c>
      <c r="K398" s="15" t="s">
        <v>2764</v>
      </c>
      <c r="L398" s="15" t="s">
        <v>384</v>
      </c>
    </row>
    <row r="399" ht="56.25" customHeight="1">
      <c r="A399" s="23" t="s">
        <v>3440</v>
      </c>
      <c r="B399" s="15" t="str">
        <f>image("https://storage.googleapis.com/acdb/bottoms/BottomsTexSkirtAlineLace2.png")</f>
        <v/>
      </c>
      <c r="C399" s="15"/>
      <c r="D399" s="25" t="s">
        <v>28</v>
      </c>
      <c r="E399" s="13">
        <v>920.0</v>
      </c>
      <c r="F399" s="13">
        <v>230.0</v>
      </c>
      <c r="G399" s="15">
        <v>3384.0</v>
      </c>
      <c r="H399" s="15" t="s">
        <v>38</v>
      </c>
      <c r="I399" s="15" t="s">
        <v>43</v>
      </c>
      <c r="J399" s="15" t="s">
        <v>2749</v>
      </c>
      <c r="K399" s="15" t="s">
        <v>2764</v>
      </c>
      <c r="L399" s="15" t="s">
        <v>384</v>
      </c>
    </row>
    <row r="400" ht="56.25" customHeight="1">
      <c r="A400" s="23" t="s">
        <v>3440</v>
      </c>
      <c r="B400" s="15" t="str">
        <f>image("https://storage.googleapis.com/acdb/bottoms/BottomsTexSkirtAlineLace3.png")</f>
        <v/>
      </c>
      <c r="C400" s="15"/>
      <c r="D400" s="25" t="s">
        <v>28</v>
      </c>
      <c r="E400" s="13">
        <v>920.0</v>
      </c>
      <c r="F400" s="13">
        <v>230.0</v>
      </c>
      <c r="G400" s="15">
        <v>3384.0</v>
      </c>
      <c r="H400" s="15" t="s">
        <v>38</v>
      </c>
      <c r="I400" s="15" t="s">
        <v>43</v>
      </c>
      <c r="J400" s="15" t="s">
        <v>2749</v>
      </c>
      <c r="K400" s="15" t="s">
        <v>2764</v>
      </c>
      <c r="L400" s="15" t="s">
        <v>384</v>
      </c>
    </row>
    <row r="401" ht="56.25" customHeight="1">
      <c r="A401" s="23" t="s">
        <v>3445</v>
      </c>
      <c r="B401" s="15" t="str">
        <f>image("https://storage.googleapis.com/acdb/bottoms/BottomsTexSkirtLongLemon0.png")</f>
        <v/>
      </c>
      <c r="C401" s="15"/>
      <c r="D401" s="25" t="s">
        <v>28</v>
      </c>
      <c r="E401" s="13">
        <v>880.0</v>
      </c>
      <c r="F401" s="13">
        <v>220.0</v>
      </c>
      <c r="G401" s="15">
        <v>5874.0</v>
      </c>
      <c r="H401" s="15" t="s">
        <v>38</v>
      </c>
      <c r="I401" s="15" t="s">
        <v>43</v>
      </c>
      <c r="J401" s="15" t="s">
        <v>2749</v>
      </c>
      <c r="K401" s="15" t="s">
        <v>2764</v>
      </c>
      <c r="L401" s="15" t="s">
        <v>2863</v>
      </c>
    </row>
    <row r="402" ht="56.25" customHeight="1">
      <c r="A402" s="23" t="s">
        <v>3445</v>
      </c>
      <c r="B402" s="15" t="str">
        <f>image("https://storage.googleapis.com/acdb/bottoms/BottomsTexSkirtLongLemon1.png")</f>
        <v/>
      </c>
      <c r="C402" s="15"/>
      <c r="D402" s="25" t="s">
        <v>28</v>
      </c>
      <c r="E402" s="13">
        <v>880.0</v>
      </c>
      <c r="F402" s="13">
        <v>220.0</v>
      </c>
      <c r="G402" s="15">
        <v>5874.0</v>
      </c>
      <c r="H402" s="15" t="s">
        <v>38</v>
      </c>
      <c r="I402" s="15" t="s">
        <v>43</v>
      </c>
      <c r="J402" s="15" t="s">
        <v>2749</v>
      </c>
      <c r="K402" s="15" t="s">
        <v>2764</v>
      </c>
      <c r="L402" s="15" t="s">
        <v>2863</v>
      </c>
    </row>
    <row r="403" ht="56.25" customHeight="1">
      <c r="A403" s="23" t="s">
        <v>3445</v>
      </c>
      <c r="B403" s="15" t="str">
        <f>image("https://storage.googleapis.com/acdb/bottoms/BottomsTexSkirtLongLemon2.png")</f>
        <v/>
      </c>
      <c r="C403" s="15"/>
      <c r="D403" s="25" t="s">
        <v>28</v>
      </c>
      <c r="E403" s="13">
        <v>880.0</v>
      </c>
      <c r="F403" s="13">
        <v>220.0</v>
      </c>
      <c r="G403" s="15">
        <v>5874.0</v>
      </c>
      <c r="H403" s="15" t="s">
        <v>38</v>
      </c>
      <c r="I403" s="15" t="s">
        <v>43</v>
      </c>
      <c r="J403" s="15" t="s">
        <v>2749</v>
      </c>
      <c r="K403" s="15" t="s">
        <v>2764</v>
      </c>
      <c r="L403" s="15" t="s">
        <v>2863</v>
      </c>
    </row>
    <row r="404" ht="56.25" customHeight="1">
      <c r="A404" s="23" t="s">
        <v>3447</v>
      </c>
      <c r="B404" s="15" t="str">
        <f>image("https://storage.googleapis.com/acdb/bottoms/BottomsTexSkirtBoxLeopard0.png")</f>
        <v/>
      </c>
      <c r="C404" s="15"/>
      <c r="D404" s="25" t="s">
        <v>28</v>
      </c>
      <c r="E404" s="13">
        <v>1820.0</v>
      </c>
      <c r="F404" s="13">
        <v>455.0</v>
      </c>
      <c r="G404" s="15">
        <v>4373.0</v>
      </c>
      <c r="H404" s="15" t="s">
        <v>38</v>
      </c>
      <c r="I404" s="15" t="s">
        <v>43</v>
      </c>
      <c r="J404" s="15" t="s">
        <v>2749</v>
      </c>
      <c r="K404" s="15" t="s">
        <v>2751</v>
      </c>
      <c r="L404" s="15" t="s">
        <v>2756</v>
      </c>
    </row>
    <row r="405" ht="56.25" customHeight="1">
      <c r="A405" s="23" t="s">
        <v>3447</v>
      </c>
      <c r="B405" s="15" t="str">
        <f>image("https://storage.googleapis.com/acdb/bottoms/BottomsTexSkirtBoxLeopard1.png")</f>
        <v/>
      </c>
      <c r="C405" s="15"/>
      <c r="D405" s="25" t="s">
        <v>28</v>
      </c>
      <c r="E405" s="13">
        <v>1820.0</v>
      </c>
      <c r="F405" s="13">
        <v>455.0</v>
      </c>
      <c r="G405" s="15">
        <v>4373.0</v>
      </c>
      <c r="H405" s="15" t="s">
        <v>38</v>
      </c>
      <c r="I405" s="15" t="s">
        <v>43</v>
      </c>
      <c r="J405" s="15" t="s">
        <v>2749</v>
      </c>
      <c r="K405" s="15" t="s">
        <v>2751</v>
      </c>
      <c r="L405" s="15" t="s">
        <v>2756</v>
      </c>
    </row>
    <row r="406" ht="56.25" customHeight="1">
      <c r="A406" s="23" t="s">
        <v>3447</v>
      </c>
      <c r="B406" s="15" t="str">
        <f>image("https://storage.googleapis.com/acdb/bottoms/BottomsTexSkirtBoxLeopard2.png")</f>
        <v/>
      </c>
      <c r="C406" s="15"/>
      <c r="D406" s="25" t="s">
        <v>28</v>
      </c>
      <c r="E406" s="13">
        <v>1820.0</v>
      </c>
      <c r="F406" s="13">
        <v>455.0</v>
      </c>
      <c r="G406" s="15">
        <v>4373.0</v>
      </c>
      <c r="H406" s="15" t="s">
        <v>38</v>
      </c>
      <c r="I406" s="15" t="s">
        <v>43</v>
      </c>
      <c r="J406" s="15" t="s">
        <v>2749</v>
      </c>
      <c r="K406" s="15" t="s">
        <v>2751</v>
      </c>
      <c r="L406" s="15" t="s">
        <v>2756</v>
      </c>
    </row>
    <row r="407" ht="56.25" customHeight="1">
      <c r="A407" s="23" t="s">
        <v>3447</v>
      </c>
      <c r="B407" s="15" t="str">
        <f>image("https://storage.googleapis.com/acdb/bottoms/BottomsTexSkirtBoxLeopard3.png")</f>
        <v/>
      </c>
      <c r="C407" s="15"/>
      <c r="D407" s="25" t="s">
        <v>28</v>
      </c>
      <c r="E407" s="13">
        <v>1820.0</v>
      </c>
      <c r="F407" s="13">
        <v>455.0</v>
      </c>
      <c r="G407" s="15">
        <v>4373.0</v>
      </c>
      <c r="H407" s="15" t="s">
        <v>38</v>
      </c>
      <c r="I407" s="15" t="s">
        <v>43</v>
      </c>
      <c r="J407" s="15" t="s">
        <v>2749</v>
      </c>
      <c r="K407" s="15" t="s">
        <v>2751</v>
      </c>
      <c r="L407" s="15" t="s">
        <v>2756</v>
      </c>
    </row>
    <row r="408" ht="56.25" customHeight="1">
      <c r="A408" s="23" t="s">
        <v>3447</v>
      </c>
      <c r="B408" s="15" t="str">
        <f>image("https://storage.googleapis.com/acdb/bottoms/BottomsTexSkirtBoxLeopard4.png")</f>
        <v/>
      </c>
      <c r="C408" s="15"/>
      <c r="D408" s="25" t="s">
        <v>28</v>
      </c>
      <c r="E408" s="13">
        <v>1820.0</v>
      </c>
      <c r="F408" s="13">
        <v>455.0</v>
      </c>
      <c r="G408" s="15">
        <v>4373.0</v>
      </c>
      <c r="H408" s="15" t="s">
        <v>38</v>
      </c>
      <c r="I408" s="15" t="s">
        <v>43</v>
      </c>
      <c r="J408" s="15" t="s">
        <v>2749</v>
      </c>
      <c r="K408" s="15" t="s">
        <v>2751</v>
      </c>
      <c r="L408" s="15" t="s">
        <v>2756</v>
      </c>
    </row>
    <row r="409" ht="56.25" customHeight="1">
      <c r="A409" s="23" t="s">
        <v>3447</v>
      </c>
      <c r="B409" s="15" t="str">
        <f>image("https://storage.googleapis.com/acdb/bottoms/BottomsTexSkirtBoxLeopard5.png")</f>
        <v/>
      </c>
      <c r="C409" s="15"/>
      <c r="D409" s="25" t="s">
        <v>28</v>
      </c>
      <c r="E409" s="13">
        <v>1820.0</v>
      </c>
      <c r="F409" s="13">
        <v>455.0</v>
      </c>
      <c r="G409" s="15">
        <v>4373.0</v>
      </c>
      <c r="H409" s="15" t="s">
        <v>38</v>
      </c>
      <c r="I409" s="15" t="s">
        <v>43</v>
      </c>
      <c r="J409" s="15" t="s">
        <v>2749</v>
      </c>
      <c r="K409" s="15" t="s">
        <v>2751</v>
      </c>
      <c r="L409" s="15" t="s">
        <v>2756</v>
      </c>
    </row>
    <row r="410" ht="56.25" customHeight="1">
      <c r="A410" s="23" t="s">
        <v>3453</v>
      </c>
      <c r="B410" s="15" t="str">
        <f>image("https://storage.googleapis.com/acdb/bottoms/BottomsTexSkirtLongChino0.png")</f>
        <v/>
      </c>
      <c r="C410" s="15"/>
      <c r="D410" s="25" t="s">
        <v>28</v>
      </c>
      <c r="E410" s="13">
        <v>1560.0</v>
      </c>
      <c r="F410" s="13">
        <v>390.0</v>
      </c>
      <c r="G410" s="15">
        <v>4257.0</v>
      </c>
      <c r="H410" s="15" t="s">
        <v>38</v>
      </c>
      <c r="I410" s="15" t="s">
        <v>43</v>
      </c>
      <c r="J410" s="15" t="s">
        <v>2749</v>
      </c>
      <c r="K410" s="15" t="s">
        <v>2764</v>
      </c>
      <c r="L410" s="15" t="s">
        <v>2744</v>
      </c>
    </row>
    <row r="411" ht="56.25" customHeight="1">
      <c r="A411" s="23" t="s">
        <v>3453</v>
      </c>
      <c r="B411" s="15" t="str">
        <f>image("https://storage.googleapis.com/acdb/bottoms/BottomsTexSkirtLongChino1.png")</f>
        <v/>
      </c>
      <c r="C411" s="15"/>
      <c r="D411" s="25" t="s">
        <v>28</v>
      </c>
      <c r="E411" s="13">
        <v>1560.0</v>
      </c>
      <c r="F411" s="13">
        <v>390.0</v>
      </c>
      <c r="G411" s="15">
        <v>4257.0</v>
      </c>
      <c r="H411" s="15" t="s">
        <v>38</v>
      </c>
      <c r="I411" s="15" t="s">
        <v>43</v>
      </c>
      <c r="J411" s="15" t="s">
        <v>2749</v>
      </c>
      <c r="K411" s="15" t="s">
        <v>2764</v>
      </c>
      <c r="L411" s="15" t="s">
        <v>2744</v>
      </c>
    </row>
    <row r="412" ht="56.25" customHeight="1">
      <c r="A412" s="23" t="s">
        <v>3453</v>
      </c>
      <c r="B412" s="15" t="str">
        <f>image("https://storage.googleapis.com/acdb/bottoms/BottomsTexSkirtLongChino2.png")</f>
        <v/>
      </c>
      <c r="C412" s="15"/>
      <c r="D412" s="25" t="s">
        <v>28</v>
      </c>
      <c r="E412" s="13">
        <v>1560.0</v>
      </c>
      <c r="F412" s="13">
        <v>390.0</v>
      </c>
      <c r="G412" s="15">
        <v>4257.0</v>
      </c>
      <c r="H412" s="15" t="s">
        <v>38</v>
      </c>
      <c r="I412" s="15" t="s">
        <v>43</v>
      </c>
      <c r="J412" s="15" t="s">
        <v>2749</v>
      </c>
      <c r="K412" s="15" t="s">
        <v>2764</v>
      </c>
      <c r="L412" s="15" t="s">
        <v>2744</v>
      </c>
    </row>
    <row r="413" ht="56.25" customHeight="1">
      <c r="A413" s="23" t="s">
        <v>3453</v>
      </c>
      <c r="B413" s="15" t="str">
        <f>image("https://storage.googleapis.com/acdb/bottoms/BottomsTexSkirtLongChino3.png")</f>
        <v/>
      </c>
      <c r="C413" s="15"/>
      <c r="D413" s="25" t="s">
        <v>28</v>
      </c>
      <c r="E413" s="13">
        <v>1560.0</v>
      </c>
      <c r="F413" s="13">
        <v>390.0</v>
      </c>
      <c r="G413" s="15">
        <v>4257.0</v>
      </c>
      <c r="H413" s="15" t="s">
        <v>38</v>
      </c>
      <c r="I413" s="15" t="s">
        <v>43</v>
      </c>
      <c r="J413" s="15" t="s">
        <v>2749</v>
      </c>
      <c r="K413" s="15" t="s">
        <v>2764</v>
      </c>
      <c r="L413" s="15" t="s">
        <v>2744</v>
      </c>
    </row>
    <row r="414" ht="56.25" customHeight="1">
      <c r="A414" s="23" t="s">
        <v>3453</v>
      </c>
      <c r="B414" s="15" t="str">
        <f>image("https://storage.googleapis.com/acdb/bottoms/BottomsTexSkirtLongChino4.png")</f>
        <v/>
      </c>
      <c r="C414" s="15"/>
      <c r="D414" s="25" t="s">
        <v>28</v>
      </c>
      <c r="E414" s="13">
        <v>1560.0</v>
      </c>
      <c r="F414" s="13">
        <v>390.0</v>
      </c>
      <c r="G414" s="15">
        <v>4257.0</v>
      </c>
      <c r="H414" s="15" t="s">
        <v>38</v>
      </c>
      <c r="I414" s="15" t="s">
        <v>43</v>
      </c>
      <c r="J414" s="15" t="s">
        <v>2749</v>
      </c>
      <c r="K414" s="15" t="s">
        <v>2764</v>
      </c>
      <c r="L414" s="15" t="s">
        <v>2744</v>
      </c>
    </row>
    <row r="415" ht="56.25" customHeight="1">
      <c r="A415" s="23" t="s">
        <v>3458</v>
      </c>
      <c r="B415" s="15" t="str">
        <f>image("https://storage.googleapis.com/acdb/bottoms/BottomsTexSkirtLongDenim0.png")</f>
        <v/>
      </c>
      <c r="C415" s="15"/>
      <c r="D415" s="25" t="s">
        <v>28</v>
      </c>
      <c r="E415" s="13">
        <v>1560.0</v>
      </c>
      <c r="F415" s="13">
        <v>390.0</v>
      </c>
      <c r="G415" s="15">
        <v>5708.0</v>
      </c>
      <c r="H415" s="15" t="s">
        <v>38</v>
      </c>
      <c r="I415" s="15" t="s">
        <v>43</v>
      </c>
      <c r="J415" s="15" t="s">
        <v>2749</v>
      </c>
      <c r="K415" s="15" t="s">
        <v>2764</v>
      </c>
      <c r="L415" s="15" t="s">
        <v>2744</v>
      </c>
    </row>
    <row r="416" ht="56.25" customHeight="1">
      <c r="A416" s="23" t="s">
        <v>3458</v>
      </c>
      <c r="B416" s="15" t="str">
        <f>image("https://storage.googleapis.com/acdb/bottoms/BottomsTexSkirtLongDenim1.png")</f>
        <v/>
      </c>
      <c r="C416" s="15"/>
      <c r="D416" s="25" t="s">
        <v>28</v>
      </c>
      <c r="E416" s="13">
        <v>1560.0</v>
      </c>
      <c r="F416" s="13">
        <v>390.0</v>
      </c>
      <c r="G416" s="15">
        <v>5708.0</v>
      </c>
      <c r="H416" s="15" t="s">
        <v>38</v>
      </c>
      <c r="I416" s="15" t="s">
        <v>43</v>
      </c>
      <c r="J416" s="15" t="s">
        <v>2749</v>
      </c>
      <c r="K416" s="15" t="s">
        <v>2764</v>
      </c>
      <c r="L416" s="15" t="s">
        <v>2744</v>
      </c>
    </row>
    <row r="417" ht="56.25" customHeight="1">
      <c r="A417" s="23" t="s">
        <v>3458</v>
      </c>
      <c r="B417" s="15" t="str">
        <f>image("https://storage.googleapis.com/acdb/bottoms/BottomsTexSkirtLongDenim2.png")</f>
        <v/>
      </c>
      <c r="C417" s="15"/>
      <c r="D417" s="25" t="s">
        <v>28</v>
      </c>
      <c r="E417" s="13">
        <v>1560.0</v>
      </c>
      <c r="F417" s="13">
        <v>390.0</v>
      </c>
      <c r="G417" s="15">
        <v>5708.0</v>
      </c>
      <c r="H417" s="15" t="s">
        <v>38</v>
      </c>
      <c r="I417" s="15" t="s">
        <v>43</v>
      </c>
      <c r="J417" s="15" t="s">
        <v>2749</v>
      </c>
      <c r="K417" s="15" t="s">
        <v>2764</v>
      </c>
      <c r="L417" s="15" t="s">
        <v>2744</v>
      </c>
    </row>
    <row r="418" ht="56.25" customHeight="1">
      <c r="A418" s="23" t="s">
        <v>3458</v>
      </c>
      <c r="B418" s="15" t="str">
        <f>image("https://storage.googleapis.com/acdb/bottoms/BottomsTexSkirtLongDenim3.png")</f>
        <v/>
      </c>
      <c r="C418" s="15"/>
      <c r="D418" s="25" t="s">
        <v>28</v>
      </c>
      <c r="E418" s="13">
        <v>1560.0</v>
      </c>
      <c r="F418" s="13">
        <v>390.0</v>
      </c>
      <c r="G418" s="15">
        <v>5708.0</v>
      </c>
      <c r="H418" s="15" t="s">
        <v>38</v>
      </c>
      <c r="I418" s="15" t="s">
        <v>43</v>
      </c>
      <c r="J418" s="15" t="s">
        <v>2749</v>
      </c>
      <c r="K418" s="15" t="s">
        <v>2764</v>
      </c>
      <c r="L418" s="15" t="s">
        <v>2744</v>
      </c>
    </row>
    <row r="419" ht="56.25" customHeight="1">
      <c r="A419" s="23" t="s">
        <v>3458</v>
      </c>
      <c r="B419" s="15" t="str">
        <f>image("https://storage.googleapis.com/acdb/bottoms/BottomsTexSkirtLongDenim4.png")</f>
        <v/>
      </c>
      <c r="C419" s="15"/>
      <c r="D419" s="25" t="s">
        <v>28</v>
      </c>
      <c r="E419" s="13">
        <v>1560.0</v>
      </c>
      <c r="F419" s="13">
        <v>390.0</v>
      </c>
      <c r="G419" s="15">
        <v>5708.0</v>
      </c>
      <c r="H419" s="15" t="s">
        <v>38</v>
      </c>
      <c r="I419" s="15" t="s">
        <v>43</v>
      </c>
      <c r="J419" s="15" t="s">
        <v>2749</v>
      </c>
      <c r="K419" s="15" t="s">
        <v>2764</v>
      </c>
      <c r="L419" s="15" t="s">
        <v>2744</v>
      </c>
    </row>
    <row r="420" ht="56.25" customHeight="1">
      <c r="A420" s="23" t="s">
        <v>3463</v>
      </c>
      <c r="B420" s="15" t="str">
        <f>image("https://storage.googleapis.com/acdb/bottoms/BottomsTexSkirtLongCheck0.png")</f>
        <v/>
      </c>
      <c r="C420" s="15"/>
      <c r="D420" s="25" t="s">
        <v>28</v>
      </c>
      <c r="E420" s="13">
        <v>1450.0</v>
      </c>
      <c r="F420" s="13">
        <v>362.0</v>
      </c>
      <c r="G420" s="15">
        <v>4374.0</v>
      </c>
      <c r="H420" s="15" t="s">
        <v>38</v>
      </c>
      <c r="I420" s="15" t="s">
        <v>43</v>
      </c>
      <c r="J420" s="15" t="s">
        <v>2749</v>
      </c>
      <c r="K420" s="15" t="s">
        <v>2764</v>
      </c>
      <c r="L420" s="15" t="s">
        <v>2744</v>
      </c>
    </row>
    <row r="421" ht="56.25" customHeight="1">
      <c r="A421" s="23" t="s">
        <v>3463</v>
      </c>
      <c r="B421" s="15" t="str">
        <f>image("https://storage.googleapis.com/acdb/bottoms/BottomsTexSkirtLongCheck1.png")</f>
        <v/>
      </c>
      <c r="C421" s="15"/>
      <c r="D421" s="25" t="s">
        <v>28</v>
      </c>
      <c r="E421" s="13">
        <v>1450.0</v>
      </c>
      <c r="F421" s="13">
        <v>362.0</v>
      </c>
      <c r="G421" s="15">
        <v>4374.0</v>
      </c>
      <c r="H421" s="15" t="s">
        <v>38</v>
      </c>
      <c r="I421" s="15" t="s">
        <v>43</v>
      </c>
      <c r="J421" s="15" t="s">
        <v>2749</v>
      </c>
      <c r="K421" s="15" t="s">
        <v>2764</v>
      </c>
      <c r="L421" s="15" t="s">
        <v>2744</v>
      </c>
    </row>
    <row r="422" ht="56.25" customHeight="1">
      <c r="A422" s="23" t="s">
        <v>3463</v>
      </c>
      <c r="B422" s="15" t="str">
        <f>image("https://storage.googleapis.com/acdb/bottoms/BottomsTexSkirtLongCheck2.png")</f>
        <v/>
      </c>
      <c r="C422" s="15"/>
      <c r="D422" s="25" t="s">
        <v>28</v>
      </c>
      <c r="E422" s="13">
        <v>1450.0</v>
      </c>
      <c r="F422" s="13">
        <v>362.0</v>
      </c>
      <c r="G422" s="15">
        <v>4374.0</v>
      </c>
      <c r="H422" s="15" t="s">
        <v>38</v>
      </c>
      <c r="I422" s="15" t="s">
        <v>43</v>
      </c>
      <c r="J422" s="15" t="s">
        <v>2749</v>
      </c>
      <c r="K422" s="15" t="s">
        <v>2764</v>
      </c>
      <c r="L422" s="15" t="s">
        <v>2744</v>
      </c>
    </row>
    <row r="423" ht="56.25" customHeight="1">
      <c r="A423" s="23" t="s">
        <v>3463</v>
      </c>
      <c r="B423" s="15" t="str">
        <f>image("https://storage.googleapis.com/acdb/bottoms/BottomsTexSkirtLongCheck3.png")</f>
        <v/>
      </c>
      <c r="C423" s="15"/>
      <c r="D423" s="25" t="s">
        <v>28</v>
      </c>
      <c r="E423" s="13">
        <v>1450.0</v>
      </c>
      <c r="F423" s="13">
        <v>362.0</v>
      </c>
      <c r="G423" s="15">
        <v>4374.0</v>
      </c>
      <c r="H423" s="15" t="s">
        <v>38</v>
      </c>
      <c r="I423" s="15" t="s">
        <v>43</v>
      </c>
      <c r="J423" s="15" t="s">
        <v>2749</v>
      </c>
      <c r="K423" s="15" t="s">
        <v>2764</v>
      </c>
      <c r="L423" s="15" t="s">
        <v>2744</v>
      </c>
    </row>
    <row r="424" ht="56.25" customHeight="1">
      <c r="A424" s="23" t="s">
        <v>3467</v>
      </c>
      <c r="B424" s="15" t="str">
        <f>image("https://storage.googleapis.com/acdb/bottoms/BottomsTexSkirtLongPleats0.png")</f>
        <v/>
      </c>
      <c r="C424" s="15"/>
      <c r="D424" s="25" t="s">
        <v>28</v>
      </c>
      <c r="E424" s="13">
        <v>1560.0</v>
      </c>
      <c r="F424" s="13">
        <v>390.0</v>
      </c>
      <c r="G424" s="15">
        <v>4222.0</v>
      </c>
      <c r="H424" s="15" t="s">
        <v>38</v>
      </c>
      <c r="I424" s="15" t="s">
        <v>43</v>
      </c>
      <c r="J424" s="15" t="s">
        <v>2749</v>
      </c>
      <c r="K424" s="15" t="s">
        <v>2751</v>
      </c>
      <c r="L424" s="15" t="s">
        <v>2744</v>
      </c>
    </row>
    <row r="425" ht="56.25" customHeight="1">
      <c r="A425" s="23" t="s">
        <v>3467</v>
      </c>
      <c r="B425" s="15" t="str">
        <f>image("https://storage.googleapis.com/acdb/bottoms/BottomsTexSkirtLongPleats1.png")</f>
        <v/>
      </c>
      <c r="C425" s="15"/>
      <c r="D425" s="25" t="s">
        <v>28</v>
      </c>
      <c r="E425" s="13">
        <v>1560.0</v>
      </c>
      <c r="F425" s="13">
        <v>390.0</v>
      </c>
      <c r="G425" s="15">
        <v>4222.0</v>
      </c>
      <c r="H425" s="15" t="s">
        <v>38</v>
      </c>
      <c r="I425" s="15" t="s">
        <v>43</v>
      </c>
      <c r="J425" s="15" t="s">
        <v>2749</v>
      </c>
      <c r="K425" s="15" t="s">
        <v>2751</v>
      </c>
      <c r="L425" s="15" t="s">
        <v>2744</v>
      </c>
    </row>
    <row r="426" ht="56.25" customHeight="1">
      <c r="A426" s="23" t="s">
        <v>3467</v>
      </c>
      <c r="B426" s="15" t="str">
        <f>image("https://storage.googleapis.com/acdb/bottoms/BottomsTexSkirtLongPleats2.png")</f>
        <v/>
      </c>
      <c r="C426" s="15"/>
      <c r="D426" s="25" t="s">
        <v>28</v>
      </c>
      <c r="E426" s="13">
        <v>1560.0</v>
      </c>
      <c r="F426" s="13">
        <v>390.0</v>
      </c>
      <c r="G426" s="15">
        <v>4222.0</v>
      </c>
      <c r="H426" s="15" t="s">
        <v>38</v>
      </c>
      <c r="I426" s="15" t="s">
        <v>43</v>
      </c>
      <c r="J426" s="15" t="s">
        <v>2749</v>
      </c>
      <c r="K426" s="15" t="s">
        <v>2751</v>
      </c>
      <c r="L426" s="15" t="s">
        <v>2744</v>
      </c>
    </row>
    <row r="427" ht="56.25" customHeight="1">
      <c r="A427" s="23" t="s">
        <v>3467</v>
      </c>
      <c r="B427" s="15" t="str">
        <f>image("https://storage.googleapis.com/acdb/bottoms/BottomsTexSkirtLongPleats3.png")</f>
        <v/>
      </c>
      <c r="C427" s="15"/>
      <c r="D427" s="25" t="s">
        <v>28</v>
      </c>
      <c r="E427" s="13">
        <v>1560.0</v>
      </c>
      <c r="F427" s="13">
        <v>390.0</v>
      </c>
      <c r="G427" s="15">
        <v>4222.0</v>
      </c>
      <c r="H427" s="15" t="s">
        <v>38</v>
      </c>
      <c r="I427" s="15" t="s">
        <v>43</v>
      </c>
      <c r="J427" s="15" t="s">
        <v>2749</v>
      </c>
      <c r="K427" s="15" t="s">
        <v>2751</v>
      </c>
      <c r="L427" s="15" t="s">
        <v>2744</v>
      </c>
    </row>
    <row r="428" ht="56.25" customHeight="1">
      <c r="A428" s="23" t="s">
        <v>3467</v>
      </c>
      <c r="B428" s="15" t="str">
        <f>image("https://storage.googleapis.com/acdb/bottoms/BottomsTexSkirtLongPleats4.png")</f>
        <v/>
      </c>
      <c r="C428" s="15"/>
      <c r="D428" s="25" t="s">
        <v>28</v>
      </c>
      <c r="E428" s="13">
        <v>1560.0</v>
      </c>
      <c r="F428" s="13">
        <v>390.0</v>
      </c>
      <c r="G428" s="15">
        <v>4222.0</v>
      </c>
      <c r="H428" s="15" t="s">
        <v>38</v>
      </c>
      <c r="I428" s="15" t="s">
        <v>43</v>
      </c>
      <c r="J428" s="15" t="s">
        <v>2749</v>
      </c>
      <c r="K428" s="15" t="s">
        <v>2751</v>
      </c>
      <c r="L428" s="15" t="s">
        <v>2744</v>
      </c>
    </row>
    <row r="429" ht="56.25" customHeight="1">
      <c r="A429" s="23" t="s">
        <v>3471</v>
      </c>
      <c r="B429" s="15" t="str">
        <f>image("https://storage.googleapis.com/acdb/bottoms/BottomsTexSkirtLongDot0.png")</f>
        <v/>
      </c>
      <c r="C429" s="15"/>
      <c r="D429" s="25" t="s">
        <v>28</v>
      </c>
      <c r="E429" s="13">
        <v>1300.0</v>
      </c>
      <c r="F429" s="13">
        <v>325.0</v>
      </c>
      <c r="G429" s="15">
        <v>4252.0</v>
      </c>
      <c r="H429" s="15" t="s">
        <v>38</v>
      </c>
      <c r="I429" s="15" t="s">
        <v>43</v>
      </c>
      <c r="J429" s="15" t="s">
        <v>2749</v>
      </c>
      <c r="K429" s="15" t="s">
        <v>2764</v>
      </c>
      <c r="L429" s="15" t="s">
        <v>2744</v>
      </c>
    </row>
    <row r="430" ht="56.25" customHeight="1">
      <c r="A430" s="23" t="s">
        <v>3471</v>
      </c>
      <c r="B430" s="15" t="str">
        <f>image("https://storage.googleapis.com/acdb/bottoms/BottomsTexSkirtLongDot1.png")</f>
        <v/>
      </c>
      <c r="C430" s="15"/>
      <c r="D430" s="25" t="s">
        <v>28</v>
      </c>
      <c r="E430" s="13">
        <v>1300.0</v>
      </c>
      <c r="F430" s="13">
        <v>325.0</v>
      </c>
      <c r="G430" s="15">
        <v>4252.0</v>
      </c>
      <c r="H430" s="15" t="s">
        <v>38</v>
      </c>
      <c r="I430" s="15" t="s">
        <v>43</v>
      </c>
      <c r="J430" s="15" t="s">
        <v>2749</v>
      </c>
      <c r="K430" s="15" t="s">
        <v>2764</v>
      </c>
      <c r="L430" s="15" t="s">
        <v>2744</v>
      </c>
    </row>
    <row r="431" ht="56.25" customHeight="1">
      <c r="A431" s="23" t="s">
        <v>3471</v>
      </c>
      <c r="B431" s="15" t="str">
        <f>image("https://storage.googleapis.com/acdb/bottoms/BottomsTexSkirtLongDot2.png")</f>
        <v/>
      </c>
      <c r="C431" s="15"/>
      <c r="D431" s="25" t="s">
        <v>28</v>
      </c>
      <c r="E431" s="13">
        <v>1300.0</v>
      </c>
      <c r="F431" s="13">
        <v>325.0</v>
      </c>
      <c r="G431" s="15">
        <v>4252.0</v>
      </c>
      <c r="H431" s="15" t="s">
        <v>38</v>
      </c>
      <c r="I431" s="15" t="s">
        <v>43</v>
      </c>
      <c r="J431" s="15" t="s">
        <v>2749</v>
      </c>
      <c r="K431" s="15" t="s">
        <v>2764</v>
      </c>
      <c r="L431" s="15" t="s">
        <v>2744</v>
      </c>
    </row>
    <row r="432" ht="56.25" customHeight="1">
      <c r="A432" s="23" t="s">
        <v>3471</v>
      </c>
      <c r="B432" s="15" t="str">
        <f>image("https://storage.googleapis.com/acdb/bottoms/BottomsTexSkirtLongDot3.png")</f>
        <v/>
      </c>
      <c r="C432" s="15"/>
      <c r="D432" s="25" t="s">
        <v>28</v>
      </c>
      <c r="E432" s="13">
        <v>1300.0</v>
      </c>
      <c r="F432" s="13">
        <v>325.0</v>
      </c>
      <c r="G432" s="15">
        <v>4252.0</v>
      </c>
      <c r="H432" s="15" t="s">
        <v>38</v>
      </c>
      <c r="I432" s="15" t="s">
        <v>43</v>
      </c>
      <c r="J432" s="15" t="s">
        <v>2749</v>
      </c>
      <c r="K432" s="15" t="s">
        <v>2764</v>
      </c>
      <c r="L432" s="15" t="s">
        <v>2744</v>
      </c>
    </row>
    <row r="433" ht="56.25" customHeight="1">
      <c r="A433" s="23" t="s">
        <v>3471</v>
      </c>
      <c r="B433" s="15" t="str">
        <f>image("https://storage.googleapis.com/acdb/bottoms/BottomsTexSkirtLongDot4.png")</f>
        <v/>
      </c>
      <c r="C433" s="15"/>
      <c r="D433" s="25" t="s">
        <v>28</v>
      </c>
      <c r="E433" s="13">
        <v>1300.0</v>
      </c>
      <c r="F433" s="13">
        <v>325.0</v>
      </c>
      <c r="G433" s="15">
        <v>4252.0</v>
      </c>
      <c r="H433" s="15" t="s">
        <v>38</v>
      </c>
      <c r="I433" s="15" t="s">
        <v>43</v>
      </c>
      <c r="J433" s="15" t="s">
        <v>2749</v>
      </c>
      <c r="K433" s="15" t="s">
        <v>2764</v>
      </c>
      <c r="L433" s="15" t="s">
        <v>2744</v>
      </c>
    </row>
    <row r="434" ht="56.25" customHeight="1">
      <c r="A434" s="23" t="s">
        <v>3471</v>
      </c>
      <c r="B434" s="15" t="str">
        <f>image("https://storage.googleapis.com/acdb/bottoms/BottomsTexSkirtLongDot5.png")</f>
        <v/>
      </c>
      <c r="C434" s="15"/>
      <c r="D434" s="25" t="s">
        <v>28</v>
      </c>
      <c r="E434" s="13">
        <v>1300.0</v>
      </c>
      <c r="F434" s="13">
        <v>325.0</v>
      </c>
      <c r="G434" s="15">
        <v>4252.0</v>
      </c>
      <c r="H434" s="15" t="s">
        <v>38</v>
      </c>
      <c r="I434" s="15" t="s">
        <v>43</v>
      </c>
      <c r="J434" s="15" t="s">
        <v>2749</v>
      </c>
      <c r="K434" s="15" t="s">
        <v>2764</v>
      </c>
      <c r="L434" s="15" t="s">
        <v>2744</v>
      </c>
    </row>
    <row r="435" ht="56.25" customHeight="1">
      <c r="A435" s="23" t="s">
        <v>3471</v>
      </c>
      <c r="B435" s="15" t="str">
        <f>image("https://storage.googleapis.com/acdb/bottoms/BottomsTexSkirtLongDot6.png")</f>
        <v/>
      </c>
      <c r="C435" s="15"/>
      <c r="D435" s="25" t="s">
        <v>28</v>
      </c>
      <c r="E435" s="13">
        <v>1300.0</v>
      </c>
      <c r="F435" s="13">
        <v>325.0</v>
      </c>
      <c r="G435" s="15">
        <v>4252.0</v>
      </c>
      <c r="H435" s="15" t="s">
        <v>38</v>
      </c>
      <c r="I435" s="15" t="s">
        <v>43</v>
      </c>
      <c r="J435" s="15" t="s">
        <v>2749</v>
      </c>
      <c r="K435" s="15" t="s">
        <v>2764</v>
      </c>
      <c r="L435" s="15" t="s">
        <v>2744</v>
      </c>
    </row>
    <row r="436" ht="56.25" customHeight="1">
      <c r="A436" s="23" t="s">
        <v>3471</v>
      </c>
      <c r="B436" s="15" t="str">
        <f>image("https://storage.googleapis.com/acdb/bottoms/BottomsTexSkirtLongDot7.png")</f>
        <v/>
      </c>
      <c r="C436" s="15"/>
      <c r="D436" s="25" t="s">
        <v>28</v>
      </c>
      <c r="E436" s="13">
        <v>1300.0</v>
      </c>
      <c r="F436" s="13">
        <v>325.0</v>
      </c>
      <c r="G436" s="15">
        <v>4252.0</v>
      </c>
      <c r="H436" s="15" t="s">
        <v>38</v>
      </c>
      <c r="I436" s="15" t="s">
        <v>43</v>
      </c>
      <c r="J436" s="15" t="s">
        <v>2749</v>
      </c>
      <c r="K436" s="15" t="s">
        <v>2764</v>
      </c>
      <c r="L436" s="15" t="s">
        <v>2744</v>
      </c>
    </row>
    <row r="437" ht="56.25" customHeight="1">
      <c r="A437" s="23" t="s">
        <v>3479</v>
      </c>
      <c r="B437" s="15" t="str">
        <f>image("https://storage.googleapis.com/acdb/bottoms/BottomsTexSkirtLongSailor0.png")</f>
        <v/>
      </c>
      <c r="C437" s="15"/>
      <c r="D437" s="25" t="s">
        <v>28</v>
      </c>
      <c r="E437" s="13">
        <v>1560.0</v>
      </c>
      <c r="F437" s="13">
        <v>390.0</v>
      </c>
      <c r="G437" s="15">
        <v>6016.0</v>
      </c>
      <c r="H437" s="15" t="s">
        <v>38</v>
      </c>
      <c r="I437" s="15" t="s">
        <v>43</v>
      </c>
      <c r="J437" s="15" t="s">
        <v>2749</v>
      </c>
      <c r="K437" s="15" t="s">
        <v>2751</v>
      </c>
      <c r="L437" s="15" t="s">
        <v>2744</v>
      </c>
    </row>
    <row r="438" ht="56.25" customHeight="1">
      <c r="A438" s="23" t="s">
        <v>3479</v>
      </c>
      <c r="B438" s="15" t="str">
        <f>image("https://storage.googleapis.com/acdb/bottoms/BottomsTexSkirtLongSailor1.png")</f>
        <v/>
      </c>
      <c r="C438" s="15"/>
      <c r="D438" s="25" t="s">
        <v>28</v>
      </c>
      <c r="E438" s="13">
        <v>1560.0</v>
      </c>
      <c r="F438" s="13">
        <v>390.0</v>
      </c>
      <c r="G438" s="15">
        <v>6016.0</v>
      </c>
      <c r="H438" s="15" t="s">
        <v>38</v>
      </c>
      <c r="I438" s="15" t="s">
        <v>43</v>
      </c>
      <c r="J438" s="15" t="s">
        <v>2749</v>
      </c>
      <c r="K438" s="15" t="s">
        <v>2751</v>
      </c>
      <c r="L438" s="15" t="s">
        <v>2744</v>
      </c>
    </row>
    <row r="439" ht="56.25" customHeight="1">
      <c r="A439" s="23" t="s">
        <v>3479</v>
      </c>
      <c r="B439" s="15" t="str">
        <f>image("https://storage.googleapis.com/acdb/bottoms/BottomsTexSkirtLongSailor2.png")</f>
        <v/>
      </c>
      <c r="C439" s="15"/>
      <c r="D439" s="25" t="s">
        <v>28</v>
      </c>
      <c r="E439" s="13">
        <v>1560.0</v>
      </c>
      <c r="F439" s="13">
        <v>390.0</v>
      </c>
      <c r="G439" s="15">
        <v>6016.0</v>
      </c>
      <c r="H439" s="15" t="s">
        <v>38</v>
      </c>
      <c r="I439" s="15" t="s">
        <v>43</v>
      </c>
      <c r="J439" s="15" t="s">
        <v>2749</v>
      </c>
      <c r="K439" s="15" t="s">
        <v>2751</v>
      </c>
      <c r="L439" s="15" t="s">
        <v>2744</v>
      </c>
    </row>
    <row r="440" ht="56.25" customHeight="1">
      <c r="A440" s="23" t="s">
        <v>3479</v>
      </c>
      <c r="B440" s="15" t="str">
        <f>image("https://storage.googleapis.com/acdb/bottoms/BottomsTexSkirtLongSailor3.png")</f>
        <v/>
      </c>
      <c r="C440" s="15"/>
      <c r="D440" s="25" t="s">
        <v>28</v>
      </c>
      <c r="E440" s="13">
        <v>1560.0</v>
      </c>
      <c r="F440" s="13">
        <v>390.0</v>
      </c>
      <c r="G440" s="15">
        <v>6016.0</v>
      </c>
      <c r="H440" s="15" t="s">
        <v>38</v>
      </c>
      <c r="I440" s="15" t="s">
        <v>43</v>
      </c>
      <c r="J440" s="15" t="s">
        <v>2749</v>
      </c>
      <c r="K440" s="15" t="s">
        <v>2751</v>
      </c>
      <c r="L440" s="15" t="s">
        <v>2744</v>
      </c>
    </row>
    <row r="441" ht="56.25" customHeight="1">
      <c r="A441" s="23" t="s">
        <v>3479</v>
      </c>
      <c r="B441" s="15" t="str">
        <f>image("https://storage.googleapis.com/acdb/bottoms/BottomsTexSkirtLongSailor4.png")</f>
        <v/>
      </c>
      <c r="C441" s="15"/>
      <c r="D441" s="25" t="s">
        <v>28</v>
      </c>
      <c r="E441" s="13">
        <v>1560.0</v>
      </c>
      <c r="F441" s="13">
        <v>390.0</v>
      </c>
      <c r="G441" s="15">
        <v>6016.0</v>
      </c>
      <c r="H441" s="15" t="s">
        <v>38</v>
      </c>
      <c r="I441" s="15" t="s">
        <v>43</v>
      </c>
      <c r="J441" s="15" t="s">
        <v>2749</v>
      </c>
      <c r="K441" s="15" t="s">
        <v>2751</v>
      </c>
      <c r="L441" s="15" t="s">
        <v>2744</v>
      </c>
    </row>
    <row r="442" ht="56.25" customHeight="1">
      <c r="A442" s="23" t="s">
        <v>3479</v>
      </c>
      <c r="B442" s="15" t="str">
        <f>image("https://storage.googleapis.com/acdb/bottoms/BottomsTexSkirtLongSailor5.png")</f>
        <v/>
      </c>
      <c r="C442" s="15"/>
      <c r="D442" s="25" t="s">
        <v>28</v>
      </c>
      <c r="E442" s="13">
        <v>1560.0</v>
      </c>
      <c r="F442" s="13">
        <v>390.0</v>
      </c>
      <c r="G442" s="15">
        <v>6016.0</v>
      </c>
      <c r="H442" s="15" t="s">
        <v>38</v>
      </c>
      <c r="I442" s="15" t="s">
        <v>43</v>
      </c>
      <c r="J442" s="15" t="s">
        <v>2749</v>
      </c>
      <c r="K442" s="15" t="s">
        <v>2751</v>
      </c>
      <c r="L442" s="15" t="s">
        <v>2744</v>
      </c>
    </row>
    <row r="443" ht="56.25" customHeight="1">
      <c r="A443" s="23" t="s">
        <v>3479</v>
      </c>
      <c r="B443" s="15" t="str">
        <f>image("https://storage.googleapis.com/acdb/bottoms/BottomsTexSkirtLongSailor6.png")</f>
        <v/>
      </c>
      <c r="C443" s="15"/>
      <c r="D443" s="25" t="s">
        <v>28</v>
      </c>
      <c r="E443" s="13">
        <v>1560.0</v>
      </c>
      <c r="F443" s="13">
        <v>390.0</v>
      </c>
      <c r="G443" s="15">
        <v>6016.0</v>
      </c>
      <c r="H443" s="15" t="s">
        <v>38</v>
      </c>
      <c r="I443" s="15" t="s">
        <v>43</v>
      </c>
      <c r="J443" s="15" t="s">
        <v>2749</v>
      </c>
      <c r="K443" s="15" t="s">
        <v>2751</v>
      </c>
      <c r="L443" s="15" t="s">
        <v>2744</v>
      </c>
    </row>
    <row r="444" ht="56.25" customHeight="1">
      <c r="A444" s="23" t="s">
        <v>3479</v>
      </c>
      <c r="B444" s="15" t="str">
        <f>image("https://storage.googleapis.com/acdb/bottoms/BottomsTexSkirtLongSailor7.png")</f>
        <v/>
      </c>
      <c r="C444" s="15"/>
      <c r="D444" s="25" t="s">
        <v>28</v>
      </c>
      <c r="E444" s="13">
        <v>1560.0</v>
      </c>
      <c r="F444" s="13">
        <v>390.0</v>
      </c>
      <c r="G444" s="15">
        <v>6016.0</v>
      </c>
      <c r="H444" s="15" t="s">
        <v>38</v>
      </c>
      <c r="I444" s="15" t="s">
        <v>43</v>
      </c>
      <c r="J444" s="15" t="s">
        <v>2749</v>
      </c>
      <c r="K444" s="15" t="s">
        <v>2751</v>
      </c>
      <c r="L444" s="15" t="s">
        <v>2744</v>
      </c>
    </row>
    <row r="445" ht="56.25" customHeight="1">
      <c r="A445" s="23" t="s">
        <v>3487</v>
      </c>
      <c r="B445" s="15" t="str">
        <f>image("https://storage.googleapis.com/acdb/bottoms/BottomsTexSkirtLongSweat0.png")</f>
        <v/>
      </c>
      <c r="C445" s="15"/>
      <c r="D445" s="25" t="s">
        <v>28</v>
      </c>
      <c r="E445" s="13">
        <v>1000.0</v>
      </c>
      <c r="F445" s="13">
        <v>250.0</v>
      </c>
      <c r="G445" s="15">
        <v>5417.0</v>
      </c>
      <c r="H445" s="15" t="s">
        <v>38</v>
      </c>
      <c r="I445" s="15" t="s">
        <v>43</v>
      </c>
      <c r="J445" s="15" t="s">
        <v>2749</v>
      </c>
      <c r="K445" s="15" t="s">
        <v>2764</v>
      </c>
      <c r="L445" s="15" t="s">
        <v>2793</v>
      </c>
    </row>
    <row r="446" ht="56.25" customHeight="1">
      <c r="A446" s="23" t="s">
        <v>3487</v>
      </c>
      <c r="B446" s="15" t="str">
        <f>image("https://storage.googleapis.com/acdb/bottoms/BottomsTexSkirtLongSweat1.png")</f>
        <v/>
      </c>
      <c r="C446" s="15"/>
      <c r="D446" s="25" t="s">
        <v>28</v>
      </c>
      <c r="E446" s="13">
        <v>1000.0</v>
      </c>
      <c r="F446" s="13">
        <v>250.0</v>
      </c>
      <c r="G446" s="15">
        <v>5417.0</v>
      </c>
      <c r="H446" s="15" t="s">
        <v>38</v>
      </c>
      <c r="I446" s="15" t="s">
        <v>43</v>
      </c>
      <c r="J446" s="15" t="s">
        <v>2749</v>
      </c>
      <c r="K446" s="15" t="s">
        <v>2764</v>
      </c>
      <c r="L446" s="15" t="s">
        <v>2793</v>
      </c>
    </row>
    <row r="447" ht="56.25" customHeight="1">
      <c r="A447" s="23" t="s">
        <v>3487</v>
      </c>
      <c r="B447" s="15" t="str">
        <f>image("https://storage.googleapis.com/acdb/bottoms/BottomsTexSkirtLongSweat2.png")</f>
        <v/>
      </c>
      <c r="C447" s="15"/>
      <c r="D447" s="25" t="s">
        <v>28</v>
      </c>
      <c r="E447" s="13">
        <v>1000.0</v>
      </c>
      <c r="F447" s="13">
        <v>250.0</v>
      </c>
      <c r="G447" s="15">
        <v>5417.0</v>
      </c>
      <c r="H447" s="15" t="s">
        <v>38</v>
      </c>
      <c r="I447" s="15" t="s">
        <v>43</v>
      </c>
      <c r="J447" s="15" t="s">
        <v>2749</v>
      </c>
      <c r="K447" s="15" t="s">
        <v>2764</v>
      </c>
      <c r="L447" s="15" t="s">
        <v>2793</v>
      </c>
    </row>
    <row r="448" ht="56.25" customHeight="1">
      <c r="A448" s="23" t="s">
        <v>3487</v>
      </c>
      <c r="B448" s="15" t="str">
        <f>image("https://storage.googleapis.com/acdb/bottoms/BottomsTexSkirtLongSweat3.png")</f>
        <v/>
      </c>
      <c r="C448" s="15"/>
      <c r="D448" s="25" t="s">
        <v>28</v>
      </c>
      <c r="E448" s="13">
        <v>1000.0</v>
      </c>
      <c r="F448" s="13">
        <v>250.0</v>
      </c>
      <c r="G448" s="15">
        <v>5417.0</v>
      </c>
      <c r="H448" s="15" t="s">
        <v>38</v>
      </c>
      <c r="I448" s="15" t="s">
        <v>43</v>
      </c>
      <c r="J448" s="15" t="s">
        <v>2749</v>
      </c>
      <c r="K448" s="15" t="s">
        <v>2764</v>
      </c>
      <c r="L448" s="15" t="s">
        <v>2793</v>
      </c>
    </row>
    <row r="449" ht="56.25" customHeight="1">
      <c r="A449" s="23" t="s">
        <v>3491</v>
      </c>
      <c r="B449" s="15" t="str">
        <f>image("https://storage.googleapis.com/acdb/bottoms/BottomsTexPantsHotThai0.png")</f>
        <v/>
      </c>
      <c r="C449" s="15"/>
      <c r="D449" s="25" t="s">
        <v>28</v>
      </c>
      <c r="E449" s="13">
        <v>980.0</v>
      </c>
      <c r="F449" s="13">
        <v>245.0</v>
      </c>
      <c r="G449" s="15">
        <v>4522.0</v>
      </c>
      <c r="H449" s="15" t="s">
        <v>38</v>
      </c>
      <c r="I449" s="15" t="s">
        <v>43</v>
      </c>
      <c r="J449" s="15" t="s">
        <v>2749</v>
      </c>
      <c r="K449" s="15" t="s">
        <v>2751</v>
      </c>
      <c r="L449" s="15" t="s">
        <v>2793</v>
      </c>
    </row>
    <row r="450" ht="56.25" customHeight="1">
      <c r="A450" s="23" t="s">
        <v>3491</v>
      </c>
      <c r="B450" s="15" t="str">
        <f>image("https://storage.googleapis.com/acdb/bottoms/BottomsTexPantsHotThai1.png")</f>
        <v/>
      </c>
      <c r="C450" s="15"/>
      <c r="D450" s="25" t="s">
        <v>28</v>
      </c>
      <c r="E450" s="13">
        <v>980.0</v>
      </c>
      <c r="F450" s="13">
        <v>245.0</v>
      </c>
      <c r="G450" s="15">
        <v>4522.0</v>
      </c>
      <c r="H450" s="15" t="s">
        <v>38</v>
      </c>
      <c r="I450" s="15" t="s">
        <v>43</v>
      </c>
      <c r="J450" s="15" t="s">
        <v>2749</v>
      </c>
      <c r="K450" s="15" t="s">
        <v>2751</v>
      </c>
      <c r="L450" s="15" t="s">
        <v>2793</v>
      </c>
    </row>
    <row r="451" ht="56.25" customHeight="1">
      <c r="A451" s="23" t="s">
        <v>3491</v>
      </c>
      <c r="B451" s="15" t="str">
        <f>image("https://storage.googleapis.com/acdb/bottoms/BottomsTexPantsHotThai2.png")</f>
        <v/>
      </c>
      <c r="C451" s="15"/>
      <c r="D451" s="25" t="s">
        <v>28</v>
      </c>
      <c r="E451" s="13">
        <v>980.0</v>
      </c>
      <c r="F451" s="13">
        <v>245.0</v>
      </c>
      <c r="G451" s="15">
        <v>4522.0</v>
      </c>
      <c r="H451" s="15" t="s">
        <v>38</v>
      </c>
      <c r="I451" s="15" t="s">
        <v>43</v>
      </c>
      <c r="J451" s="15" t="s">
        <v>2749</v>
      </c>
      <c r="K451" s="15" t="s">
        <v>2751</v>
      </c>
      <c r="L451" s="15" t="s">
        <v>2793</v>
      </c>
    </row>
    <row r="452" ht="56.25" customHeight="1">
      <c r="A452" s="23" t="s">
        <v>3491</v>
      </c>
      <c r="B452" s="15" t="str">
        <f>image("https://storage.googleapis.com/acdb/bottoms/BottomsTexPantsHotThai3.png")</f>
        <v/>
      </c>
      <c r="C452" s="15"/>
      <c r="D452" s="25" t="s">
        <v>28</v>
      </c>
      <c r="E452" s="13">
        <v>980.0</v>
      </c>
      <c r="F452" s="13">
        <v>245.0</v>
      </c>
      <c r="G452" s="15">
        <v>4522.0</v>
      </c>
      <c r="H452" s="15" t="s">
        <v>38</v>
      </c>
      <c r="I452" s="15" t="s">
        <v>43</v>
      </c>
      <c r="J452" s="15" t="s">
        <v>2749</v>
      </c>
      <c r="K452" s="15" t="s">
        <v>2751</v>
      </c>
      <c r="L452" s="15" t="s">
        <v>2793</v>
      </c>
    </row>
    <row r="453" ht="56.25" customHeight="1">
      <c r="A453" s="23" t="s">
        <v>3495</v>
      </c>
      <c r="B453" s="15" t="str">
        <f>image("https://storage.googleapis.com/acdb/bottoms/BottomsTexPantsHalfMulticolor0.png")</f>
        <v/>
      </c>
      <c r="C453" s="15"/>
      <c r="D453" s="25" t="s">
        <v>28</v>
      </c>
      <c r="E453" s="13">
        <v>1100.0</v>
      </c>
      <c r="F453" s="13">
        <v>275.0</v>
      </c>
      <c r="G453" s="15">
        <v>4371.0</v>
      </c>
      <c r="H453" s="15" t="s">
        <v>38</v>
      </c>
      <c r="I453" s="15" t="s">
        <v>43</v>
      </c>
      <c r="J453" s="15" t="s">
        <v>2749</v>
      </c>
      <c r="K453" s="15" t="s">
        <v>2764</v>
      </c>
      <c r="L453" s="15" t="s">
        <v>2793</v>
      </c>
    </row>
    <row r="454" ht="56.25" customHeight="1">
      <c r="A454" s="23" t="s">
        <v>3495</v>
      </c>
      <c r="B454" s="15" t="str">
        <f>image("https://storage.googleapis.com/acdb/bottoms/BottomsTexPantsHalfMulticolor1.png")</f>
        <v/>
      </c>
      <c r="C454" s="15"/>
      <c r="D454" s="25" t="s">
        <v>28</v>
      </c>
      <c r="E454" s="13">
        <v>1100.0</v>
      </c>
      <c r="F454" s="13">
        <v>275.0</v>
      </c>
      <c r="G454" s="15">
        <v>4371.0</v>
      </c>
      <c r="H454" s="15" t="s">
        <v>38</v>
      </c>
      <c r="I454" s="15" t="s">
        <v>43</v>
      </c>
      <c r="J454" s="15" t="s">
        <v>2749</v>
      </c>
      <c r="K454" s="15" t="s">
        <v>2764</v>
      </c>
      <c r="L454" s="15" t="s">
        <v>2793</v>
      </c>
    </row>
    <row r="455" ht="56.25" customHeight="1">
      <c r="A455" s="23" t="s">
        <v>3495</v>
      </c>
      <c r="B455" s="15" t="str">
        <f>image("https://storage.googleapis.com/acdb/bottoms/BottomsTexPantsHalfMulticolor2.png")</f>
        <v/>
      </c>
      <c r="C455" s="15"/>
      <c r="D455" s="25" t="s">
        <v>28</v>
      </c>
      <c r="E455" s="13">
        <v>1100.0</v>
      </c>
      <c r="F455" s="13">
        <v>275.0</v>
      </c>
      <c r="G455" s="15">
        <v>4371.0</v>
      </c>
      <c r="H455" s="15" t="s">
        <v>38</v>
      </c>
      <c r="I455" s="15" t="s">
        <v>43</v>
      </c>
      <c r="J455" s="15" t="s">
        <v>2749</v>
      </c>
      <c r="K455" s="15" t="s">
        <v>2764</v>
      </c>
      <c r="L455" s="15" t="s">
        <v>2793</v>
      </c>
    </row>
    <row r="456" ht="56.25" customHeight="1">
      <c r="A456" s="23" t="s">
        <v>3495</v>
      </c>
      <c r="B456" s="15" t="str">
        <f>image("https://storage.googleapis.com/acdb/bottoms/BottomsTexPantsHalfMulticolor3.png")</f>
        <v/>
      </c>
      <c r="C456" s="15"/>
      <c r="D456" s="25" t="s">
        <v>28</v>
      </c>
      <c r="E456" s="13">
        <v>1100.0</v>
      </c>
      <c r="F456" s="13">
        <v>275.0</v>
      </c>
      <c r="G456" s="15">
        <v>4371.0</v>
      </c>
      <c r="H456" s="15" t="s">
        <v>38</v>
      </c>
      <c r="I456" s="15" t="s">
        <v>43</v>
      </c>
      <c r="J456" s="15" t="s">
        <v>2749</v>
      </c>
      <c r="K456" s="15" t="s">
        <v>2764</v>
      </c>
      <c r="L456" s="15" t="s">
        <v>2793</v>
      </c>
    </row>
    <row r="457" ht="56.25" customHeight="1">
      <c r="A457" s="23" t="s">
        <v>3499</v>
      </c>
      <c r="B457" s="15" t="str">
        <f>image("https://storage.googleapis.com/acdb/bottoms/BottomsTexPantsNormalNoble0.png")</f>
        <v/>
      </c>
      <c r="C457" s="15"/>
      <c r="D457" s="25" t="s">
        <v>28</v>
      </c>
      <c r="E457" s="13">
        <v>4300.0</v>
      </c>
      <c r="F457" s="13">
        <v>1075.0</v>
      </c>
      <c r="G457" s="15">
        <v>4398.0</v>
      </c>
      <c r="H457" s="15" t="s">
        <v>38</v>
      </c>
      <c r="I457" s="15" t="s">
        <v>43</v>
      </c>
      <c r="J457" s="15" t="s">
        <v>2749</v>
      </c>
      <c r="K457" s="15" t="s">
        <v>2751</v>
      </c>
      <c r="L457" s="15" t="s">
        <v>852</v>
      </c>
    </row>
    <row r="458" ht="56.25" customHeight="1">
      <c r="A458" s="23" t="s">
        <v>3499</v>
      </c>
      <c r="B458" s="15" t="str">
        <f>image("https://storage.googleapis.com/acdb/bottoms/BottomsTexPantsNormalNoble1.png")</f>
        <v/>
      </c>
      <c r="C458" s="15"/>
      <c r="D458" s="25" t="s">
        <v>28</v>
      </c>
      <c r="E458" s="13">
        <v>4300.0</v>
      </c>
      <c r="F458" s="13">
        <v>1075.0</v>
      </c>
      <c r="G458" s="15">
        <v>4398.0</v>
      </c>
      <c r="H458" s="15" t="s">
        <v>38</v>
      </c>
      <c r="I458" s="15" t="s">
        <v>43</v>
      </c>
      <c r="J458" s="15" t="s">
        <v>2749</v>
      </c>
      <c r="K458" s="15" t="s">
        <v>2751</v>
      </c>
      <c r="L458" s="15" t="s">
        <v>852</v>
      </c>
    </row>
    <row r="459" ht="56.25" customHeight="1">
      <c r="A459" s="23" t="s">
        <v>3499</v>
      </c>
      <c r="B459" s="15" t="str">
        <f>image("https://storage.googleapis.com/acdb/bottoms/BottomsTexPantsNormalNoble2.png")</f>
        <v/>
      </c>
      <c r="C459" s="15"/>
      <c r="D459" s="25" t="s">
        <v>28</v>
      </c>
      <c r="E459" s="13">
        <v>4300.0</v>
      </c>
      <c r="F459" s="13">
        <v>1075.0</v>
      </c>
      <c r="G459" s="15">
        <v>4398.0</v>
      </c>
      <c r="H459" s="15" t="s">
        <v>38</v>
      </c>
      <c r="I459" s="15" t="s">
        <v>43</v>
      </c>
      <c r="J459" s="15" t="s">
        <v>2749</v>
      </c>
      <c r="K459" s="15" t="s">
        <v>2751</v>
      </c>
      <c r="L459" s="15" t="s">
        <v>852</v>
      </c>
    </row>
    <row r="460" ht="56.25" customHeight="1">
      <c r="A460" s="23" t="s">
        <v>3499</v>
      </c>
      <c r="B460" s="15" t="str">
        <f>image("https://storage.googleapis.com/acdb/bottoms/BottomsTexPantsNormalNoble3.png")</f>
        <v/>
      </c>
      <c r="C460" s="15"/>
      <c r="D460" s="25" t="s">
        <v>28</v>
      </c>
      <c r="E460" s="13">
        <v>4300.0</v>
      </c>
      <c r="F460" s="13">
        <v>1075.0</v>
      </c>
      <c r="G460" s="15">
        <v>4398.0</v>
      </c>
      <c r="H460" s="15" t="s">
        <v>38</v>
      </c>
      <c r="I460" s="15" t="s">
        <v>43</v>
      </c>
      <c r="J460" s="15" t="s">
        <v>2749</v>
      </c>
      <c r="K460" s="15" t="s">
        <v>2751</v>
      </c>
      <c r="L460" s="15" t="s">
        <v>852</v>
      </c>
    </row>
    <row r="461" ht="56.25" customHeight="1">
      <c r="A461" s="23" t="s">
        <v>3499</v>
      </c>
      <c r="B461" s="15" t="str">
        <f>image("https://storage.googleapis.com/acdb/bottoms/BottomsTexPantsNormalNoble4.png")</f>
        <v/>
      </c>
      <c r="C461" s="15"/>
      <c r="D461" s="25" t="s">
        <v>28</v>
      </c>
      <c r="E461" s="13">
        <v>4300.0</v>
      </c>
      <c r="F461" s="13">
        <v>1075.0</v>
      </c>
      <c r="G461" s="15">
        <v>4398.0</v>
      </c>
      <c r="H461" s="15" t="s">
        <v>38</v>
      </c>
      <c r="I461" s="15" t="s">
        <v>43</v>
      </c>
      <c r="J461" s="15" t="s">
        <v>2749</v>
      </c>
      <c r="K461" s="15" t="s">
        <v>2751</v>
      </c>
      <c r="L461" s="15" t="s">
        <v>852</v>
      </c>
    </row>
    <row r="462" ht="56.25" customHeight="1">
      <c r="A462" s="23" t="s">
        <v>3499</v>
      </c>
      <c r="B462" s="15" t="str">
        <f>image("https://storage.googleapis.com/acdb/bottoms/BottomsTexPantsNormalNoble5.png")</f>
        <v/>
      </c>
      <c r="C462" s="15"/>
      <c r="D462" s="25" t="s">
        <v>28</v>
      </c>
      <c r="E462" s="13">
        <v>4300.0</v>
      </c>
      <c r="F462" s="13">
        <v>1075.0</v>
      </c>
      <c r="G462" s="15">
        <v>4398.0</v>
      </c>
      <c r="H462" s="15" t="s">
        <v>38</v>
      </c>
      <c r="I462" s="15" t="s">
        <v>43</v>
      </c>
      <c r="J462" s="15" t="s">
        <v>2749</v>
      </c>
      <c r="K462" s="15" t="s">
        <v>2751</v>
      </c>
      <c r="L462" s="15" t="s">
        <v>852</v>
      </c>
    </row>
    <row r="463" ht="56.25" customHeight="1">
      <c r="A463" s="23" t="s">
        <v>3499</v>
      </c>
      <c r="B463" s="15" t="str">
        <f>image("https://storage.googleapis.com/acdb/bottoms/BottomsTexPantsNormalNoble6.png")</f>
        <v/>
      </c>
      <c r="C463" s="15"/>
      <c r="D463" s="25" t="s">
        <v>28</v>
      </c>
      <c r="E463" s="13">
        <v>4300.0</v>
      </c>
      <c r="F463" s="13">
        <v>1075.0</v>
      </c>
      <c r="G463" s="15">
        <v>4398.0</v>
      </c>
      <c r="H463" s="15" t="s">
        <v>38</v>
      </c>
      <c r="I463" s="15" t="s">
        <v>43</v>
      </c>
      <c r="J463" s="15" t="s">
        <v>2749</v>
      </c>
      <c r="K463" s="15" t="s">
        <v>2751</v>
      </c>
      <c r="L463" s="15" t="s">
        <v>852</v>
      </c>
    </row>
    <row r="464" ht="56.25" customHeight="1">
      <c r="A464" s="23" t="s">
        <v>3499</v>
      </c>
      <c r="B464" s="15" t="str">
        <f>image("https://storage.googleapis.com/acdb/bottoms/BottomsTexPantsNormalNoble7.png")</f>
        <v/>
      </c>
      <c r="C464" s="15"/>
      <c r="D464" s="25" t="s">
        <v>28</v>
      </c>
      <c r="E464" s="13">
        <v>4300.0</v>
      </c>
      <c r="F464" s="13">
        <v>1075.0</v>
      </c>
      <c r="G464" s="15">
        <v>4398.0</v>
      </c>
      <c r="H464" s="15" t="s">
        <v>38</v>
      </c>
      <c r="I464" s="15" t="s">
        <v>43</v>
      </c>
      <c r="J464" s="15" t="s">
        <v>2749</v>
      </c>
      <c r="K464" s="15" t="s">
        <v>2751</v>
      </c>
      <c r="L464" s="15" t="s">
        <v>852</v>
      </c>
    </row>
    <row r="465" ht="56.25" customHeight="1">
      <c r="A465" s="23" t="s">
        <v>3509</v>
      </c>
      <c r="B465" s="15" t="str">
        <f>image("https://storage.googleapis.com/acdb/bottoms/BottomsTexPantsHalfOutdoor0.png")</f>
        <v/>
      </c>
      <c r="C465" s="15"/>
      <c r="D465" s="25" t="s">
        <v>28</v>
      </c>
      <c r="E465" s="13">
        <v>700.0</v>
      </c>
      <c r="F465" s="13">
        <v>175.0</v>
      </c>
      <c r="G465" s="15">
        <v>4472.0</v>
      </c>
      <c r="H465" s="15" t="s">
        <v>38</v>
      </c>
      <c r="I465" s="15" t="s">
        <v>43</v>
      </c>
      <c r="J465" s="15" t="s">
        <v>2749</v>
      </c>
      <c r="K465" s="15" t="s">
        <v>2764</v>
      </c>
      <c r="L465" s="15" t="s">
        <v>2793</v>
      </c>
    </row>
    <row r="466" ht="56.25" customHeight="1">
      <c r="A466" s="23" t="s">
        <v>3509</v>
      </c>
      <c r="B466" s="15" t="str">
        <f>image("https://storage.googleapis.com/acdb/bottoms/BottomsTexPantsHalfOutdoor1.png")</f>
        <v/>
      </c>
      <c r="C466" s="15"/>
      <c r="D466" s="25" t="s">
        <v>28</v>
      </c>
      <c r="E466" s="13">
        <v>700.0</v>
      </c>
      <c r="F466" s="13">
        <v>175.0</v>
      </c>
      <c r="G466" s="15">
        <v>4472.0</v>
      </c>
      <c r="H466" s="15" t="s">
        <v>38</v>
      </c>
      <c r="I466" s="15" t="s">
        <v>43</v>
      </c>
      <c r="J466" s="15" t="s">
        <v>2749</v>
      </c>
      <c r="K466" s="15" t="s">
        <v>2764</v>
      </c>
      <c r="L466" s="15" t="s">
        <v>2793</v>
      </c>
    </row>
    <row r="467" ht="56.25" customHeight="1">
      <c r="A467" s="23" t="s">
        <v>3509</v>
      </c>
      <c r="B467" s="15" t="str">
        <f>image("https://storage.googleapis.com/acdb/bottoms/BottomsTexPantsHalfOutdoor2.png")</f>
        <v/>
      </c>
      <c r="C467" s="15"/>
      <c r="D467" s="25" t="s">
        <v>28</v>
      </c>
      <c r="E467" s="13">
        <v>700.0</v>
      </c>
      <c r="F467" s="13">
        <v>175.0</v>
      </c>
      <c r="G467" s="15">
        <v>4472.0</v>
      </c>
      <c r="H467" s="15" t="s">
        <v>38</v>
      </c>
      <c r="I467" s="15" t="s">
        <v>43</v>
      </c>
      <c r="J467" s="15" t="s">
        <v>2749</v>
      </c>
      <c r="K467" s="15" t="s">
        <v>2764</v>
      </c>
      <c r="L467" s="15" t="s">
        <v>2793</v>
      </c>
    </row>
    <row r="468" ht="56.25" customHeight="1">
      <c r="A468" s="23" t="s">
        <v>3509</v>
      </c>
      <c r="B468" s="15" t="str">
        <f>image("https://storage.googleapis.com/acdb/bottoms/BottomsTexPantsHalfOutdoor3.png")</f>
        <v/>
      </c>
      <c r="C468" s="15"/>
      <c r="D468" s="25" t="s">
        <v>28</v>
      </c>
      <c r="E468" s="13">
        <v>700.0</v>
      </c>
      <c r="F468" s="13">
        <v>175.0</v>
      </c>
      <c r="G468" s="15">
        <v>4472.0</v>
      </c>
      <c r="H468" s="15" t="s">
        <v>38</v>
      </c>
      <c r="I468" s="15" t="s">
        <v>43</v>
      </c>
      <c r="J468" s="15" t="s">
        <v>2749</v>
      </c>
      <c r="K468" s="15" t="s">
        <v>2764</v>
      </c>
      <c r="L468" s="15" t="s">
        <v>2793</v>
      </c>
    </row>
    <row r="469" ht="56.25" customHeight="1">
      <c r="A469" s="23" t="s">
        <v>3509</v>
      </c>
      <c r="B469" s="15" t="str">
        <f>image("https://storage.googleapis.com/acdb/bottoms/BottomsTexPantsHalfOutdoor4.png")</f>
        <v/>
      </c>
      <c r="C469" s="15"/>
      <c r="D469" s="25" t="s">
        <v>28</v>
      </c>
      <c r="E469" s="13">
        <v>700.0</v>
      </c>
      <c r="F469" s="13">
        <v>175.0</v>
      </c>
      <c r="G469" s="15">
        <v>4472.0</v>
      </c>
      <c r="H469" s="15" t="s">
        <v>38</v>
      </c>
      <c r="I469" s="15" t="s">
        <v>43</v>
      </c>
      <c r="J469" s="15" t="s">
        <v>2749</v>
      </c>
      <c r="K469" s="15" t="s">
        <v>2764</v>
      </c>
      <c r="L469" s="15" t="s">
        <v>2793</v>
      </c>
    </row>
    <row r="470" ht="56.25" customHeight="1">
      <c r="A470" s="23" t="s">
        <v>3509</v>
      </c>
      <c r="B470" s="15" t="str">
        <f>image("https://storage.googleapis.com/acdb/bottoms/BottomsTexPantsHalfOutdoor5.png")</f>
        <v/>
      </c>
      <c r="C470" s="15"/>
      <c r="D470" s="25" t="s">
        <v>28</v>
      </c>
      <c r="E470" s="13">
        <v>700.0</v>
      </c>
      <c r="F470" s="13">
        <v>175.0</v>
      </c>
      <c r="G470" s="15">
        <v>4472.0</v>
      </c>
      <c r="H470" s="15" t="s">
        <v>38</v>
      </c>
      <c r="I470" s="15" t="s">
        <v>43</v>
      </c>
      <c r="J470" s="15" t="s">
        <v>2749</v>
      </c>
      <c r="K470" s="15" t="s">
        <v>2764</v>
      </c>
      <c r="L470" s="15" t="s">
        <v>2793</v>
      </c>
    </row>
    <row r="471" ht="56.25" customHeight="1">
      <c r="A471" s="23" t="s">
        <v>3509</v>
      </c>
      <c r="B471" s="15" t="str">
        <f>image("https://storage.googleapis.com/acdb/bottoms/BottomsTexPantsHalfOutdoor6.png")</f>
        <v/>
      </c>
      <c r="C471" s="15"/>
      <c r="D471" s="25" t="s">
        <v>28</v>
      </c>
      <c r="E471" s="13">
        <v>700.0</v>
      </c>
      <c r="F471" s="13">
        <v>175.0</v>
      </c>
      <c r="G471" s="15">
        <v>4472.0</v>
      </c>
      <c r="H471" s="15" t="s">
        <v>38</v>
      </c>
      <c r="I471" s="15" t="s">
        <v>43</v>
      </c>
      <c r="J471" s="15" t="s">
        <v>2749</v>
      </c>
      <c r="K471" s="15" t="s">
        <v>2764</v>
      </c>
      <c r="L471" s="15" t="s">
        <v>2793</v>
      </c>
    </row>
    <row r="472" ht="56.25" customHeight="1">
      <c r="A472" s="23" t="s">
        <v>3509</v>
      </c>
      <c r="B472" s="15" t="str">
        <f>image("https://storage.googleapis.com/acdb/bottoms/BottomsTexPantsHalfOutdoor7.png")</f>
        <v/>
      </c>
      <c r="C472" s="15"/>
      <c r="D472" s="25" t="s">
        <v>28</v>
      </c>
      <c r="E472" s="13">
        <v>700.0</v>
      </c>
      <c r="F472" s="13">
        <v>175.0</v>
      </c>
      <c r="G472" s="15">
        <v>4472.0</v>
      </c>
      <c r="H472" s="15" t="s">
        <v>38</v>
      </c>
      <c r="I472" s="15" t="s">
        <v>43</v>
      </c>
      <c r="J472" s="15" t="s">
        <v>2749</v>
      </c>
      <c r="K472" s="15" t="s">
        <v>2764</v>
      </c>
      <c r="L472" s="15" t="s">
        <v>2793</v>
      </c>
    </row>
    <row r="473" ht="56.25" customHeight="1">
      <c r="A473" s="23" t="s">
        <v>3517</v>
      </c>
      <c r="B473" s="15" t="str">
        <f>image("https://storage.googleapis.com/acdb/bottoms/BottomsTexPantsWideKnee0.png")</f>
        <v/>
      </c>
      <c r="C473" s="15"/>
      <c r="D473" s="25" t="s">
        <v>28</v>
      </c>
      <c r="E473" s="13">
        <v>880.0</v>
      </c>
      <c r="F473" s="13">
        <v>220.0</v>
      </c>
      <c r="G473" s="15">
        <v>4490.0</v>
      </c>
      <c r="H473" s="15" t="s">
        <v>38</v>
      </c>
      <c r="I473" s="15" t="s">
        <v>43</v>
      </c>
      <c r="J473" s="15" t="s">
        <v>2749</v>
      </c>
      <c r="K473" s="15" t="s">
        <v>2764</v>
      </c>
      <c r="L473" s="15" t="s">
        <v>2744</v>
      </c>
    </row>
    <row r="474" ht="56.25" customHeight="1">
      <c r="A474" s="23" t="s">
        <v>3517</v>
      </c>
      <c r="B474" s="15" t="str">
        <f>image("https://storage.googleapis.com/acdb/bottoms/BottomsTexPantsWideKnee1.png")</f>
        <v/>
      </c>
      <c r="C474" s="15"/>
      <c r="D474" s="25" t="s">
        <v>28</v>
      </c>
      <c r="E474" s="13">
        <v>880.0</v>
      </c>
      <c r="F474" s="13">
        <v>220.0</v>
      </c>
      <c r="G474" s="15">
        <v>4490.0</v>
      </c>
      <c r="H474" s="15" t="s">
        <v>38</v>
      </c>
      <c r="I474" s="15" t="s">
        <v>43</v>
      </c>
      <c r="J474" s="15" t="s">
        <v>2749</v>
      </c>
      <c r="K474" s="15" t="s">
        <v>2764</v>
      </c>
      <c r="L474" s="15" t="s">
        <v>2744</v>
      </c>
    </row>
    <row r="475" ht="56.25" customHeight="1">
      <c r="A475" s="23" t="s">
        <v>3517</v>
      </c>
      <c r="B475" s="15" t="str">
        <f>image("https://storage.googleapis.com/acdb/bottoms/BottomsTexPantsWideKnee2.png")</f>
        <v/>
      </c>
      <c r="C475" s="15"/>
      <c r="D475" s="25" t="s">
        <v>28</v>
      </c>
      <c r="E475" s="13">
        <v>880.0</v>
      </c>
      <c r="F475" s="13">
        <v>220.0</v>
      </c>
      <c r="G475" s="15">
        <v>4490.0</v>
      </c>
      <c r="H475" s="15" t="s">
        <v>38</v>
      </c>
      <c r="I475" s="15" t="s">
        <v>43</v>
      </c>
      <c r="J475" s="15" t="s">
        <v>2749</v>
      </c>
      <c r="K475" s="15" t="s">
        <v>2764</v>
      </c>
      <c r="L475" s="15" t="s">
        <v>2744</v>
      </c>
    </row>
    <row r="476" ht="56.25" customHeight="1">
      <c r="A476" s="23" t="s">
        <v>3517</v>
      </c>
      <c r="B476" s="15" t="str">
        <f>image("https://storage.googleapis.com/acdb/bottoms/BottomsTexPantsWideKnee3.png")</f>
        <v/>
      </c>
      <c r="C476" s="15"/>
      <c r="D476" s="25" t="s">
        <v>28</v>
      </c>
      <c r="E476" s="13">
        <v>880.0</v>
      </c>
      <c r="F476" s="13">
        <v>220.0</v>
      </c>
      <c r="G476" s="15">
        <v>4490.0</v>
      </c>
      <c r="H476" s="15" t="s">
        <v>38</v>
      </c>
      <c r="I476" s="15" t="s">
        <v>43</v>
      </c>
      <c r="J476" s="15" t="s">
        <v>2749</v>
      </c>
      <c r="K476" s="15" t="s">
        <v>2764</v>
      </c>
      <c r="L476" s="15" t="s">
        <v>2744</v>
      </c>
    </row>
    <row r="477" ht="56.25" customHeight="1">
      <c r="A477" s="23" t="s">
        <v>3522</v>
      </c>
      <c r="B477" s="15" t="str">
        <f>image("https://storage.googleapis.com/acdb/bottoms/BottomsTexSkirtLongPatch0.png")</f>
        <v/>
      </c>
      <c r="C477" s="15"/>
      <c r="D477" s="25" t="s">
        <v>28</v>
      </c>
      <c r="E477" s="13">
        <v>2100.0</v>
      </c>
      <c r="F477" s="13">
        <v>525.0</v>
      </c>
      <c r="G477" s="15">
        <v>5544.0</v>
      </c>
      <c r="H477" s="15" t="s">
        <v>38</v>
      </c>
      <c r="I477" s="15" t="s">
        <v>43</v>
      </c>
      <c r="J477" s="15" t="s">
        <v>2749</v>
      </c>
      <c r="K477" s="15" t="s">
        <v>2764</v>
      </c>
      <c r="L477" s="15" t="s">
        <v>384</v>
      </c>
    </row>
    <row r="478" ht="56.25" customHeight="1">
      <c r="A478" s="23" t="s">
        <v>3522</v>
      </c>
      <c r="B478" s="15" t="str">
        <f>image("https://storage.googleapis.com/acdb/bottoms/BottomsTexSkirtLongPatch1.png")</f>
        <v/>
      </c>
      <c r="C478" s="15"/>
      <c r="D478" s="25" t="s">
        <v>28</v>
      </c>
      <c r="E478" s="13">
        <v>2100.0</v>
      </c>
      <c r="F478" s="13">
        <v>525.0</v>
      </c>
      <c r="G478" s="15">
        <v>5544.0</v>
      </c>
      <c r="H478" s="15" t="s">
        <v>38</v>
      </c>
      <c r="I478" s="15" t="s">
        <v>43</v>
      </c>
      <c r="J478" s="15" t="s">
        <v>2749</v>
      </c>
      <c r="K478" s="15" t="s">
        <v>2764</v>
      </c>
      <c r="L478" s="15" t="s">
        <v>384</v>
      </c>
    </row>
    <row r="479" ht="56.25" customHeight="1">
      <c r="A479" s="23" t="s">
        <v>3522</v>
      </c>
      <c r="B479" s="15" t="str">
        <f>image("https://storage.googleapis.com/acdb/bottoms/BottomsTexSkirtLongPatch2.png")</f>
        <v/>
      </c>
      <c r="C479" s="15"/>
      <c r="D479" s="25" t="s">
        <v>28</v>
      </c>
      <c r="E479" s="13">
        <v>2100.0</v>
      </c>
      <c r="F479" s="13">
        <v>525.0</v>
      </c>
      <c r="G479" s="15">
        <v>5544.0</v>
      </c>
      <c r="H479" s="15" t="s">
        <v>38</v>
      </c>
      <c r="I479" s="15" t="s">
        <v>43</v>
      </c>
      <c r="J479" s="15" t="s">
        <v>2749</v>
      </c>
      <c r="K479" s="15" t="s">
        <v>2764</v>
      </c>
      <c r="L479" s="15" t="s">
        <v>384</v>
      </c>
    </row>
    <row r="480" ht="56.25" customHeight="1">
      <c r="A480" s="23" t="s">
        <v>3522</v>
      </c>
      <c r="B480" s="15" t="str">
        <f>image("https://storage.googleapis.com/acdb/bottoms/BottomsTexSkirtLongPatch3.png")</f>
        <v/>
      </c>
      <c r="C480" s="15"/>
      <c r="D480" s="25" t="s">
        <v>28</v>
      </c>
      <c r="E480" s="13">
        <v>2100.0</v>
      </c>
      <c r="F480" s="13">
        <v>525.0</v>
      </c>
      <c r="G480" s="15">
        <v>5544.0</v>
      </c>
      <c r="H480" s="15" t="s">
        <v>38</v>
      </c>
      <c r="I480" s="15" t="s">
        <v>43</v>
      </c>
      <c r="J480" s="15" t="s">
        <v>2749</v>
      </c>
      <c r="K480" s="15" t="s">
        <v>2764</v>
      </c>
      <c r="L480" s="15" t="s">
        <v>384</v>
      </c>
    </row>
    <row r="481" ht="56.25" customHeight="1">
      <c r="A481" s="23" t="s">
        <v>3526</v>
      </c>
      <c r="B481" s="15" t="str">
        <f>image("https://storage.googleapis.com/acdb/bottoms/BottomsTexSkirtAlinePearlNavy.png")</f>
        <v/>
      </c>
      <c r="C481" s="15"/>
      <c r="D481" s="25" t="s">
        <v>28</v>
      </c>
      <c r="E481" s="13">
        <v>1680.0</v>
      </c>
      <c r="F481" s="13">
        <v>420.0</v>
      </c>
      <c r="G481" s="15">
        <v>5737.0</v>
      </c>
      <c r="H481" s="15" t="s">
        <v>38</v>
      </c>
      <c r="I481" s="15" t="s">
        <v>43</v>
      </c>
      <c r="J481" s="15" t="s">
        <v>2749</v>
      </c>
      <c r="K481" s="15" t="s">
        <v>2751</v>
      </c>
      <c r="L481" s="15" t="s">
        <v>384</v>
      </c>
    </row>
    <row r="482" ht="56.25" customHeight="1">
      <c r="A482" s="23" t="s">
        <v>3528</v>
      </c>
      <c r="B482" s="15" t="str">
        <f>image("https://storage.googleapis.com/acdb/bottoms/BottomsTexSkirtAlineTutu0.png")</f>
        <v/>
      </c>
      <c r="C482" s="15"/>
      <c r="D482" s="25" t="s">
        <v>28</v>
      </c>
      <c r="E482" s="13">
        <v>1540.0</v>
      </c>
      <c r="F482" s="13">
        <v>385.0</v>
      </c>
      <c r="G482" s="15">
        <v>5422.0</v>
      </c>
      <c r="H482" s="15" t="s">
        <v>38</v>
      </c>
      <c r="I482" s="15" t="s">
        <v>43</v>
      </c>
      <c r="J482" s="15" t="s">
        <v>2749</v>
      </c>
      <c r="K482" s="15" t="s">
        <v>2751</v>
      </c>
      <c r="L482" s="15" t="s">
        <v>852</v>
      </c>
    </row>
    <row r="483" ht="56.25" customHeight="1">
      <c r="A483" s="23" t="s">
        <v>3528</v>
      </c>
      <c r="B483" s="15" t="str">
        <f>image("https://storage.googleapis.com/acdb/bottoms/BottomsTexSkirtAlineTutu1.png")</f>
        <v/>
      </c>
      <c r="C483" s="15"/>
      <c r="D483" s="25" t="s">
        <v>28</v>
      </c>
      <c r="E483" s="13">
        <v>1540.0</v>
      </c>
      <c r="F483" s="13">
        <v>385.0</v>
      </c>
      <c r="G483" s="15">
        <v>5422.0</v>
      </c>
      <c r="H483" s="15" t="s">
        <v>38</v>
      </c>
      <c r="I483" s="15" t="s">
        <v>43</v>
      </c>
      <c r="J483" s="15" t="s">
        <v>2749</v>
      </c>
      <c r="K483" s="15" t="s">
        <v>2751</v>
      </c>
      <c r="L483" s="15" t="s">
        <v>852</v>
      </c>
    </row>
    <row r="484" ht="56.25" customHeight="1">
      <c r="A484" s="23" t="s">
        <v>3528</v>
      </c>
      <c r="B484" s="15" t="str">
        <f>image("https://storage.googleapis.com/acdb/bottoms/BottomsTexSkirtAlineTutu2.png")</f>
        <v/>
      </c>
      <c r="C484" s="15"/>
      <c r="D484" s="25" t="s">
        <v>28</v>
      </c>
      <c r="E484" s="13">
        <v>1540.0</v>
      </c>
      <c r="F484" s="13">
        <v>385.0</v>
      </c>
      <c r="G484" s="15">
        <v>5422.0</v>
      </c>
      <c r="H484" s="15" t="s">
        <v>38</v>
      </c>
      <c r="I484" s="15" t="s">
        <v>43</v>
      </c>
      <c r="J484" s="15" t="s">
        <v>2749</v>
      </c>
      <c r="K484" s="15" t="s">
        <v>2751</v>
      </c>
      <c r="L484" s="15" t="s">
        <v>852</v>
      </c>
    </row>
    <row r="485" ht="56.25" customHeight="1">
      <c r="A485" s="23" t="s">
        <v>3531</v>
      </c>
      <c r="B485" s="15" t="str">
        <f>image("https://storage.googleapis.com/acdb/bottoms/BottomsTexPantsHalfAloha0.png")</f>
        <v/>
      </c>
      <c r="C485" s="15"/>
      <c r="D485" s="25" t="s">
        <v>28</v>
      </c>
      <c r="E485" s="13"/>
      <c r="F485" s="13"/>
      <c r="G485" s="15">
        <v>4405.0</v>
      </c>
      <c r="H485" s="15" t="s">
        <v>38</v>
      </c>
      <c r="I485" s="15" t="s">
        <v>43</v>
      </c>
      <c r="J485" s="15" t="s">
        <v>2749</v>
      </c>
      <c r="K485" s="15" t="s">
        <v>2764</v>
      </c>
      <c r="L485" s="15" t="s">
        <v>2793</v>
      </c>
    </row>
    <row r="486" ht="56.25" customHeight="1">
      <c r="A486" s="23" t="s">
        <v>3531</v>
      </c>
      <c r="B486" s="15" t="str">
        <f>image("https://storage.googleapis.com/acdb/bottoms/BottomsTexPantsHalfAloha1.png")</f>
        <v/>
      </c>
      <c r="C486" s="15"/>
      <c r="D486" s="25" t="s">
        <v>28</v>
      </c>
      <c r="E486" s="13"/>
      <c r="F486" s="13"/>
      <c r="G486" s="15">
        <v>4405.0</v>
      </c>
      <c r="H486" s="15" t="s">
        <v>38</v>
      </c>
      <c r="I486" s="15" t="s">
        <v>43</v>
      </c>
      <c r="J486" s="15" t="s">
        <v>2749</v>
      </c>
      <c r="K486" s="15" t="s">
        <v>2764</v>
      </c>
      <c r="L486" s="15" t="s">
        <v>2793</v>
      </c>
    </row>
    <row r="487" ht="56.25" customHeight="1">
      <c r="A487" s="23" t="s">
        <v>3531</v>
      </c>
      <c r="B487" s="15" t="str">
        <f>image("https://storage.googleapis.com/acdb/bottoms/BottomsTexPantsHalfAloha2.png")</f>
        <v/>
      </c>
      <c r="C487" s="15"/>
      <c r="D487" s="25" t="s">
        <v>28</v>
      </c>
      <c r="E487" s="13"/>
      <c r="F487" s="13"/>
      <c r="G487" s="15">
        <v>4405.0</v>
      </c>
      <c r="H487" s="15" t="s">
        <v>38</v>
      </c>
      <c r="I487" s="15" t="s">
        <v>43</v>
      </c>
      <c r="J487" s="15" t="s">
        <v>2749</v>
      </c>
      <c r="K487" s="15" t="s">
        <v>2764</v>
      </c>
      <c r="L487" s="15" t="s">
        <v>2793</v>
      </c>
    </row>
    <row r="488" ht="56.25" customHeight="1">
      <c r="A488" s="23" t="s">
        <v>3531</v>
      </c>
      <c r="B488" s="15" t="str">
        <f>image("https://storage.googleapis.com/acdb/bottoms/BottomsTexPantsHalfAloha3.png")</f>
        <v/>
      </c>
      <c r="C488" s="15"/>
      <c r="D488" s="25" t="s">
        <v>28</v>
      </c>
      <c r="E488" s="13"/>
      <c r="F488" s="13"/>
      <c r="G488" s="15">
        <v>4405.0</v>
      </c>
      <c r="H488" s="15" t="s">
        <v>38</v>
      </c>
      <c r="I488" s="15" t="s">
        <v>43</v>
      </c>
      <c r="J488" s="15" t="s">
        <v>2749</v>
      </c>
      <c r="K488" s="15" t="s">
        <v>2764</v>
      </c>
      <c r="L488" s="15" t="s">
        <v>2793</v>
      </c>
    </row>
    <row r="489" ht="56.25" customHeight="1">
      <c r="A489" s="23" t="s">
        <v>3531</v>
      </c>
      <c r="B489" s="15" t="str">
        <f>image("https://storage.googleapis.com/acdb/bottoms/BottomsTexPantsHalfAloha4.png")</f>
        <v/>
      </c>
      <c r="C489" s="15"/>
      <c r="D489" s="25" t="s">
        <v>28</v>
      </c>
      <c r="E489" s="13"/>
      <c r="F489" s="13"/>
      <c r="G489" s="15">
        <v>4405.0</v>
      </c>
      <c r="H489" s="15" t="s">
        <v>38</v>
      </c>
      <c r="I489" s="15" t="s">
        <v>43</v>
      </c>
      <c r="J489" s="15" t="s">
        <v>2749</v>
      </c>
      <c r="K489" s="15" t="s">
        <v>2764</v>
      </c>
      <c r="L489" s="15" t="s">
        <v>2793</v>
      </c>
    </row>
    <row r="490" ht="56.25" customHeight="1">
      <c r="A490" s="23" t="s">
        <v>3531</v>
      </c>
      <c r="B490" s="15" t="str">
        <f>image("https://storage.googleapis.com/acdb/bottoms/BottomsTexPantsHalfAloha5.png")</f>
        <v/>
      </c>
      <c r="C490" s="15"/>
      <c r="D490" s="25" t="s">
        <v>28</v>
      </c>
      <c r="E490" s="13"/>
      <c r="F490" s="13"/>
      <c r="G490" s="15">
        <v>4405.0</v>
      </c>
      <c r="H490" s="15" t="s">
        <v>38</v>
      </c>
      <c r="I490" s="15" t="s">
        <v>43</v>
      </c>
      <c r="J490" s="15" t="s">
        <v>2749</v>
      </c>
      <c r="K490" s="15" t="s">
        <v>2764</v>
      </c>
      <c r="L490" s="15" t="s">
        <v>2793</v>
      </c>
    </row>
    <row r="491" ht="56.25" customHeight="1">
      <c r="A491" s="23" t="s">
        <v>3531</v>
      </c>
      <c r="B491" s="15" t="str">
        <f>image("https://storage.googleapis.com/acdb/bottoms/BottomsTexPantsHalfAloha6.png")</f>
        <v/>
      </c>
      <c r="C491" s="15"/>
      <c r="D491" s="25" t="s">
        <v>28</v>
      </c>
      <c r="E491" s="13"/>
      <c r="F491" s="13"/>
      <c r="G491" s="15">
        <v>4405.0</v>
      </c>
      <c r="H491" s="15" t="s">
        <v>38</v>
      </c>
      <c r="I491" s="15" t="s">
        <v>43</v>
      </c>
      <c r="J491" s="15" t="s">
        <v>2749</v>
      </c>
      <c r="K491" s="15" t="s">
        <v>2764</v>
      </c>
      <c r="L491" s="15" t="s">
        <v>2793</v>
      </c>
    </row>
    <row r="492" ht="56.25" customHeight="1">
      <c r="A492" s="23" t="s">
        <v>3540</v>
      </c>
      <c r="B492" s="15" t="str">
        <f>image("https://storage.googleapis.com/acdb/bottoms/BottomsTexPantsHotShaggycheck0.png")</f>
        <v/>
      </c>
      <c r="C492" s="15"/>
      <c r="D492" s="25" t="s">
        <v>28</v>
      </c>
      <c r="E492" s="13">
        <v>980.0</v>
      </c>
      <c r="F492" s="13">
        <v>245.0</v>
      </c>
      <c r="G492" s="15">
        <v>5664.0</v>
      </c>
      <c r="H492" s="15" t="s">
        <v>38</v>
      </c>
      <c r="I492" s="15" t="s">
        <v>43</v>
      </c>
      <c r="J492" s="15" t="s">
        <v>2749</v>
      </c>
      <c r="K492" s="15" t="s">
        <v>2764</v>
      </c>
      <c r="L492" s="15" t="s">
        <v>2744</v>
      </c>
    </row>
    <row r="493" ht="56.25" customHeight="1">
      <c r="A493" s="23" t="s">
        <v>3540</v>
      </c>
      <c r="B493" s="15" t="str">
        <f>image("https://storage.googleapis.com/acdb/bottoms/BottomsTexPantsHotShaggycheck1.png")</f>
        <v/>
      </c>
      <c r="C493" s="15"/>
      <c r="D493" s="25" t="s">
        <v>28</v>
      </c>
      <c r="E493" s="13">
        <v>980.0</v>
      </c>
      <c r="F493" s="13">
        <v>245.0</v>
      </c>
      <c r="G493" s="15">
        <v>5664.0</v>
      </c>
      <c r="H493" s="15" t="s">
        <v>38</v>
      </c>
      <c r="I493" s="15" t="s">
        <v>43</v>
      </c>
      <c r="J493" s="15" t="s">
        <v>2749</v>
      </c>
      <c r="K493" s="15" t="s">
        <v>2764</v>
      </c>
      <c r="L493" s="15" t="s">
        <v>2744</v>
      </c>
    </row>
    <row r="494" ht="56.25" customHeight="1">
      <c r="A494" s="23" t="s">
        <v>3540</v>
      </c>
      <c r="B494" s="15" t="str">
        <f>image("https://storage.googleapis.com/acdb/bottoms/BottomsTexPantsHotShaggycheck2.png")</f>
        <v/>
      </c>
      <c r="C494" s="15"/>
      <c r="D494" s="25" t="s">
        <v>28</v>
      </c>
      <c r="E494" s="13">
        <v>980.0</v>
      </c>
      <c r="F494" s="13">
        <v>245.0</v>
      </c>
      <c r="G494" s="15">
        <v>5664.0</v>
      </c>
      <c r="H494" s="15" t="s">
        <v>38</v>
      </c>
      <c r="I494" s="15" t="s">
        <v>43</v>
      </c>
      <c r="J494" s="15" t="s">
        <v>2749</v>
      </c>
      <c r="K494" s="15" t="s">
        <v>2764</v>
      </c>
      <c r="L494" s="15" t="s">
        <v>2744</v>
      </c>
    </row>
    <row r="495" ht="56.25" customHeight="1">
      <c r="A495" s="23" t="s">
        <v>3540</v>
      </c>
      <c r="B495" s="15" t="str">
        <f>image("https://storage.googleapis.com/acdb/bottoms/BottomsTexPantsHotShaggycheck3.png")</f>
        <v/>
      </c>
      <c r="C495" s="15"/>
      <c r="D495" s="25" t="s">
        <v>28</v>
      </c>
      <c r="E495" s="13">
        <v>980.0</v>
      </c>
      <c r="F495" s="13">
        <v>245.0</v>
      </c>
      <c r="G495" s="15">
        <v>5664.0</v>
      </c>
      <c r="H495" s="15" t="s">
        <v>38</v>
      </c>
      <c r="I495" s="15" t="s">
        <v>43</v>
      </c>
      <c r="J495" s="15" t="s">
        <v>2749</v>
      </c>
      <c r="K495" s="15" t="s">
        <v>2764</v>
      </c>
      <c r="L495" s="15" t="s">
        <v>2744</v>
      </c>
    </row>
    <row r="496" ht="56.25" customHeight="1">
      <c r="A496" s="23" t="s">
        <v>3546</v>
      </c>
      <c r="B496" s="15" t="str">
        <f>image("https://storage.googleapis.com/acdb/bottoms/BottomsTexSkirtAlineLeather0.png")</f>
        <v/>
      </c>
      <c r="C496" s="15"/>
      <c r="D496" s="25" t="s">
        <v>28</v>
      </c>
      <c r="E496" s="13">
        <v>1560.0</v>
      </c>
      <c r="F496" s="13">
        <v>390.0</v>
      </c>
      <c r="G496" s="15">
        <v>5420.0</v>
      </c>
      <c r="H496" s="15" t="s">
        <v>38</v>
      </c>
      <c r="I496" s="15" t="s">
        <v>43</v>
      </c>
      <c r="J496" s="15" t="s">
        <v>2749</v>
      </c>
      <c r="K496" s="15" t="s">
        <v>2751</v>
      </c>
      <c r="L496" s="15" t="s">
        <v>2793</v>
      </c>
    </row>
    <row r="497" ht="56.25" customHeight="1">
      <c r="A497" s="23" t="s">
        <v>3546</v>
      </c>
      <c r="B497" s="15" t="str">
        <f>image("https://storage.googleapis.com/acdb/bottoms/BottomsTexSkirtAlineLeather1.png")</f>
        <v/>
      </c>
      <c r="C497" s="15"/>
      <c r="D497" s="25" t="s">
        <v>28</v>
      </c>
      <c r="E497" s="13">
        <v>1560.0</v>
      </c>
      <c r="F497" s="13">
        <v>390.0</v>
      </c>
      <c r="G497" s="15">
        <v>5420.0</v>
      </c>
      <c r="H497" s="15" t="s">
        <v>38</v>
      </c>
      <c r="I497" s="15" t="s">
        <v>43</v>
      </c>
      <c r="J497" s="15" t="s">
        <v>2749</v>
      </c>
      <c r="K497" s="15" t="s">
        <v>2751</v>
      </c>
      <c r="L497" s="15" t="s">
        <v>2793</v>
      </c>
    </row>
    <row r="498" ht="56.25" customHeight="1">
      <c r="A498" s="23" t="s">
        <v>3546</v>
      </c>
      <c r="B498" s="15" t="str">
        <f>image("https://storage.googleapis.com/acdb/bottoms/BottomsTexSkirtAlineLeather2.png")</f>
        <v/>
      </c>
      <c r="C498" s="15"/>
      <c r="D498" s="25" t="s">
        <v>28</v>
      </c>
      <c r="E498" s="13">
        <v>1560.0</v>
      </c>
      <c r="F498" s="13">
        <v>390.0</v>
      </c>
      <c r="G498" s="15">
        <v>5420.0</v>
      </c>
      <c r="H498" s="15" t="s">
        <v>38</v>
      </c>
      <c r="I498" s="15" t="s">
        <v>43</v>
      </c>
      <c r="J498" s="15" t="s">
        <v>2749</v>
      </c>
      <c r="K498" s="15" t="s">
        <v>2751</v>
      </c>
      <c r="L498" s="15" t="s">
        <v>2793</v>
      </c>
    </row>
    <row r="499" ht="56.25" customHeight="1">
      <c r="A499" s="23" t="s">
        <v>3546</v>
      </c>
      <c r="B499" s="15" t="str">
        <f>image("https://storage.googleapis.com/acdb/bottoms/BottomsTexSkirtAlineLeather3.png")</f>
        <v/>
      </c>
      <c r="C499" s="15"/>
      <c r="D499" s="25" t="s">
        <v>28</v>
      </c>
      <c r="E499" s="13">
        <v>1560.0</v>
      </c>
      <c r="F499" s="13">
        <v>390.0</v>
      </c>
      <c r="G499" s="15">
        <v>5420.0</v>
      </c>
      <c r="H499" s="15" t="s">
        <v>38</v>
      </c>
      <c r="I499" s="15" t="s">
        <v>43</v>
      </c>
      <c r="J499" s="15" t="s">
        <v>2749</v>
      </c>
      <c r="K499" s="15" t="s">
        <v>2751</v>
      </c>
      <c r="L499" s="15" t="s">
        <v>2793</v>
      </c>
    </row>
    <row r="500" ht="56.25" customHeight="1">
      <c r="A500" s="23" t="s">
        <v>3546</v>
      </c>
      <c r="B500" s="15" t="str">
        <f>image("https://storage.googleapis.com/acdb/bottoms/BottomsTexSkirtAlineLeather4.png")</f>
        <v/>
      </c>
      <c r="C500" s="15"/>
      <c r="D500" s="25" t="s">
        <v>28</v>
      </c>
      <c r="E500" s="13">
        <v>1560.0</v>
      </c>
      <c r="F500" s="13">
        <v>390.0</v>
      </c>
      <c r="G500" s="15">
        <v>5420.0</v>
      </c>
      <c r="H500" s="15" t="s">
        <v>38</v>
      </c>
      <c r="I500" s="15" t="s">
        <v>43</v>
      </c>
      <c r="J500" s="15" t="s">
        <v>2749</v>
      </c>
      <c r="K500" s="15" t="s">
        <v>2751</v>
      </c>
      <c r="L500" s="15" t="s">
        <v>2793</v>
      </c>
    </row>
    <row r="501" ht="56.25" customHeight="1">
      <c r="A501" s="23" t="s">
        <v>3546</v>
      </c>
      <c r="B501" s="15" t="str">
        <f>image("https://storage.googleapis.com/acdb/bottoms/BottomsTexSkirtAlineLeather5.png")</f>
        <v/>
      </c>
      <c r="C501" s="15"/>
      <c r="D501" s="25" t="s">
        <v>28</v>
      </c>
      <c r="E501" s="13">
        <v>1560.0</v>
      </c>
      <c r="F501" s="13">
        <v>390.0</v>
      </c>
      <c r="G501" s="15">
        <v>5420.0</v>
      </c>
      <c r="H501" s="15" t="s">
        <v>38</v>
      </c>
      <c r="I501" s="15" t="s">
        <v>43</v>
      </c>
      <c r="J501" s="15" t="s">
        <v>2749</v>
      </c>
      <c r="K501" s="15" t="s">
        <v>2751</v>
      </c>
      <c r="L501" s="15" t="s">
        <v>2793</v>
      </c>
    </row>
    <row r="502" ht="56.25" customHeight="1">
      <c r="A502" s="23" t="s">
        <v>3546</v>
      </c>
      <c r="B502" s="15" t="str">
        <f>image("https://storage.googleapis.com/acdb/bottoms/BottomsTexSkirtAlineLeather6.png")</f>
        <v/>
      </c>
      <c r="C502" s="15"/>
      <c r="D502" s="25" t="s">
        <v>28</v>
      </c>
      <c r="E502" s="13">
        <v>1560.0</v>
      </c>
      <c r="F502" s="13">
        <v>390.0</v>
      </c>
      <c r="G502" s="15">
        <v>5420.0</v>
      </c>
      <c r="H502" s="15" t="s">
        <v>38</v>
      </c>
      <c r="I502" s="15" t="s">
        <v>43</v>
      </c>
      <c r="J502" s="15" t="s">
        <v>2749</v>
      </c>
      <c r="K502" s="15" t="s">
        <v>2751</v>
      </c>
      <c r="L502" s="15" t="s">
        <v>2793</v>
      </c>
    </row>
    <row r="503" ht="56.25" customHeight="1">
      <c r="A503" s="23" t="s">
        <v>3546</v>
      </c>
      <c r="B503" s="15" t="str">
        <f>image("https://storage.googleapis.com/acdb/bottoms/BottomsTexSkirtAlineLeather7.png")</f>
        <v/>
      </c>
      <c r="C503" s="15"/>
      <c r="D503" s="25" t="s">
        <v>28</v>
      </c>
      <c r="E503" s="13">
        <v>1560.0</v>
      </c>
      <c r="F503" s="13">
        <v>390.0</v>
      </c>
      <c r="G503" s="15">
        <v>5420.0</v>
      </c>
      <c r="H503" s="15" t="s">
        <v>38</v>
      </c>
      <c r="I503" s="15" t="s">
        <v>43</v>
      </c>
      <c r="J503" s="15" t="s">
        <v>2749</v>
      </c>
      <c r="K503" s="15" t="s">
        <v>2751</v>
      </c>
      <c r="L503" s="15" t="s">
        <v>2793</v>
      </c>
    </row>
    <row r="504" ht="56.25" customHeight="1">
      <c r="A504" s="23" t="s">
        <v>3558</v>
      </c>
      <c r="B504" s="15" t="str">
        <f>image("https://storage.googleapis.com/acdb/bottoms/BottomsTexPantsNormalLeather0.png")</f>
        <v/>
      </c>
      <c r="C504" s="15"/>
      <c r="D504" s="25" t="s">
        <v>28</v>
      </c>
      <c r="E504" s="13">
        <v>1300.0</v>
      </c>
      <c r="F504" s="13">
        <v>325.0</v>
      </c>
      <c r="G504" s="15">
        <v>3309.0</v>
      </c>
      <c r="H504" s="15" t="s">
        <v>38</v>
      </c>
      <c r="I504" s="15" t="s">
        <v>43</v>
      </c>
      <c r="J504" s="15" t="s">
        <v>2749</v>
      </c>
      <c r="K504" s="15" t="s">
        <v>2751</v>
      </c>
      <c r="L504" s="15" t="s">
        <v>2756</v>
      </c>
    </row>
    <row r="505" ht="56.25" customHeight="1">
      <c r="A505" s="23" t="s">
        <v>3558</v>
      </c>
      <c r="B505" s="15" t="str">
        <f>image("https://storage.googleapis.com/acdb/bottoms/BottomsTexPantsNormalLeather1.png")</f>
        <v/>
      </c>
      <c r="C505" s="15"/>
      <c r="D505" s="25" t="s">
        <v>28</v>
      </c>
      <c r="E505" s="13">
        <v>1300.0</v>
      </c>
      <c r="F505" s="13">
        <v>325.0</v>
      </c>
      <c r="G505" s="15">
        <v>3309.0</v>
      </c>
      <c r="H505" s="15" t="s">
        <v>38</v>
      </c>
      <c r="I505" s="15" t="s">
        <v>43</v>
      </c>
      <c r="J505" s="15" t="s">
        <v>2749</v>
      </c>
      <c r="K505" s="15" t="s">
        <v>2751</v>
      </c>
      <c r="L505" s="15" t="s">
        <v>2756</v>
      </c>
    </row>
    <row r="506" ht="56.25" customHeight="1">
      <c r="A506" s="23" t="s">
        <v>3558</v>
      </c>
      <c r="B506" s="15" t="str">
        <f>image("https://storage.googleapis.com/acdb/bottoms/BottomsTexPantsNormalLeather2.png")</f>
        <v/>
      </c>
      <c r="C506" s="15"/>
      <c r="D506" s="25" t="s">
        <v>28</v>
      </c>
      <c r="E506" s="13">
        <v>1300.0</v>
      </c>
      <c r="F506" s="13">
        <v>325.0</v>
      </c>
      <c r="G506" s="15">
        <v>3309.0</v>
      </c>
      <c r="H506" s="15" t="s">
        <v>38</v>
      </c>
      <c r="I506" s="15" t="s">
        <v>43</v>
      </c>
      <c r="J506" s="15" t="s">
        <v>2749</v>
      </c>
      <c r="K506" s="15" t="s">
        <v>2751</v>
      </c>
      <c r="L506" s="15" t="s">
        <v>2756</v>
      </c>
    </row>
    <row r="507" ht="56.25" customHeight="1">
      <c r="A507" s="23" t="s">
        <v>3558</v>
      </c>
      <c r="B507" s="15" t="str">
        <f>image("https://storage.googleapis.com/acdb/bottoms/BottomsTexPantsNormalLeather3.png")</f>
        <v/>
      </c>
      <c r="C507" s="15"/>
      <c r="D507" s="25" t="s">
        <v>28</v>
      </c>
      <c r="E507" s="13">
        <v>1300.0</v>
      </c>
      <c r="F507" s="13">
        <v>325.0</v>
      </c>
      <c r="G507" s="15">
        <v>3309.0</v>
      </c>
      <c r="H507" s="15" t="s">
        <v>38</v>
      </c>
      <c r="I507" s="15" t="s">
        <v>43</v>
      </c>
      <c r="J507" s="15" t="s">
        <v>2749</v>
      </c>
      <c r="K507" s="15" t="s">
        <v>2751</v>
      </c>
      <c r="L507" s="15" t="s">
        <v>2756</v>
      </c>
    </row>
    <row r="508" ht="56.25" customHeight="1">
      <c r="A508" s="23" t="s">
        <v>3558</v>
      </c>
      <c r="B508" s="15" t="str">
        <f>image("https://storage.googleapis.com/acdb/bottoms/BottomsTexPantsNormalLeather4.png")</f>
        <v/>
      </c>
      <c r="C508" s="15"/>
      <c r="D508" s="25" t="s">
        <v>28</v>
      </c>
      <c r="E508" s="13">
        <v>1300.0</v>
      </c>
      <c r="F508" s="13">
        <v>325.0</v>
      </c>
      <c r="G508" s="15">
        <v>3309.0</v>
      </c>
      <c r="H508" s="15" t="s">
        <v>38</v>
      </c>
      <c r="I508" s="15" t="s">
        <v>43</v>
      </c>
      <c r="J508" s="15" t="s">
        <v>2749</v>
      </c>
      <c r="K508" s="15" t="s">
        <v>2751</v>
      </c>
      <c r="L508" s="15" t="s">
        <v>2756</v>
      </c>
    </row>
    <row r="509" ht="56.25" customHeight="1">
      <c r="A509" s="23" t="s">
        <v>3558</v>
      </c>
      <c r="B509" s="15" t="str">
        <f>image("https://storage.googleapis.com/acdb/bottoms/BottomsTexPantsNormalLeather5.png")</f>
        <v/>
      </c>
      <c r="C509" s="15"/>
      <c r="D509" s="25" t="s">
        <v>28</v>
      </c>
      <c r="E509" s="13">
        <v>1300.0</v>
      </c>
      <c r="F509" s="13">
        <v>325.0</v>
      </c>
      <c r="G509" s="15">
        <v>3309.0</v>
      </c>
      <c r="H509" s="15" t="s">
        <v>38</v>
      </c>
      <c r="I509" s="15" t="s">
        <v>43</v>
      </c>
      <c r="J509" s="15" t="s">
        <v>2749</v>
      </c>
      <c r="K509" s="15" t="s">
        <v>2751</v>
      </c>
      <c r="L509" s="15" t="s">
        <v>2756</v>
      </c>
    </row>
    <row r="510" ht="56.25" customHeight="1">
      <c r="A510" s="23" t="s">
        <v>3564</v>
      </c>
      <c r="B510" s="15" t="str">
        <f>image("https://storage.googleapis.com/acdb/bottoms/BottomsTexSkirtAlinePatch0.png")</f>
        <v/>
      </c>
      <c r="C510" s="15"/>
      <c r="D510" s="25" t="s">
        <v>28</v>
      </c>
      <c r="E510" s="13">
        <v>1680.0</v>
      </c>
      <c r="F510" s="13">
        <v>420.0</v>
      </c>
      <c r="G510" s="15">
        <v>5811.0</v>
      </c>
      <c r="H510" s="15" t="s">
        <v>38</v>
      </c>
      <c r="I510" s="15" t="s">
        <v>43</v>
      </c>
      <c r="J510" s="15" t="s">
        <v>2749</v>
      </c>
      <c r="K510" s="15" t="s">
        <v>2751</v>
      </c>
      <c r="L510" s="15" t="s">
        <v>2744</v>
      </c>
    </row>
    <row r="511" ht="56.25" customHeight="1">
      <c r="A511" s="23" t="s">
        <v>3564</v>
      </c>
      <c r="B511" s="15" t="str">
        <f>image("https://storage.googleapis.com/acdb/bottoms/BottomsTexSkirtAlinePatch1.png")</f>
        <v/>
      </c>
      <c r="C511" s="15"/>
      <c r="D511" s="25" t="s">
        <v>28</v>
      </c>
      <c r="E511" s="13">
        <v>1680.0</v>
      </c>
      <c r="F511" s="13">
        <v>420.0</v>
      </c>
      <c r="G511" s="15">
        <v>5811.0</v>
      </c>
      <c r="H511" s="15" t="s">
        <v>38</v>
      </c>
      <c r="I511" s="15" t="s">
        <v>43</v>
      </c>
      <c r="J511" s="15" t="s">
        <v>2749</v>
      </c>
      <c r="K511" s="15" t="s">
        <v>2751</v>
      </c>
      <c r="L511" s="15" t="s">
        <v>2744</v>
      </c>
    </row>
    <row r="512" ht="56.25" customHeight="1">
      <c r="A512" s="23" t="s">
        <v>3564</v>
      </c>
      <c r="B512" s="15" t="str">
        <f>image("https://storage.googleapis.com/acdb/bottoms/BottomsTexSkirtAlinePatch2.png")</f>
        <v/>
      </c>
      <c r="C512" s="15"/>
      <c r="D512" s="25" t="s">
        <v>28</v>
      </c>
      <c r="E512" s="13">
        <v>1680.0</v>
      </c>
      <c r="F512" s="13">
        <v>420.0</v>
      </c>
      <c r="G512" s="15">
        <v>5811.0</v>
      </c>
      <c r="H512" s="15" t="s">
        <v>38</v>
      </c>
      <c r="I512" s="15" t="s">
        <v>43</v>
      </c>
      <c r="J512" s="15" t="s">
        <v>2749</v>
      </c>
      <c r="K512" s="15" t="s">
        <v>2751</v>
      </c>
      <c r="L512" s="15" t="s">
        <v>2744</v>
      </c>
    </row>
    <row r="513" ht="56.25" customHeight="1">
      <c r="A513" s="23" t="s">
        <v>3564</v>
      </c>
      <c r="B513" s="15" t="str">
        <f>image("https://storage.googleapis.com/acdb/bottoms/BottomsTexSkirtAlinePatch3.png")</f>
        <v/>
      </c>
      <c r="C513" s="15"/>
      <c r="D513" s="25" t="s">
        <v>28</v>
      </c>
      <c r="E513" s="13">
        <v>1680.0</v>
      </c>
      <c r="F513" s="13">
        <v>420.0</v>
      </c>
      <c r="G513" s="15">
        <v>5811.0</v>
      </c>
      <c r="H513" s="15" t="s">
        <v>38</v>
      </c>
      <c r="I513" s="15" t="s">
        <v>43</v>
      </c>
      <c r="J513" s="15" t="s">
        <v>2749</v>
      </c>
      <c r="K513" s="15" t="s">
        <v>2751</v>
      </c>
      <c r="L513" s="15" t="s">
        <v>2744</v>
      </c>
    </row>
    <row r="514" ht="56.25" customHeight="1">
      <c r="A514" s="23" t="s">
        <v>3567</v>
      </c>
      <c r="B514" s="15" t="str">
        <f>image("https://storage.googleapis.com/acdb/bottoms/BottomsTexPantsHotLeather0.png")</f>
        <v/>
      </c>
      <c r="C514" s="15"/>
      <c r="D514" s="25" t="s">
        <v>28</v>
      </c>
      <c r="E514" s="13">
        <v>1040.0</v>
      </c>
      <c r="F514" s="13">
        <v>260.0</v>
      </c>
      <c r="G514" s="15">
        <v>5733.0</v>
      </c>
      <c r="H514" s="15" t="s">
        <v>38</v>
      </c>
      <c r="I514" s="15" t="s">
        <v>43</v>
      </c>
      <c r="J514" s="15" t="s">
        <v>2749</v>
      </c>
      <c r="K514" s="15" t="s">
        <v>2751</v>
      </c>
      <c r="L514" s="15" t="s">
        <v>2756</v>
      </c>
    </row>
    <row r="515" ht="56.25" customHeight="1">
      <c r="A515" s="23" t="s">
        <v>3567</v>
      </c>
      <c r="B515" s="15" t="str">
        <f>image("https://storage.googleapis.com/acdb/bottoms/BottomsTexPantsHotLeather1.png")</f>
        <v/>
      </c>
      <c r="C515" s="15"/>
      <c r="D515" s="25" t="s">
        <v>28</v>
      </c>
      <c r="E515" s="13">
        <v>1040.0</v>
      </c>
      <c r="F515" s="13">
        <v>260.0</v>
      </c>
      <c r="G515" s="15">
        <v>5733.0</v>
      </c>
      <c r="H515" s="15" t="s">
        <v>38</v>
      </c>
      <c r="I515" s="15" t="s">
        <v>43</v>
      </c>
      <c r="J515" s="15" t="s">
        <v>2749</v>
      </c>
      <c r="K515" s="15" t="s">
        <v>2751</v>
      </c>
      <c r="L515" s="15" t="s">
        <v>2756</v>
      </c>
    </row>
    <row r="516" ht="56.25" customHeight="1">
      <c r="A516" s="23" t="s">
        <v>3567</v>
      </c>
      <c r="B516" s="15" t="str">
        <f>image("https://storage.googleapis.com/acdb/bottoms/BottomsTexPantsHotLeather2.png")</f>
        <v/>
      </c>
      <c r="C516" s="15"/>
      <c r="D516" s="25" t="s">
        <v>28</v>
      </c>
      <c r="E516" s="13">
        <v>1040.0</v>
      </c>
      <c r="F516" s="13">
        <v>260.0</v>
      </c>
      <c r="G516" s="15">
        <v>5733.0</v>
      </c>
      <c r="H516" s="15" t="s">
        <v>38</v>
      </c>
      <c r="I516" s="15" t="s">
        <v>43</v>
      </c>
      <c r="J516" s="15" t="s">
        <v>2749</v>
      </c>
      <c r="K516" s="15" t="s">
        <v>2751</v>
      </c>
      <c r="L516" s="15" t="s">
        <v>2756</v>
      </c>
    </row>
    <row r="517" ht="56.25" customHeight="1">
      <c r="A517" s="23" t="s">
        <v>3567</v>
      </c>
      <c r="B517" s="15" t="str">
        <f>image("https://storage.googleapis.com/acdb/bottoms/BottomsTexPantsHotLeather3.png")</f>
        <v/>
      </c>
      <c r="C517" s="15"/>
      <c r="D517" s="25" t="s">
        <v>28</v>
      </c>
      <c r="E517" s="13">
        <v>1040.0</v>
      </c>
      <c r="F517" s="13">
        <v>260.0</v>
      </c>
      <c r="G517" s="15">
        <v>5733.0</v>
      </c>
      <c r="H517" s="15" t="s">
        <v>38</v>
      </c>
      <c r="I517" s="15" t="s">
        <v>43</v>
      </c>
      <c r="J517" s="15" t="s">
        <v>2749</v>
      </c>
      <c r="K517" s="15" t="s">
        <v>2751</v>
      </c>
      <c r="L517" s="15" t="s">
        <v>2756</v>
      </c>
    </row>
    <row r="518" ht="56.25" customHeight="1">
      <c r="A518" s="23" t="s">
        <v>3572</v>
      </c>
      <c r="B518" s="15" t="str">
        <f>image("https://storage.googleapis.com/acdb/bottoms/BottomsTexSkirtBoxLeather0.png")</f>
        <v/>
      </c>
      <c r="C518" s="15"/>
      <c r="D518" s="25" t="s">
        <v>28</v>
      </c>
      <c r="E518" s="13">
        <v>1300.0</v>
      </c>
      <c r="F518" s="13">
        <v>325.0</v>
      </c>
      <c r="G518" s="15">
        <v>4303.0</v>
      </c>
      <c r="H518" s="15" t="s">
        <v>38</v>
      </c>
      <c r="I518" s="15" t="s">
        <v>43</v>
      </c>
      <c r="J518" s="15" t="s">
        <v>2749</v>
      </c>
      <c r="K518" s="15" t="s">
        <v>2751</v>
      </c>
      <c r="L518" s="15" t="s">
        <v>2756</v>
      </c>
    </row>
    <row r="519" ht="56.25" customHeight="1">
      <c r="A519" s="23" t="s">
        <v>3572</v>
      </c>
      <c r="B519" s="15" t="str">
        <f>image("https://storage.googleapis.com/acdb/bottoms/BottomsTexSkirtBoxLeather1.png")</f>
        <v/>
      </c>
      <c r="C519" s="15"/>
      <c r="D519" s="25" t="s">
        <v>28</v>
      </c>
      <c r="E519" s="13">
        <v>1300.0</v>
      </c>
      <c r="F519" s="13">
        <v>325.0</v>
      </c>
      <c r="G519" s="15">
        <v>4303.0</v>
      </c>
      <c r="H519" s="15" t="s">
        <v>38</v>
      </c>
      <c r="I519" s="15" t="s">
        <v>43</v>
      </c>
      <c r="J519" s="15" t="s">
        <v>2749</v>
      </c>
      <c r="K519" s="15" t="s">
        <v>2751</v>
      </c>
      <c r="L519" s="15" t="s">
        <v>2756</v>
      </c>
    </row>
    <row r="520" ht="56.25" customHeight="1">
      <c r="A520" s="23" t="s">
        <v>3572</v>
      </c>
      <c r="B520" s="15" t="str">
        <f>image("https://storage.googleapis.com/acdb/bottoms/BottomsTexSkirtBoxLeather2.png")</f>
        <v/>
      </c>
      <c r="C520" s="15"/>
      <c r="D520" s="25" t="s">
        <v>28</v>
      </c>
      <c r="E520" s="13">
        <v>1300.0</v>
      </c>
      <c r="F520" s="13">
        <v>325.0</v>
      </c>
      <c r="G520" s="15">
        <v>4303.0</v>
      </c>
      <c r="H520" s="15" t="s">
        <v>38</v>
      </c>
      <c r="I520" s="15" t="s">
        <v>43</v>
      </c>
      <c r="J520" s="15" t="s">
        <v>2749</v>
      </c>
      <c r="K520" s="15" t="s">
        <v>2751</v>
      </c>
      <c r="L520" s="15" t="s">
        <v>2756</v>
      </c>
    </row>
    <row r="521" ht="56.25" customHeight="1">
      <c r="A521" s="23" t="s">
        <v>3572</v>
      </c>
      <c r="B521" s="15" t="str">
        <f>image("https://storage.googleapis.com/acdb/bottoms/BottomsTexSkirtBoxLeather3.png")</f>
        <v/>
      </c>
      <c r="C521" s="15"/>
      <c r="D521" s="25" t="s">
        <v>28</v>
      </c>
      <c r="E521" s="13">
        <v>1300.0</v>
      </c>
      <c r="F521" s="13">
        <v>325.0</v>
      </c>
      <c r="G521" s="15">
        <v>4303.0</v>
      </c>
      <c r="H521" s="15" t="s">
        <v>38</v>
      </c>
      <c r="I521" s="15" t="s">
        <v>43</v>
      </c>
      <c r="J521" s="15" t="s">
        <v>2749</v>
      </c>
      <c r="K521" s="15" t="s">
        <v>2751</v>
      </c>
      <c r="L521" s="15" t="s">
        <v>2756</v>
      </c>
    </row>
    <row r="522" ht="56.25" customHeight="1">
      <c r="A522" s="23" t="s">
        <v>3572</v>
      </c>
      <c r="B522" s="15" t="str">
        <f>image("https://storage.googleapis.com/acdb/bottoms/BottomsTexSkirtBoxLeather4.png")</f>
        <v/>
      </c>
      <c r="C522" s="15"/>
      <c r="D522" s="25" t="s">
        <v>28</v>
      </c>
      <c r="E522" s="13">
        <v>1300.0</v>
      </c>
      <c r="F522" s="13">
        <v>325.0</v>
      </c>
      <c r="G522" s="15">
        <v>4303.0</v>
      </c>
      <c r="H522" s="15" t="s">
        <v>38</v>
      </c>
      <c r="I522" s="15" t="s">
        <v>43</v>
      </c>
      <c r="J522" s="15" t="s">
        <v>2749</v>
      </c>
      <c r="K522" s="15" t="s">
        <v>2751</v>
      </c>
      <c r="L522" s="15" t="s">
        <v>2756</v>
      </c>
    </row>
    <row r="523" ht="56.25" customHeight="1">
      <c r="A523" s="23" t="s">
        <v>3572</v>
      </c>
      <c r="B523" s="15" t="str">
        <f>image("https://storage.googleapis.com/acdb/bottoms/BottomsTexSkirtBoxLeather5.png")</f>
        <v/>
      </c>
      <c r="C523" s="15"/>
      <c r="D523" s="25" t="s">
        <v>28</v>
      </c>
      <c r="E523" s="13">
        <v>1300.0</v>
      </c>
      <c r="F523" s="13">
        <v>325.0</v>
      </c>
      <c r="G523" s="15">
        <v>4303.0</v>
      </c>
      <c r="H523" s="15" t="s">
        <v>38</v>
      </c>
      <c r="I523" s="15" t="s">
        <v>43</v>
      </c>
      <c r="J523" s="15" t="s">
        <v>2749</v>
      </c>
      <c r="K523" s="15" t="s">
        <v>2751</v>
      </c>
      <c r="L523" s="15" t="s">
        <v>2756</v>
      </c>
    </row>
    <row r="524" ht="56.25" customHeight="1">
      <c r="A524" s="23" t="s">
        <v>3578</v>
      </c>
      <c r="B524" s="15" t="str">
        <f>image("https://storage.googleapis.com/acdb/bottoms/BottomsTexSkirtBoxChidori0.png")</f>
        <v/>
      </c>
      <c r="C524" s="15"/>
      <c r="D524" s="25" t="s">
        <v>28</v>
      </c>
      <c r="E524" s="13">
        <v>1200.0</v>
      </c>
      <c r="F524" s="13">
        <v>300.0</v>
      </c>
      <c r="G524" s="15">
        <v>5448.0</v>
      </c>
      <c r="H524" s="15" t="s">
        <v>38</v>
      </c>
      <c r="I524" s="15" t="s">
        <v>43</v>
      </c>
      <c r="J524" s="15" t="s">
        <v>2749</v>
      </c>
      <c r="K524" s="15" t="s">
        <v>2764</v>
      </c>
      <c r="L524" s="15" t="s">
        <v>384</v>
      </c>
    </row>
    <row r="525" ht="56.25" customHeight="1">
      <c r="A525" s="23" t="s">
        <v>3578</v>
      </c>
      <c r="B525" s="15" t="str">
        <f>image("https://storage.googleapis.com/acdb/bottoms/BottomsTexSkirtBoxChidori1.png")</f>
        <v/>
      </c>
      <c r="C525" s="15"/>
      <c r="D525" s="25" t="s">
        <v>28</v>
      </c>
      <c r="E525" s="13">
        <v>1200.0</v>
      </c>
      <c r="F525" s="13">
        <v>300.0</v>
      </c>
      <c r="G525" s="15">
        <v>5448.0</v>
      </c>
      <c r="H525" s="15" t="s">
        <v>38</v>
      </c>
      <c r="I525" s="15" t="s">
        <v>43</v>
      </c>
      <c r="J525" s="15" t="s">
        <v>2749</v>
      </c>
      <c r="K525" s="15" t="s">
        <v>2764</v>
      </c>
      <c r="L525" s="15" t="s">
        <v>384</v>
      </c>
    </row>
    <row r="526" ht="56.25" customHeight="1">
      <c r="A526" s="23" t="s">
        <v>3578</v>
      </c>
      <c r="B526" s="15" t="str">
        <f>image("https://storage.googleapis.com/acdb/bottoms/BottomsTexSkirtBoxChidori2.png")</f>
        <v/>
      </c>
      <c r="C526" s="15"/>
      <c r="D526" s="25" t="s">
        <v>28</v>
      </c>
      <c r="E526" s="13">
        <v>1200.0</v>
      </c>
      <c r="F526" s="13">
        <v>300.0</v>
      </c>
      <c r="G526" s="15">
        <v>5448.0</v>
      </c>
      <c r="H526" s="15" t="s">
        <v>38</v>
      </c>
      <c r="I526" s="15" t="s">
        <v>43</v>
      </c>
      <c r="J526" s="15" t="s">
        <v>2749</v>
      </c>
      <c r="K526" s="15" t="s">
        <v>2764</v>
      </c>
      <c r="L526" s="15" t="s">
        <v>384</v>
      </c>
    </row>
    <row r="527" ht="56.25" customHeight="1">
      <c r="A527" s="23" t="s">
        <v>3580</v>
      </c>
      <c r="B527" s="15" t="str">
        <f>image("https://storage.googleapis.com/acdb/bottoms/BottomsTexSkirtAlineDot0.png")</f>
        <v/>
      </c>
      <c r="C527" s="15"/>
      <c r="D527" s="25" t="s">
        <v>28</v>
      </c>
      <c r="E527" s="13">
        <v>1100.0</v>
      </c>
      <c r="F527" s="13">
        <v>275.0</v>
      </c>
      <c r="G527" s="15">
        <v>12173.0</v>
      </c>
      <c r="H527" s="15" t="s">
        <v>38</v>
      </c>
      <c r="I527" s="15" t="s">
        <v>43</v>
      </c>
      <c r="J527" s="15" t="s">
        <v>2749</v>
      </c>
      <c r="K527" s="15" t="s">
        <v>2764</v>
      </c>
      <c r="L527" s="15" t="s">
        <v>2744</v>
      </c>
    </row>
    <row r="528" ht="56.25" customHeight="1">
      <c r="A528" s="23" t="s">
        <v>3580</v>
      </c>
      <c r="B528" s="15" t="str">
        <f>image("https://storage.googleapis.com/acdb/bottoms/BottomsTexSkirtAlineDot1.png")</f>
        <v/>
      </c>
      <c r="C528" s="15"/>
      <c r="D528" s="25" t="s">
        <v>28</v>
      </c>
      <c r="E528" s="13">
        <v>1100.0</v>
      </c>
      <c r="F528" s="13">
        <v>275.0</v>
      </c>
      <c r="G528" s="15">
        <v>12173.0</v>
      </c>
      <c r="H528" s="15" t="s">
        <v>38</v>
      </c>
      <c r="I528" s="15" t="s">
        <v>43</v>
      </c>
      <c r="J528" s="15" t="s">
        <v>2749</v>
      </c>
      <c r="K528" s="15" t="s">
        <v>2764</v>
      </c>
      <c r="L528" s="15" t="s">
        <v>2744</v>
      </c>
    </row>
    <row r="529" ht="56.25" customHeight="1">
      <c r="A529" s="23" t="s">
        <v>3580</v>
      </c>
      <c r="B529" s="15" t="str">
        <f>image("https://storage.googleapis.com/acdb/bottoms/BottomsTexSkirtAlineDot2.png")</f>
        <v/>
      </c>
      <c r="C529" s="15"/>
      <c r="D529" s="25" t="s">
        <v>28</v>
      </c>
      <c r="E529" s="13">
        <v>1100.0</v>
      </c>
      <c r="F529" s="13">
        <v>275.0</v>
      </c>
      <c r="G529" s="15">
        <v>12173.0</v>
      </c>
      <c r="H529" s="15" t="s">
        <v>38</v>
      </c>
      <c r="I529" s="15" t="s">
        <v>43</v>
      </c>
      <c r="J529" s="15" t="s">
        <v>2749</v>
      </c>
      <c r="K529" s="15" t="s">
        <v>2764</v>
      </c>
      <c r="L529" s="15" t="s">
        <v>2744</v>
      </c>
    </row>
    <row r="530" ht="56.25" customHeight="1">
      <c r="A530" s="23" t="s">
        <v>3580</v>
      </c>
      <c r="B530" s="15" t="str">
        <f>image("https://storage.googleapis.com/acdb/bottoms/BottomsTexSkirtAlineDot3.png")</f>
        <v/>
      </c>
      <c r="C530" s="15"/>
      <c r="D530" s="25" t="s">
        <v>28</v>
      </c>
      <c r="E530" s="13">
        <v>1100.0</v>
      </c>
      <c r="F530" s="13">
        <v>275.0</v>
      </c>
      <c r="G530" s="15">
        <v>12173.0</v>
      </c>
      <c r="H530" s="15" t="s">
        <v>38</v>
      </c>
      <c r="I530" s="15" t="s">
        <v>43</v>
      </c>
      <c r="J530" s="15" t="s">
        <v>2749</v>
      </c>
      <c r="K530" s="15" t="s">
        <v>2764</v>
      </c>
      <c r="L530" s="15" t="s">
        <v>2744</v>
      </c>
    </row>
    <row r="531" ht="56.25" customHeight="1">
      <c r="A531" s="23" t="s">
        <v>3585</v>
      </c>
      <c r="B531" s="15" t="str">
        <f>image("https://storage.googleapis.com/acdb/bottoms/BottomsTexPantsNormalBondage0.png")</f>
        <v/>
      </c>
      <c r="C531" s="15"/>
      <c r="D531" s="25" t="s">
        <v>28</v>
      </c>
      <c r="E531" s="13">
        <v>1820.0</v>
      </c>
      <c r="F531" s="13">
        <v>455.0</v>
      </c>
      <c r="G531" s="15">
        <v>4485.0</v>
      </c>
      <c r="H531" s="15" t="s">
        <v>38</v>
      </c>
      <c r="I531" s="15" t="s">
        <v>43</v>
      </c>
      <c r="J531" s="15" t="s">
        <v>2749</v>
      </c>
      <c r="K531" s="15" t="s">
        <v>2751</v>
      </c>
      <c r="L531" s="15" t="s">
        <v>2756</v>
      </c>
    </row>
    <row r="532" ht="56.25" customHeight="1">
      <c r="A532" s="23" t="s">
        <v>3585</v>
      </c>
      <c r="B532" s="15" t="str">
        <f>image("https://storage.googleapis.com/acdb/bottoms/BottomsTexPantsNormalBondage1.png")</f>
        <v/>
      </c>
      <c r="C532" s="15"/>
      <c r="D532" s="25" t="s">
        <v>28</v>
      </c>
      <c r="E532" s="13">
        <v>1820.0</v>
      </c>
      <c r="F532" s="13">
        <v>455.0</v>
      </c>
      <c r="G532" s="15">
        <v>4485.0</v>
      </c>
      <c r="H532" s="15" t="s">
        <v>38</v>
      </c>
      <c r="I532" s="15" t="s">
        <v>43</v>
      </c>
      <c r="J532" s="15" t="s">
        <v>2749</v>
      </c>
      <c r="K532" s="15" t="s">
        <v>2751</v>
      </c>
      <c r="L532" s="15" t="s">
        <v>2756</v>
      </c>
    </row>
    <row r="533" ht="56.25" customHeight="1">
      <c r="A533" s="23" t="s">
        <v>3585</v>
      </c>
      <c r="B533" s="15" t="str">
        <f>image("https://storage.googleapis.com/acdb/bottoms/BottomsTexPantsNormalBondage2.png")</f>
        <v/>
      </c>
      <c r="C533" s="15"/>
      <c r="D533" s="25" t="s">
        <v>28</v>
      </c>
      <c r="E533" s="13">
        <v>1820.0</v>
      </c>
      <c r="F533" s="13">
        <v>455.0</v>
      </c>
      <c r="G533" s="15">
        <v>4485.0</v>
      </c>
      <c r="H533" s="15" t="s">
        <v>38</v>
      </c>
      <c r="I533" s="15" t="s">
        <v>43</v>
      </c>
      <c r="J533" s="15" t="s">
        <v>2749</v>
      </c>
      <c r="K533" s="15" t="s">
        <v>2751</v>
      </c>
      <c r="L533" s="15" t="s">
        <v>2756</v>
      </c>
    </row>
    <row r="534" ht="56.25" customHeight="1">
      <c r="A534" s="23" t="s">
        <v>3585</v>
      </c>
      <c r="B534" s="15" t="str">
        <f>image("https://storage.googleapis.com/acdb/bottoms/BottomsTexPantsNormalBondage3.png")</f>
        <v/>
      </c>
      <c r="C534" s="15"/>
      <c r="D534" s="25" t="s">
        <v>28</v>
      </c>
      <c r="E534" s="13">
        <v>1820.0</v>
      </c>
      <c r="F534" s="13">
        <v>455.0</v>
      </c>
      <c r="G534" s="15">
        <v>4485.0</v>
      </c>
      <c r="H534" s="15" t="s">
        <v>38</v>
      </c>
      <c r="I534" s="15" t="s">
        <v>43</v>
      </c>
      <c r="J534" s="15" t="s">
        <v>2749</v>
      </c>
      <c r="K534" s="15" t="s">
        <v>2751</v>
      </c>
      <c r="L534" s="15" t="s">
        <v>2756</v>
      </c>
    </row>
    <row r="535" ht="56.25" customHeight="1">
      <c r="A535" s="23" t="s">
        <v>3588</v>
      </c>
      <c r="B535" s="15" t="str">
        <f>image("https://storage.googleapis.com/acdb/bottoms/BottomsTexPantsWideRain0.png")</f>
        <v/>
      </c>
      <c r="C535" s="15"/>
      <c r="D535" s="25" t="s">
        <v>28</v>
      </c>
      <c r="E535" s="13">
        <v>700.0</v>
      </c>
      <c r="F535" s="13">
        <v>175.0</v>
      </c>
      <c r="G535" s="15">
        <v>5413.0</v>
      </c>
      <c r="H535" s="15" t="s">
        <v>38</v>
      </c>
      <c r="I535" s="15" t="s">
        <v>43</v>
      </c>
      <c r="J535" s="15" t="s">
        <v>2749</v>
      </c>
      <c r="K535" s="15" t="s">
        <v>2751</v>
      </c>
      <c r="L535" s="15" t="s">
        <v>2744</v>
      </c>
    </row>
    <row r="536" ht="56.25" customHeight="1">
      <c r="A536" s="23" t="s">
        <v>3588</v>
      </c>
      <c r="B536" s="15" t="str">
        <f>image("https://storage.googleapis.com/acdb/bottoms/BottomsTexPantsWideRain1.png")</f>
        <v/>
      </c>
      <c r="C536" s="15"/>
      <c r="D536" s="25" t="s">
        <v>28</v>
      </c>
      <c r="E536" s="13">
        <v>700.0</v>
      </c>
      <c r="F536" s="13">
        <v>175.0</v>
      </c>
      <c r="G536" s="15">
        <v>5413.0</v>
      </c>
      <c r="H536" s="15" t="s">
        <v>38</v>
      </c>
      <c r="I536" s="15" t="s">
        <v>43</v>
      </c>
      <c r="J536" s="15" t="s">
        <v>2749</v>
      </c>
      <c r="K536" s="15" t="s">
        <v>2751</v>
      </c>
      <c r="L536" s="15" t="s">
        <v>2744</v>
      </c>
    </row>
    <row r="537" ht="56.25" customHeight="1">
      <c r="A537" s="23" t="s">
        <v>3588</v>
      </c>
      <c r="B537" s="15" t="str">
        <f>image("https://storage.googleapis.com/acdb/bottoms/BottomsTexPantsWideRain2.png")</f>
        <v/>
      </c>
      <c r="C537" s="15"/>
      <c r="D537" s="25" t="s">
        <v>28</v>
      </c>
      <c r="E537" s="13">
        <v>700.0</v>
      </c>
      <c r="F537" s="13">
        <v>175.0</v>
      </c>
      <c r="G537" s="15">
        <v>5413.0</v>
      </c>
      <c r="H537" s="15" t="s">
        <v>38</v>
      </c>
      <c r="I537" s="15" t="s">
        <v>43</v>
      </c>
      <c r="J537" s="15" t="s">
        <v>2749</v>
      </c>
      <c r="K537" s="15" t="s">
        <v>2751</v>
      </c>
      <c r="L537" s="15" t="s">
        <v>2744</v>
      </c>
    </row>
    <row r="538" ht="56.25" customHeight="1">
      <c r="A538" s="23" t="s">
        <v>3588</v>
      </c>
      <c r="B538" s="15" t="str">
        <f>image("https://storage.googleapis.com/acdb/bottoms/BottomsTexPantsWideRain3.png")</f>
        <v/>
      </c>
      <c r="C538" s="15"/>
      <c r="D538" s="25" t="s">
        <v>28</v>
      </c>
      <c r="E538" s="13">
        <v>700.0</v>
      </c>
      <c r="F538" s="13">
        <v>175.0</v>
      </c>
      <c r="G538" s="15">
        <v>5413.0</v>
      </c>
      <c r="H538" s="15" t="s">
        <v>38</v>
      </c>
      <c r="I538" s="15" t="s">
        <v>43</v>
      </c>
      <c r="J538" s="15" t="s">
        <v>2749</v>
      </c>
      <c r="K538" s="15" t="s">
        <v>2751</v>
      </c>
      <c r="L538" s="15" t="s">
        <v>2744</v>
      </c>
    </row>
    <row r="539" ht="56.25" customHeight="1">
      <c r="A539" s="23" t="s">
        <v>3588</v>
      </c>
      <c r="B539" s="15" t="str">
        <f>image("https://storage.googleapis.com/acdb/bottoms/BottomsTexPantsWideRain4.png")</f>
        <v/>
      </c>
      <c r="C539" s="15"/>
      <c r="D539" s="25" t="s">
        <v>28</v>
      </c>
      <c r="E539" s="13">
        <v>700.0</v>
      </c>
      <c r="F539" s="13">
        <v>175.0</v>
      </c>
      <c r="G539" s="15">
        <v>5413.0</v>
      </c>
      <c r="H539" s="15" t="s">
        <v>38</v>
      </c>
      <c r="I539" s="15" t="s">
        <v>43</v>
      </c>
      <c r="J539" s="15" t="s">
        <v>2749</v>
      </c>
      <c r="K539" s="15" t="s">
        <v>2751</v>
      </c>
      <c r="L539" s="15" t="s">
        <v>2744</v>
      </c>
    </row>
    <row r="540" ht="56.25" customHeight="1">
      <c r="A540" s="23" t="s">
        <v>3588</v>
      </c>
      <c r="B540" s="15" t="str">
        <f>image("https://storage.googleapis.com/acdb/bottoms/BottomsTexPantsWideRain5.png")</f>
        <v/>
      </c>
      <c r="C540" s="15"/>
      <c r="D540" s="25" t="s">
        <v>28</v>
      </c>
      <c r="E540" s="13">
        <v>700.0</v>
      </c>
      <c r="F540" s="13">
        <v>175.0</v>
      </c>
      <c r="G540" s="15">
        <v>5413.0</v>
      </c>
      <c r="H540" s="15" t="s">
        <v>38</v>
      </c>
      <c r="I540" s="15" t="s">
        <v>43</v>
      </c>
      <c r="J540" s="15" t="s">
        <v>2749</v>
      </c>
      <c r="K540" s="15" t="s">
        <v>2751</v>
      </c>
      <c r="L540" s="15" t="s">
        <v>2744</v>
      </c>
    </row>
    <row r="541" ht="56.25" customHeight="1">
      <c r="A541" s="23" t="s">
        <v>3588</v>
      </c>
      <c r="B541" s="15" t="str">
        <f>image("https://storage.googleapis.com/acdb/bottoms/BottomsTexPantsWideRain6.png")</f>
        <v/>
      </c>
      <c r="C541" s="15"/>
      <c r="D541" s="25" t="s">
        <v>28</v>
      </c>
      <c r="E541" s="13">
        <v>700.0</v>
      </c>
      <c r="F541" s="13">
        <v>175.0</v>
      </c>
      <c r="G541" s="15">
        <v>5413.0</v>
      </c>
      <c r="H541" s="15" t="s">
        <v>38</v>
      </c>
      <c r="I541" s="15" t="s">
        <v>43</v>
      </c>
      <c r="J541" s="15" t="s">
        <v>2749</v>
      </c>
      <c r="K541" s="15" t="s">
        <v>2751</v>
      </c>
      <c r="L541" s="15" t="s">
        <v>2744</v>
      </c>
    </row>
    <row r="542" ht="56.25" customHeight="1">
      <c r="A542" s="23" t="s">
        <v>3588</v>
      </c>
      <c r="B542" s="15" t="str">
        <f>image("https://storage.googleapis.com/acdb/bottoms/BottomsTexPantsWideRain7.png")</f>
        <v/>
      </c>
      <c r="C542" s="15"/>
      <c r="D542" s="25" t="s">
        <v>28</v>
      </c>
      <c r="E542" s="13">
        <v>700.0</v>
      </c>
      <c r="F542" s="13">
        <v>175.0</v>
      </c>
      <c r="G542" s="15">
        <v>5413.0</v>
      </c>
      <c r="H542" s="15" t="s">
        <v>38</v>
      </c>
      <c r="I542" s="15" t="s">
        <v>43</v>
      </c>
      <c r="J542" s="15" t="s">
        <v>2749</v>
      </c>
      <c r="K542" s="15" t="s">
        <v>2751</v>
      </c>
      <c r="L542" s="15" t="s">
        <v>2744</v>
      </c>
    </row>
    <row r="543" ht="56.25" customHeight="1">
      <c r="A543" s="23" t="s">
        <v>3594</v>
      </c>
      <c r="B543" s="15" t="str">
        <f>image("https://storage.googleapis.com/acdb/bottoms/BottomsTexSkirtAlineSailor0.png")</f>
        <v/>
      </c>
      <c r="C543" s="15"/>
      <c r="D543" s="25" t="s">
        <v>28</v>
      </c>
      <c r="E543" s="13">
        <v>980.0</v>
      </c>
      <c r="F543" s="13">
        <v>245.0</v>
      </c>
      <c r="G543" s="15">
        <v>3341.0</v>
      </c>
      <c r="H543" s="15" t="s">
        <v>38</v>
      </c>
      <c r="I543" s="15" t="s">
        <v>43</v>
      </c>
      <c r="J543" s="15" t="s">
        <v>2749</v>
      </c>
      <c r="K543" s="15" t="s">
        <v>2751</v>
      </c>
      <c r="L543" s="15" t="s">
        <v>2744</v>
      </c>
    </row>
    <row r="544" ht="56.25" customHeight="1">
      <c r="A544" s="23" t="s">
        <v>3594</v>
      </c>
      <c r="B544" s="15" t="str">
        <f>image("https://storage.googleapis.com/acdb/bottoms/BottomsTexSkirtAlineSailor1.png")</f>
        <v/>
      </c>
      <c r="C544" s="15"/>
      <c r="D544" s="25" t="s">
        <v>28</v>
      </c>
      <c r="E544" s="13">
        <v>980.0</v>
      </c>
      <c r="F544" s="13">
        <v>245.0</v>
      </c>
      <c r="G544" s="15">
        <v>3341.0</v>
      </c>
      <c r="H544" s="15" t="s">
        <v>38</v>
      </c>
      <c r="I544" s="15" t="s">
        <v>43</v>
      </c>
      <c r="J544" s="15" t="s">
        <v>2749</v>
      </c>
      <c r="K544" s="15" t="s">
        <v>2751</v>
      </c>
      <c r="L544" s="15" t="s">
        <v>2744</v>
      </c>
    </row>
    <row r="545" ht="56.25" customHeight="1">
      <c r="A545" s="23" t="s">
        <v>3594</v>
      </c>
      <c r="B545" s="15" t="str">
        <f>image("https://storage.googleapis.com/acdb/bottoms/BottomsTexSkirtAlineSailor2.png")</f>
        <v/>
      </c>
      <c r="C545" s="15"/>
      <c r="D545" s="25" t="s">
        <v>28</v>
      </c>
      <c r="E545" s="13">
        <v>980.0</v>
      </c>
      <c r="F545" s="13">
        <v>245.0</v>
      </c>
      <c r="G545" s="15">
        <v>3341.0</v>
      </c>
      <c r="H545" s="15" t="s">
        <v>38</v>
      </c>
      <c r="I545" s="15" t="s">
        <v>43</v>
      </c>
      <c r="J545" s="15" t="s">
        <v>2749</v>
      </c>
      <c r="K545" s="15" t="s">
        <v>2751</v>
      </c>
      <c r="L545" s="15" t="s">
        <v>2744</v>
      </c>
    </row>
    <row r="546" ht="56.25" customHeight="1">
      <c r="A546" s="23" t="s">
        <v>3594</v>
      </c>
      <c r="B546" s="15" t="str">
        <f>image("https://storage.googleapis.com/acdb/bottoms/BottomsTexSkirtAlineSailor3.png")</f>
        <v/>
      </c>
      <c r="C546" s="15"/>
      <c r="D546" s="25" t="s">
        <v>28</v>
      </c>
      <c r="E546" s="13">
        <v>980.0</v>
      </c>
      <c r="F546" s="13">
        <v>245.0</v>
      </c>
      <c r="G546" s="15">
        <v>3341.0</v>
      </c>
      <c r="H546" s="15" t="s">
        <v>38</v>
      </c>
      <c r="I546" s="15" t="s">
        <v>43</v>
      </c>
      <c r="J546" s="15" t="s">
        <v>2749</v>
      </c>
      <c r="K546" s="15" t="s">
        <v>2751</v>
      </c>
      <c r="L546" s="15" t="s">
        <v>2744</v>
      </c>
    </row>
    <row r="547" ht="56.25" customHeight="1">
      <c r="A547" s="23" t="s">
        <v>3594</v>
      </c>
      <c r="B547" s="15" t="str">
        <f>image("https://storage.googleapis.com/acdb/bottoms/BottomsTexSkirtAlineSailor4.png")</f>
        <v/>
      </c>
      <c r="C547" s="15"/>
      <c r="D547" s="25" t="s">
        <v>28</v>
      </c>
      <c r="E547" s="13">
        <v>980.0</v>
      </c>
      <c r="F547" s="13">
        <v>245.0</v>
      </c>
      <c r="G547" s="15">
        <v>3341.0</v>
      </c>
      <c r="H547" s="15" t="s">
        <v>38</v>
      </c>
      <c r="I547" s="15" t="s">
        <v>43</v>
      </c>
      <c r="J547" s="15" t="s">
        <v>2749</v>
      </c>
      <c r="K547" s="15" t="s">
        <v>2751</v>
      </c>
      <c r="L547" s="15" t="s">
        <v>2744</v>
      </c>
    </row>
    <row r="548" ht="56.25" customHeight="1">
      <c r="A548" s="23" t="s">
        <v>3594</v>
      </c>
      <c r="B548" s="15" t="str">
        <f>image("https://storage.googleapis.com/acdb/bottoms/BottomsTexSkirtAlineSailor5.png")</f>
        <v/>
      </c>
      <c r="C548" s="15"/>
      <c r="D548" s="25" t="s">
        <v>28</v>
      </c>
      <c r="E548" s="13">
        <v>980.0</v>
      </c>
      <c r="F548" s="13">
        <v>245.0</v>
      </c>
      <c r="G548" s="15">
        <v>3341.0</v>
      </c>
      <c r="H548" s="15" t="s">
        <v>38</v>
      </c>
      <c r="I548" s="15" t="s">
        <v>43</v>
      </c>
      <c r="J548" s="15" t="s">
        <v>2749</v>
      </c>
      <c r="K548" s="15" t="s">
        <v>2751</v>
      </c>
      <c r="L548" s="15" t="s">
        <v>2744</v>
      </c>
    </row>
    <row r="549" ht="56.25" customHeight="1">
      <c r="A549" s="23" t="s">
        <v>3594</v>
      </c>
      <c r="B549" s="15" t="str">
        <f>image("https://storage.googleapis.com/acdb/bottoms/BottomsTexSkirtAlineSailor6.png")</f>
        <v/>
      </c>
      <c r="C549" s="15"/>
      <c r="D549" s="25" t="s">
        <v>28</v>
      </c>
      <c r="E549" s="13">
        <v>980.0</v>
      </c>
      <c r="F549" s="13">
        <v>245.0</v>
      </c>
      <c r="G549" s="15">
        <v>3341.0</v>
      </c>
      <c r="H549" s="15" t="s">
        <v>38</v>
      </c>
      <c r="I549" s="15" t="s">
        <v>43</v>
      </c>
      <c r="J549" s="15" t="s">
        <v>2749</v>
      </c>
      <c r="K549" s="15" t="s">
        <v>2751</v>
      </c>
      <c r="L549" s="15" t="s">
        <v>2744</v>
      </c>
    </row>
    <row r="550" ht="56.25" customHeight="1">
      <c r="A550" s="23" t="s">
        <v>3594</v>
      </c>
      <c r="B550" s="15" t="str">
        <f>image("https://storage.googleapis.com/acdb/bottoms/BottomsTexSkirtAlineSailor7.png")</f>
        <v/>
      </c>
      <c r="C550" s="15"/>
      <c r="D550" s="25" t="s">
        <v>28</v>
      </c>
      <c r="E550" s="13">
        <v>980.0</v>
      </c>
      <c r="F550" s="13">
        <v>245.0</v>
      </c>
      <c r="G550" s="15">
        <v>3341.0</v>
      </c>
      <c r="H550" s="15" t="s">
        <v>38</v>
      </c>
      <c r="I550" s="15" t="s">
        <v>43</v>
      </c>
      <c r="J550" s="15" t="s">
        <v>2749</v>
      </c>
      <c r="K550" s="15" t="s">
        <v>2751</v>
      </c>
      <c r="L550" s="15" t="s">
        <v>2744</v>
      </c>
    </row>
    <row r="551" ht="56.25" customHeight="1">
      <c r="A551" s="23" t="s">
        <v>3601</v>
      </c>
      <c r="B551" s="15" t="str">
        <f>image("https://storage.googleapis.com/acdb/bottoms/BottomsTexPantsWideSatin0.png")</f>
        <v/>
      </c>
      <c r="C551" s="15"/>
      <c r="D551" s="25" t="s">
        <v>28</v>
      </c>
      <c r="E551" s="13">
        <v>880.0</v>
      </c>
      <c r="F551" s="13">
        <v>220.0</v>
      </c>
      <c r="G551" s="15">
        <v>4593.0</v>
      </c>
      <c r="H551" s="15" t="s">
        <v>38</v>
      </c>
      <c r="I551" s="15" t="s">
        <v>43</v>
      </c>
      <c r="J551" s="15" t="s">
        <v>2749</v>
      </c>
      <c r="K551" s="15" t="s">
        <v>2751</v>
      </c>
      <c r="L551" s="15" t="s">
        <v>2744</v>
      </c>
    </row>
    <row r="552" ht="56.25" customHeight="1">
      <c r="A552" s="23" t="s">
        <v>3601</v>
      </c>
      <c r="B552" s="15" t="str">
        <f>image("https://storage.googleapis.com/acdb/bottoms/BottomsTexPantsWideSatin1.png")</f>
        <v/>
      </c>
      <c r="C552" s="15"/>
      <c r="D552" s="25" t="s">
        <v>28</v>
      </c>
      <c r="E552" s="13">
        <v>880.0</v>
      </c>
      <c r="F552" s="13">
        <v>220.0</v>
      </c>
      <c r="G552" s="15">
        <v>4593.0</v>
      </c>
      <c r="H552" s="15" t="s">
        <v>38</v>
      </c>
      <c r="I552" s="15" t="s">
        <v>43</v>
      </c>
      <c r="J552" s="15" t="s">
        <v>2749</v>
      </c>
      <c r="K552" s="15" t="s">
        <v>2751</v>
      </c>
      <c r="L552" s="15" t="s">
        <v>2744</v>
      </c>
    </row>
    <row r="553" ht="56.25" customHeight="1">
      <c r="A553" s="23" t="s">
        <v>3601</v>
      </c>
      <c r="B553" s="15" t="str">
        <f>image("https://storage.googleapis.com/acdb/bottoms/BottomsTexPantsWideSatin2.png")</f>
        <v/>
      </c>
      <c r="C553" s="15"/>
      <c r="D553" s="25" t="s">
        <v>28</v>
      </c>
      <c r="E553" s="13">
        <v>880.0</v>
      </c>
      <c r="F553" s="13">
        <v>220.0</v>
      </c>
      <c r="G553" s="15">
        <v>4593.0</v>
      </c>
      <c r="H553" s="15" t="s">
        <v>38</v>
      </c>
      <c r="I553" s="15" t="s">
        <v>43</v>
      </c>
      <c r="J553" s="15" t="s">
        <v>2749</v>
      </c>
      <c r="K553" s="15" t="s">
        <v>2751</v>
      </c>
      <c r="L553" s="15" t="s">
        <v>2744</v>
      </c>
    </row>
    <row r="554" ht="56.25" customHeight="1">
      <c r="A554" s="23" t="s">
        <v>3601</v>
      </c>
      <c r="B554" s="15" t="str">
        <f>image("https://storage.googleapis.com/acdb/bottoms/BottomsTexPantsWideSatin3.png")</f>
        <v/>
      </c>
      <c r="C554" s="15"/>
      <c r="D554" s="25" t="s">
        <v>28</v>
      </c>
      <c r="E554" s="13">
        <v>880.0</v>
      </c>
      <c r="F554" s="13">
        <v>220.0</v>
      </c>
      <c r="G554" s="15">
        <v>4593.0</v>
      </c>
      <c r="H554" s="15" t="s">
        <v>38</v>
      </c>
      <c r="I554" s="15" t="s">
        <v>43</v>
      </c>
      <c r="J554" s="15" t="s">
        <v>2749</v>
      </c>
      <c r="K554" s="15" t="s">
        <v>2751</v>
      </c>
      <c r="L554" s="15" t="s">
        <v>2744</v>
      </c>
    </row>
    <row r="555" ht="56.25" customHeight="1">
      <c r="A555" s="23" t="s">
        <v>3601</v>
      </c>
      <c r="B555" s="15" t="str">
        <f>image("https://storage.googleapis.com/acdb/bottoms/BottomsTexPantsWideSatin4.png")</f>
        <v/>
      </c>
      <c r="C555" s="15"/>
      <c r="D555" s="25" t="s">
        <v>28</v>
      </c>
      <c r="E555" s="13">
        <v>880.0</v>
      </c>
      <c r="F555" s="13">
        <v>220.0</v>
      </c>
      <c r="G555" s="15">
        <v>4593.0</v>
      </c>
      <c r="H555" s="15" t="s">
        <v>38</v>
      </c>
      <c r="I555" s="15" t="s">
        <v>43</v>
      </c>
      <c r="J555" s="15" t="s">
        <v>2749</v>
      </c>
      <c r="K555" s="15" t="s">
        <v>2751</v>
      </c>
      <c r="L555" s="15" t="s">
        <v>2744</v>
      </c>
    </row>
    <row r="556" ht="56.25" customHeight="1">
      <c r="A556" s="23" t="s">
        <v>3601</v>
      </c>
      <c r="B556" s="15" t="str">
        <f>image("https://storage.googleapis.com/acdb/bottoms/BottomsTexPantsWideSatin5.png")</f>
        <v/>
      </c>
      <c r="C556" s="15"/>
      <c r="D556" s="25" t="s">
        <v>28</v>
      </c>
      <c r="E556" s="13">
        <v>880.0</v>
      </c>
      <c r="F556" s="13">
        <v>220.0</v>
      </c>
      <c r="G556" s="15">
        <v>4593.0</v>
      </c>
      <c r="H556" s="15" t="s">
        <v>38</v>
      </c>
      <c r="I556" s="15" t="s">
        <v>43</v>
      </c>
      <c r="J556" s="15" t="s">
        <v>2749</v>
      </c>
      <c r="K556" s="15" t="s">
        <v>2751</v>
      </c>
      <c r="L556" s="15" t="s">
        <v>2744</v>
      </c>
    </row>
    <row r="557" ht="56.25" customHeight="1">
      <c r="A557" s="23" t="s">
        <v>3601</v>
      </c>
      <c r="B557" s="15" t="str">
        <f>image("https://storage.googleapis.com/acdb/bottoms/BottomsTexPantsWideSatin6.png")</f>
        <v/>
      </c>
      <c r="C557" s="15"/>
      <c r="D557" s="25" t="s">
        <v>28</v>
      </c>
      <c r="E557" s="13">
        <v>880.0</v>
      </c>
      <c r="F557" s="13">
        <v>220.0</v>
      </c>
      <c r="G557" s="15">
        <v>4593.0</v>
      </c>
      <c r="H557" s="15" t="s">
        <v>38</v>
      </c>
      <c r="I557" s="15" t="s">
        <v>43</v>
      </c>
      <c r="J557" s="15" t="s">
        <v>2749</v>
      </c>
      <c r="K557" s="15" t="s">
        <v>2751</v>
      </c>
      <c r="L557" s="15" t="s">
        <v>2744</v>
      </c>
    </row>
    <row r="558" ht="56.25" customHeight="1">
      <c r="A558" s="23" t="s">
        <v>3607</v>
      </c>
      <c r="B558" s="15" t="str">
        <f>image("https://storage.googleapis.com/acdb/bottoms/BottomsTexPantsWideGakuran0.png")</f>
        <v/>
      </c>
      <c r="C558" s="15"/>
      <c r="D558" s="25" t="s">
        <v>28</v>
      </c>
      <c r="E558" s="13">
        <v>880.0</v>
      </c>
      <c r="F558" s="13">
        <v>220.0</v>
      </c>
      <c r="G558" s="15">
        <v>5873.0</v>
      </c>
      <c r="H558" s="15" t="s">
        <v>38</v>
      </c>
      <c r="I558" s="15" t="s">
        <v>43</v>
      </c>
      <c r="J558" s="15" t="s">
        <v>2749</v>
      </c>
      <c r="K558" s="15" t="s">
        <v>2751</v>
      </c>
      <c r="L558" s="15" t="s">
        <v>2744</v>
      </c>
    </row>
    <row r="559" ht="56.25" customHeight="1">
      <c r="A559" s="23" t="s">
        <v>3607</v>
      </c>
      <c r="B559" s="15" t="str">
        <f>image("https://storage.googleapis.com/acdb/bottoms/BottomsTexPantsWideGakuran1.png")</f>
        <v/>
      </c>
      <c r="C559" s="15"/>
      <c r="D559" s="25" t="s">
        <v>28</v>
      </c>
      <c r="E559" s="13">
        <v>880.0</v>
      </c>
      <c r="F559" s="13">
        <v>220.0</v>
      </c>
      <c r="G559" s="15">
        <v>5873.0</v>
      </c>
      <c r="H559" s="15" t="s">
        <v>38</v>
      </c>
      <c r="I559" s="15" t="s">
        <v>43</v>
      </c>
      <c r="J559" s="15" t="s">
        <v>2749</v>
      </c>
      <c r="K559" s="15" t="s">
        <v>2751</v>
      </c>
      <c r="L559" s="15" t="s">
        <v>2744</v>
      </c>
    </row>
    <row r="560" ht="56.25" customHeight="1">
      <c r="A560" s="23" t="s">
        <v>3607</v>
      </c>
      <c r="B560" s="15" t="str">
        <f>image("https://storage.googleapis.com/acdb/bottoms/BottomsTexPantsWideGakuran2.png")</f>
        <v/>
      </c>
      <c r="C560" s="15"/>
      <c r="D560" s="25" t="s">
        <v>28</v>
      </c>
      <c r="E560" s="13">
        <v>880.0</v>
      </c>
      <c r="F560" s="13">
        <v>220.0</v>
      </c>
      <c r="G560" s="15">
        <v>5873.0</v>
      </c>
      <c r="H560" s="15" t="s">
        <v>38</v>
      </c>
      <c r="I560" s="15" t="s">
        <v>43</v>
      </c>
      <c r="J560" s="15" t="s">
        <v>2749</v>
      </c>
      <c r="K560" s="15" t="s">
        <v>2751</v>
      </c>
      <c r="L560" s="15" t="s">
        <v>2744</v>
      </c>
    </row>
    <row r="561" ht="56.25" customHeight="1">
      <c r="A561" s="23" t="s">
        <v>3607</v>
      </c>
      <c r="B561" s="15" t="str">
        <f>image("https://storage.googleapis.com/acdb/bottoms/BottomsTexPantsWideGakuran3.png")</f>
        <v/>
      </c>
      <c r="C561" s="15"/>
      <c r="D561" s="25" t="s">
        <v>28</v>
      </c>
      <c r="E561" s="13">
        <v>880.0</v>
      </c>
      <c r="F561" s="13">
        <v>220.0</v>
      </c>
      <c r="G561" s="15">
        <v>5873.0</v>
      </c>
      <c r="H561" s="15" t="s">
        <v>38</v>
      </c>
      <c r="I561" s="15" t="s">
        <v>43</v>
      </c>
      <c r="J561" s="15" t="s">
        <v>2749</v>
      </c>
      <c r="K561" s="15" t="s">
        <v>2751</v>
      </c>
      <c r="L561" s="15" t="s">
        <v>2744</v>
      </c>
    </row>
    <row r="562" ht="56.25" customHeight="1">
      <c r="A562" s="23" t="s">
        <v>3607</v>
      </c>
      <c r="B562" s="15" t="str">
        <f>image("https://storage.googleapis.com/acdb/bottoms/BottomsTexPantsWideGakuran4.png")</f>
        <v/>
      </c>
      <c r="C562" s="15"/>
      <c r="D562" s="25" t="s">
        <v>28</v>
      </c>
      <c r="E562" s="13">
        <v>880.0</v>
      </c>
      <c r="F562" s="13">
        <v>220.0</v>
      </c>
      <c r="G562" s="15">
        <v>5873.0</v>
      </c>
      <c r="H562" s="15" t="s">
        <v>38</v>
      </c>
      <c r="I562" s="15" t="s">
        <v>43</v>
      </c>
      <c r="J562" s="15" t="s">
        <v>2749</v>
      </c>
      <c r="K562" s="15" t="s">
        <v>2751</v>
      </c>
      <c r="L562" s="15" t="s">
        <v>2744</v>
      </c>
    </row>
    <row r="563" ht="56.25" customHeight="1">
      <c r="A563" s="23" t="s">
        <v>3607</v>
      </c>
      <c r="B563" s="15" t="str">
        <f>image("https://storage.googleapis.com/acdb/bottoms/BottomsTexPantsWideGakuran5.png")</f>
        <v/>
      </c>
      <c r="C563" s="15"/>
      <c r="D563" s="25" t="s">
        <v>28</v>
      </c>
      <c r="E563" s="13">
        <v>880.0</v>
      </c>
      <c r="F563" s="13">
        <v>220.0</v>
      </c>
      <c r="G563" s="15">
        <v>5873.0</v>
      </c>
      <c r="H563" s="15" t="s">
        <v>38</v>
      </c>
      <c r="I563" s="15" t="s">
        <v>43</v>
      </c>
      <c r="J563" s="15" t="s">
        <v>2749</v>
      </c>
      <c r="K563" s="15" t="s">
        <v>2751</v>
      </c>
      <c r="L563" s="15" t="s">
        <v>2744</v>
      </c>
    </row>
    <row r="564" ht="56.25" customHeight="1">
      <c r="A564" s="23" t="s">
        <v>3607</v>
      </c>
      <c r="B564" s="15" t="str">
        <f>image("https://storage.googleapis.com/acdb/bottoms/BottomsTexPantsWideGakuran6.png")</f>
        <v/>
      </c>
      <c r="C564" s="15"/>
      <c r="D564" s="25" t="s">
        <v>28</v>
      </c>
      <c r="E564" s="13">
        <v>880.0</v>
      </c>
      <c r="F564" s="13">
        <v>220.0</v>
      </c>
      <c r="G564" s="15">
        <v>5873.0</v>
      </c>
      <c r="H564" s="15" t="s">
        <v>38</v>
      </c>
      <c r="I564" s="15" t="s">
        <v>43</v>
      </c>
      <c r="J564" s="15" t="s">
        <v>2749</v>
      </c>
      <c r="K564" s="15" t="s">
        <v>2751</v>
      </c>
      <c r="L564" s="15" t="s">
        <v>2744</v>
      </c>
    </row>
    <row r="565" ht="56.25" customHeight="1">
      <c r="A565" s="23" t="s">
        <v>3613</v>
      </c>
      <c r="B565" s="15" t="str">
        <f>image("https://storage.googleapis.com/acdb/bottoms/BottomsTexPantsNormalChinashort0.png")</f>
        <v/>
      </c>
      <c r="C565" s="15"/>
      <c r="D565" s="25" t="s">
        <v>28</v>
      </c>
      <c r="E565" s="13">
        <v>1440.0</v>
      </c>
      <c r="F565" s="13">
        <v>360.0</v>
      </c>
      <c r="G565" s="15">
        <v>4329.0</v>
      </c>
      <c r="H565" s="15" t="s">
        <v>38</v>
      </c>
      <c r="I565" s="15" t="s">
        <v>43</v>
      </c>
      <c r="J565" s="15" t="s">
        <v>2749</v>
      </c>
      <c r="K565" s="15" t="s">
        <v>2751</v>
      </c>
      <c r="L565" s="15" t="s">
        <v>384</v>
      </c>
    </row>
    <row r="566" ht="56.25" customHeight="1">
      <c r="A566" s="23" t="s">
        <v>3613</v>
      </c>
      <c r="B566" s="15" t="str">
        <f>image("https://storage.googleapis.com/acdb/bottoms/BottomsTexPantsNormalChinashort1.png")</f>
        <v/>
      </c>
      <c r="C566" s="15"/>
      <c r="D566" s="25" t="s">
        <v>28</v>
      </c>
      <c r="E566" s="13">
        <v>1440.0</v>
      </c>
      <c r="F566" s="13">
        <v>360.0</v>
      </c>
      <c r="G566" s="15">
        <v>4329.0</v>
      </c>
      <c r="H566" s="15" t="s">
        <v>38</v>
      </c>
      <c r="I566" s="15" t="s">
        <v>43</v>
      </c>
      <c r="J566" s="15" t="s">
        <v>2749</v>
      </c>
      <c r="K566" s="15" t="s">
        <v>2751</v>
      </c>
      <c r="L566" s="15" t="s">
        <v>384</v>
      </c>
    </row>
    <row r="567" ht="56.25" customHeight="1">
      <c r="A567" s="23" t="s">
        <v>3613</v>
      </c>
      <c r="B567" s="15" t="str">
        <f>image("https://storage.googleapis.com/acdb/bottoms/BottomsTexPantsNormalChinashort2.png")</f>
        <v/>
      </c>
      <c r="C567" s="15"/>
      <c r="D567" s="25" t="s">
        <v>28</v>
      </c>
      <c r="E567" s="13">
        <v>1440.0</v>
      </c>
      <c r="F567" s="13">
        <v>360.0</v>
      </c>
      <c r="G567" s="15">
        <v>4329.0</v>
      </c>
      <c r="H567" s="15" t="s">
        <v>38</v>
      </c>
      <c r="I567" s="15" t="s">
        <v>43</v>
      </c>
      <c r="J567" s="15" t="s">
        <v>2749</v>
      </c>
      <c r="K567" s="15" t="s">
        <v>2751</v>
      </c>
      <c r="L567" s="15" t="s">
        <v>384</v>
      </c>
    </row>
    <row r="568" ht="56.25" customHeight="1">
      <c r="A568" s="23" t="s">
        <v>3613</v>
      </c>
      <c r="B568" s="15" t="str">
        <f>image("https://storage.googleapis.com/acdb/bottoms/BottomsTexPantsNormalChinashort3.png")</f>
        <v/>
      </c>
      <c r="C568" s="15"/>
      <c r="D568" s="25" t="s">
        <v>28</v>
      </c>
      <c r="E568" s="13">
        <v>1440.0</v>
      </c>
      <c r="F568" s="13">
        <v>360.0</v>
      </c>
      <c r="G568" s="15">
        <v>4329.0</v>
      </c>
      <c r="H568" s="15" t="s">
        <v>38</v>
      </c>
      <c r="I568" s="15" t="s">
        <v>43</v>
      </c>
      <c r="J568" s="15" t="s">
        <v>2749</v>
      </c>
      <c r="K568" s="15" t="s">
        <v>2751</v>
      </c>
      <c r="L568" s="15" t="s">
        <v>384</v>
      </c>
    </row>
    <row r="569" ht="56.25" customHeight="1">
      <c r="A569" s="23" t="s">
        <v>3613</v>
      </c>
      <c r="B569" s="15" t="str">
        <f>image("https://storage.googleapis.com/acdb/bottoms/BottomsTexPantsNormalChinashort4.png")</f>
        <v/>
      </c>
      <c r="C569" s="15"/>
      <c r="D569" s="25" t="s">
        <v>28</v>
      </c>
      <c r="E569" s="13">
        <v>1440.0</v>
      </c>
      <c r="F569" s="13">
        <v>360.0</v>
      </c>
      <c r="G569" s="15">
        <v>4329.0</v>
      </c>
      <c r="H569" s="15" t="s">
        <v>38</v>
      </c>
      <c r="I569" s="15" t="s">
        <v>43</v>
      </c>
      <c r="J569" s="15" t="s">
        <v>2749</v>
      </c>
      <c r="K569" s="15" t="s">
        <v>2751</v>
      </c>
      <c r="L569" s="15" t="s">
        <v>384</v>
      </c>
    </row>
    <row r="570" ht="56.25" customHeight="1">
      <c r="A570" s="23" t="s">
        <v>3613</v>
      </c>
      <c r="B570" s="15" t="str">
        <f>image("https://storage.googleapis.com/acdb/bottoms/BottomsTexPantsNormalChinashort5.png")</f>
        <v/>
      </c>
      <c r="C570" s="15"/>
      <c r="D570" s="25" t="s">
        <v>28</v>
      </c>
      <c r="E570" s="13">
        <v>1440.0</v>
      </c>
      <c r="F570" s="13">
        <v>360.0</v>
      </c>
      <c r="G570" s="15">
        <v>4329.0</v>
      </c>
      <c r="H570" s="15" t="s">
        <v>38</v>
      </c>
      <c r="I570" s="15" t="s">
        <v>43</v>
      </c>
      <c r="J570" s="15" t="s">
        <v>2749</v>
      </c>
      <c r="K570" s="15" t="s">
        <v>2751</v>
      </c>
      <c r="L570" s="15" t="s">
        <v>384</v>
      </c>
    </row>
    <row r="571" ht="56.25" customHeight="1">
      <c r="A571" s="23" t="s">
        <v>3613</v>
      </c>
      <c r="B571" s="15" t="str">
        <f>image("https://storage.googleapis.com/acdb/bottoms/BottomsTexPantsNormalChinashort6.png")</f>
        <v/>
      </c>
      <c r="C571" s="15"/>
      <c r="D571" s="25" t="s">
        <v>28</v>
      </c>
      <c r="E571" s="13">
        <v>1440.0</v>
      </c>
      <c r="F571" s="13">
        <v>360.0</v>
      </c>
      <c r="G571" s="15">
        <v>4329.0</v>
      </c>
      <c r="H571" s="15" t="s">
        <v>38</v>
      </c>
      <c r="I571" s="15" t="s">
        <v>43</v>
      </c>
      <c r="J571" s="15" t="s">
        <v>2749</v>
      </c>
      <c r="K571" s="15" t="s">
        <v>2751</v>
      </c>
      <c r="L571" s="15" t="s">
        <v>384</v>
      </c>
    </row>
    <row r="572" ht="56.25" customHeight="1">
      <c r="A572" s="23" t="s">
        <v>3623</v>
      </c>
      <c r="B572" s="15" t="str">
        <f>image("https://storage.googleapis.com/acdb/bottoms/BottomsTexPantsNormalChina0.png")</f>
        <v/>
      </c>
      <c r="C572" s="15"/>
      <c r="D572" s="25" t="s">
        <v>28</v>
      </c>
      <c r="E572" s="13">
        <v>1440.0</v>
      </c>
      <c r="F572" s="13">
        <v>360.0</v>
      </c>
      <c r="G572" s="15">
        <v>4330.0</v>
      </c>
      <c r="H572" s="15" t="s">
        <v>38</v>
      </c>
      <c r="I572" s="15" t="s">
        <v>43</v>
      </c>
      <c r="J572" s="15" t="s">
        <v>2749</v>
      </c>
      <c r="K572" s="15" t="s">
        <v>2751</v>
      </c>
      <c r="L572" s="15" t="s">
        <v>2863</v>
      </c>
    </row>
    <row r="573" ht="56.25" customHeight="1">
      <c r="A573" s="23" t="s">
        <v>3623</v>
      </c>
      <c r="B573" s="15" t="str">
        <f>image("https://storage.googleapis.com/acdb/bottoms/BottomsTexPantsNormalChina1.png")</f>
        <v/>
      </c>
      <c r="C573" s="15"/>
      <c r="D573" s="25" t="s">
        <v>28</v>
      </c>
      <c r="E573" s="13">
        <v>1440.0</v>
      </c>
      <c r="F573" s="13">
        <v>360.0</v>
      </c>
      <c r="G573" s="15">
        <v>4330.0</v>
      </c>
      <c r="H573" s="15" t="s">
        <v>38</v>
      </c>
      <c r="I573" s="15" t="s">
        <v>43</v>
      </c>
      <c r="J573" s="15" t="s">
        <v>2749</v>
      </c>
      <c r="K573" s="15" t="s">
        <v>2751</v>
      </c>
      <c r="L573" s="15" t="s">
        <v>2863</v>
      </c>
    </row>
    <row r="574" ht="56.25" customHeight="1">
      <c r="A574" s="23" t="s">
        <v>3623</v>
      </c>
      <c r="B574" s="15" t="str">
        <f>image("https://storage.googleapis.com/acdb/bottoms/BottomsTexPantsNormalChina2.png")</f>
        <v/>
      </c>
      <c r="C574" s="15"/>
      <c r="D574" s="25" t="s">
        <v>28</v>
      </c>
      <c r="E574" s="13">
        <v>1440.0</v>
      </c>
      <c r="F574" s="13">
        <v>360.0</v>
      </c>
      <c r="G574" s="15">
        <v>4330.0</v>
      </c>
      <c r="H574" s="15" t="s">
        <v>38</v>
      </c>
      <c r="I574" s="15" t="s">
        <v>43</v>
      </c>
      <c r="J574" s="15" t="s">
        <v>2749</v>
      </c>
      <c r="K574" s="15" t="s">
        <v>2751</v>
      </c>
      <c r="L574" s="15" t="s">
        <v>2863</v>
      </c>
    </row>
    <row r="575" ht="56.25" customHeight="1">
      <c r="A575" s="23" t="s">
        <v>3623</v>
      </c>
      <c r="B575" s="15" t="str">
        <f>image("https://storage.googleapis.com/acdb/bottoms/BottomsTexPantsNormalChina3.png")</f>
        <v/>
      </c>
      <c r="C575" s="15"/>
      <c r="D575" s="25" t="s">
        <v>28</v>
      </c>
      <c r="E575" s="13">
        <v>1440.0</v>
      </c>
      <c r="F575" s="13">
        <v>360.0</v>
      </c>
      <c r="G575" s="15">
        <v>4330.0</v>
      </c>
      <c r="H575" s="15" t="s">
        <v>38</v>
      </c>
      <c r="I575" s="15" t="s">
        <v>43</v>
      </c>
      <c r="J575" s="15" t="s">
        <v>2749</v>
      </c>
      <c r="K575" s="15" t="s">
        <v>2751</v>
      </c>
      <c r="L575" s="15" t="s">
        <v>2863</v>
      </c>
    </row>
    <row r="576" ht="56.25" customHeight="1">
      <c r="A576" s="23" t="s">
        <v>3623</v>
      </c>
      <c r="B576" s="15" t="str">
        <f>image("https://storage.googleapis.com/acdb/bottoms/BottomsTexPantsNormalChina4.png")</f>
        <v/>
      </c>
      <c r="C576" s="15"/>
      <c r="D576" s="25" t="s">
        <v>28</v>
      </c>
      <c r="E576" s="13">
        <v>1440.0</v>
      </c>
      <c r="F576" s="13">
        <v>360.0</v>
      </c>
      <c r="G576" s="15">
        <v>4330.0</v>
      </c>
      <c r="H576" s="15" t="s">
        <v>38</v>
      </c>
      <c r="I576" s="15" t="s">
        <v>43</v>
      </c>
      <c r="J576" s="15" t="s">
        <v>2749</v>
      </c>
      <c r="K576" s="15" t="s">
        <v>2751</v>
      </c>
      <c r="L576" s="15" t="s">
        <v>2863</v>
      </c>
    </row>
    <row r="577" ht="56.25" customHeight="1">
      <c r="A577" s="23" t="s">
        <v>3628</v>
      </c>
      <c r="B577" s="15" t="str">
        <f>image("https://storage.googleapis.com/acdb/bottoms/BottomsTexPantsWideSki0.png")</f>
        <v/>
      </c>
      <c r="C577" s="15"/>
      <c r="D577" s="25" t="s">
        <v>28</v>
      </c>
      <c r="E577" s="13">
        <v>1560.0</v>
      </c>
      <c r="F577" s="13">
        <v>390.0</v>
      </c>
      <c r="G577" s="15">
        <v>4450.0</v>
      </c>
      <c r="H577" s="15" t="s">
        <v>38</v>
      </c>
      <c r="I577" s="15" t="s">
        <v>43</v>
      </c>
      <c r="J577" s="15" t="s">
        <v>2749</v>
      </c>
      <c r="K577" s="15" t="s">
        <v>2751</v>
      </c>
      <c r="L577" s="15" t="s">
        <v>2793</v>
      </c>
    </row>
    <row r="578" ht="56.25" customHeight="1">
      <c r="A578" s="23" t="s">
        <v>3628</v>
      </c>
      <c r="B578" s="15" t="str">
        <f>image("https://storage.googleapis.com/acdb/bottoms/BottomsTexPantsWideSki1.png")</f>
        <v/>
      </c>
      <c r="C578" s="15"/>
      <c r="D578" s="25" t="s">
        <v>28</v>
      </c>
      <c r="E578" s="13">
        <v>1560.0</v>
      </c>
      <c r="F578" s="13">
        <v>390.0</v>
      </c>
      <c r="G578" s="15">
        <v>4450.0</v>
      </c>
      <c r="H578" s="15" t="s">
        <v>38</v>
      </c>
      <c r="I578" s="15" t="s">
        <v>43</v>
      </c>
      <c r="J578" s="15" t="s">
        <v>2749</v>
      </c>
      <c r="K578" s="15" t="s">
        <v>2751</v>
      </c>
      <c r="L578" s="15" t="s">
        <v>2793</v>
      </c>
    </row>
    <row r="579" ht="56.25" customHeight="1">
      <c r="A579" s="23" t="s">
        <v>3628</v>
      </c>
      <c r="B579" s="15" t="str">
        <f>image("https://storage.googleapis.com/acdb/bottoms/BottomsTexPantsWideSki2.png")</f>
        <v/>
      </c>
      <c r="C579" s="15"/>
      <c r="D579" s="25" t="s">
        <v>28</v>
      </c>
      <c r="E579" s="13">
        <v>1560.0</v>
      </c>
      <c r="F579" s="13">
        <v>390.0</v>
      </c>
      <c r="G579" s="15">
        <v>4450.0</v>
      </c>
      <c r="H579" s="15" t="s">
        <v>38</v>
      </c>
      <c r="I579" s="15" t="s">
        <v>43</v>
      </c>
      <c r="J579" s="15" t="s">
        <v>2749</v>
      </c>
      <c r="K579" s="15" t="s">
        <v>2751</v>
      </c>
      <c r="L579" s="15" t="s">
        <v>2793</v>
      </c>
    </row>
    <row r="580" ht="56.25" customHeight="1">
      <c r="A580" s="23" t="s">
        <v>3628</v>
      </c>
      <c r="B580" s="15" t="str">
        <f>image("https://storage.googleapis.com/acdb/bottoms/BottomsTexPantsWideSki3.png")</f>
        <v/>
      </c>
      <c r="C580" s="15"/>
      <c r="D580" s="25" t="s">
        <v>28</v>
      </c>
      <c r="E580" s="13">
        <v>1560.0</v>
      </c>
      <c r="F580" s="13">
        <v>390.0</v>
      </c>
      <c r="G580" s="15">
        <v>4450.0</v>
      </c>
      <c r="H580" s="15" t="s">
        <v>38</v>
      </c>
      <c r="I580" s="15" t="s">
        <v>43</v>
      </c>
      <c r="J580" s="15" t="s">
        <v>2749</v>
      </c>
      <c r="K580" s="15" t="s">
        <v>2751</v>
      </c>
      <c r="L580" s="15" t="s">
        <v>2793</v>
      </c>
    </row>
    <row r="581" ht="56.25" customHeight="1">
      <c r="A581" s="23" t="s">
        <v>3628</v>
      </c>
      <c r="B581" s="15" t="str">
        <f>image("https://storage.googleapis.com/acdb/bottoms/BottomsTexPantsWideSki4.png")</f>
        <v/>
      </c>
      <c r="C581" s="15"/>
      <c r="D581" s="25" t="s">
        <v>28</v>
      </c>
      <c r="E581" s="13">
        <v>1560.0</v>
      </c>
      <c r="F581" s="13">
        <v>390.0</v>
      </c>
      <c r="G581" s="15">
        <v>4450.0</v>
      </c>
      <c r="H581" s="15" t="s">
        <v>38</v>
      </c>
      <c r="I581" s="15" t="s">
        <v>43</v>
      </c>
      <c r="J581" s="15" t="s">
        <v>2749</v>
      </c>
      <c r="K581" s="15" t="s">
        <v>2751</v>
      </c>
      <c r="L581" s="15" t="s">
        <v>2793</v>
      </c>
    </row>
    <row r="582" ht="56.25" customHeight="1">
      <c r="A582" s="23" t="s">
        <v>3628</v>
      </c>
      <c r="B582" s="15" t="str">
        <f>image("https://storage.googleapis.com/acdb/bottoms/BottomsTexPantsWideSki5.png")</f>
        <v/>
      </c>
      <c r="C582" s="15"/>
      <c r="D582" s="25" t="s">
        <v>28</v>
      </c>
      <c r="E582" s="13">
        <v>1560.0</v>
      </c>
      <c r="F582" s="13">
        <v>390.0</v>
      </c>
      <c r="G582" s="15">
        <v>4450.0</v>
      </c>
      <c r="H582" s="15" t="s">
        <v>38</v>
      </c>
      <c r="I582" s="15" t="s">
        <v>43</v>
      </c>
      <c r="J582" s="15" t="s">
        <v>2749</v>
      </c>
      <c r="K582" s="15" t="s">
        <v>2751</v>
      </c>
      <c r="L582" s="15" t="s">
        <v>2793</v>
      </c>
    </row>
    <row r="583" ht="56.25" customHeight="1">
      <c r="A583" s="23" t="s">
        <v>3635</v>
      </c>
      <c r="B583" s="15" t="str">
        <f>image("https://storage.googleapis.com/acdb/bottoms/BottomsTexPantsNormalSlacks0.png")</f>
        <v/>
      </c>
      <c r="C583" s="15"/>
      <c r="D583" s="25" t="s">
        <v>28</v>
      </c>
      <c r="E583" s="13">
        <v>1300.0</v>
      </c>
      <c r="F583" s="13">
        <v>325.0</v>
      </c>
      <c r="G583" s="15">
        <v>3310.0</v>
      </c>
      <c r="H583" s="15" t="s">
        <v>38</v>
      </c>
      <c r="I583" s="15" t="s">
        <v>43</v>
      </c>
      <c r="J583" s="15" t="s">
        <v>2749</v>
      </c>
      <c r="K583" s="15" t="s">
        <v>2751</v>
      </c>
      <c r="L583" s="15" t="s">
        <v>2744</v>
      </c>
    </row>
    <row r="584" ht="56.25" customHeight="1">
      <c r="A584" s="23" t="s">
        <v>3635</v>
      </c>
      <c r="B584" s="15" t="str">
        <f>image("https://storage.googleapis.com/acdb/bottoms/BottomsTexPantsNormalSlacks1.png")</f>
        <v/>
      </c>
      <c r="C584" s="15"/>
      <c r="D584" s="25" t="s">
        <v>28</v>
      </c>
      <c r="E584" s="13">
        <v>1300.0</v>
      </c>
      <c r="F584" s="13">
        <v>325.0</v>
      </c>
      <c r="G584" s="15">
        <v>3310.0</v>
      </c>
      <c r="H584" s="15" t="s">
        <v>38</v>
      </c>
      <c r="I584" s="15" t="s">
        <v>43</v>
      </c>
      <c r="J584" s="15" t="s">
        <v>2749</v>
      </c>
      <c r="K584" s="15" t="s">
        <v>2751</v>
      </c>
      <c r="L584" s="15" t="s">
        <v>2744</v>
      </c>
    </row>
    <row r="585" ht="56.25" customHeight="1">
      <c r="A585" s="23" t="s">
        <v>3635</v>
      </c>
      <c r="B585" s="15" t="str">
        <f>image("https://storage.googleapis.com/acdb/bottoms/BottomsTexPantsNormalSlacks2.png")</f>
        <v/>
      </c>
      <c r="C585" s="15"/>
      <c r="D585" s="25" t="s">
        <v>28</v>
      </c>
      <c r="E585" s="13">
        <v>1300.0</v>
      </c>
      <c r="F585" s="13">
        <v>325.0</v>
      </c>
      <c r="G585" s="15">
        <v>3310.0</v>
      </c>
      <c r="H585" s="15" t="s">
        <v>38</v>
      </c>
      <c r="I585" s="15" t="s">
        <v>43</v>
      </c>
      <c r="J585" s="15" t="s">
        <v>2749</v>
      </c>
      <c r="K585" s="15" t="s">
        <v>2751</v>
      </c>
      <c r="L585" s="15" t="s">
        <v>2744</v>
      </c>
    </row>
    <row r="586" ht="56.25" customHeight="1">
      <c r="A586" s="23" t="s">
        <v>3635</v>
      </c>
      <c r="B586" s="15" t="str">
        <f>image("https://storage.googleapis.com/acdb/bottoms/BottomsTexPantsNormalSlacks3.png")</f>
        <v/>
      </c>
      <c r="C586" s="15"/>
      <c r="D586" s="25" t="s">
        <v>28</v>
      </c>
      <c r="E586" s="13">
        <v>1300.0</v>
      </c>
      <c r="F586" s="13">
        <v>325.0</v>
      </c>
      <c r="G586" s="15">
        <v>3310.0</v>
      </c>
      <c r="H586" s="15" t="s">
        <v>38</v>
      </c>
      <c r="I586" s="15" t="s">
        <v>43</v>
      </c>
      <c r="J586" s="15" t="s">
        <v>2749</v>
      </c>
      <c r="K586" s="15" t="s">
        <v>2751</v>
      </c>
      <c r="L586" s="15" t="s">
        <v>2744</v>
      </c>
    </row>
    <row r="587" ht="56.25" customHeight="1">
      <c r="A587" s="23" t="s">
        <v>3635</v>
      </c>
      <c r="B587" s="15" t="str">
        <f>image("https://storage.googleapis.com/acdb/bottoms/BottomsTexPantsNormalSlacks4.png")</f>
        <v/>
      </c>
      <c r="C587" s="15"/>
      <c r="D587" s="25" t="s">
        <v>28</v>
      </c>
      <c r="E587" s="13">
        <v>1300.0</v>
      </c>
      <c r="F587" s="13">
        <v>325.0</v>
      </c>
      <c r="G587" s="15">
        <v>3310.0</v>
      </c>
      <c r="H587" s="15" t="s">
        <v>38</v>
      </c>
      <c r="I587" s="15" t="s">
        <v>43</v>
      </c>
      <c r="J587" s="15" t="s">
        <v>2749</v>
      </c>
      <c r="K587" s="15" t="s">
        <v>2751</v>
      </c>
      <c r="L587" s="15" t="s">
        <v>2744</v>
      </c>
    </row>
    <row r="588" ht="56.25" customHeight="1">
      <c r="A588" s="23" t="s">
        <v>3635</v>
      </c>
      <c r="B588" s="15" t="str">
        <f>image("https://storage.googleapis.com/acdb/bottoms/BottomsTexPantsNormalSlacks5.png")</f>
        <v/>
      </c>
      <c r="C588" s="15"/>
      <c r="D588" s="25" t="s">
        <v>28</v>
      </c>
      <c r="E588" s="13">
        <v>1300.0</v>
      </c>
      <c r="F588" s="13">
        <v>325.0</v>
      </c>
      <c r="G588" s="15">
        <v>3310.0</v>
      </c>
      <c r="H588" s="15" t="s">
        <v>38</v>
      </c>
      <c r="I588" s="15" t="s">
        <v>43</v>
      </c>
      <c r="J588" s="15" t="s">
        <v>2749</v>
      </c>
      <c r="K588" s="15" t="s">
        <v>2751</v>
      </c>
      <c r="L588" s="15" t="s">
        <v>2744</v>
      </c>
    </row>
    <row r="589" ht="56.25" customHeight="1">
      <c r="A589" s="23" t="s">
        <v>3635</v>
      </c>
      <c r="B589" s="15" t="str">
        <f>image("https://storage.googleapis.com/acdb/bottoms/BottomsTexPantsNormalSlacks6.png")</f>
        <v/>
      </c>
      <c r="C589" s="15"/>
      <c r="D589" s="25" t="s">
        <v>28</v>
      </c>
      <c r="E589" s="13">
        <v>1300.0</v>
      </c>
      <c r="F589" s="13">
        <v>325.0</v>
      </c>
      <c r="G589" s="15">
        <v>3310.0</v>
      </c>
      <c r="H589" s="15" t="s">
        <v>38</v>
      </c>
      <c r="I589" s="15" t="s">
        <v>43</v>
      </c>
      <c r="J589" s="15" t="s">
        <v>2749</v>
      </c>
      <c r="K589" s="15" t="s">
        <v>2751</v>
      </c>
      <c r="L589" s="15" t="s">
        <v>2744</v>
      </c>
    </row>
    <row r="590" ht="56.25" customHeight="1">
      <c r="A590" s="23" t="s">
        <v>3642</v>
      </c>
      <c r="B590" s="15" t="str">
        <f>image("https://storage.googleapis.com/acdb/bottoms/BottomsTexPantsHalfSoccer0.png")</f>
        <v/>
      </c>
      <c r="C590" s="15"/>
      <c r="D590" s="25" t="s">
        <v>28</v>
      </c>
      <c r="E590" s="13">
        <v>980.0</v>
      </c>
      <c r="F590" s="13">
        <v>245.0</v>
      </c>
      <c r="G590" s="15">
        <v>9840.0</v>
      </c>
      <c r="H590" s="15" t="s">
        <v>38</v>
      </c>
      <c r="I590" s="15" t="s">
        <v>43</v>
      </c>
      <c r="J590" s="15" t="s">
        <v>2749</v>
      </c>
      <c r="K590" s="15" t="s">
        <v>2751</v>
      </c>
      <c r="L590" s="15" t="s">
        <v>2793</v>
      </c>
    </row>
    <row r="591" ht="56.25" customHeight="1">
      <c r="A591" s="23" t="s">
        <v>3642</v>
      </c>
      <c r="B591" s="15" t="str">
        <f>image("https://storage.googleapis.com/acdb/bottoms/BottomsTexPantsHalfSoccer1.png")</f>
        <v/>
      </c>
      <c r="C591" s="15"/>
      <c r="D591" s="25" t="s">
        <v>28</v>
      </c>
      <c r="E591" s="13">
        <v>980.0</v>
      </c>
      <c r="F591" s="13">
        <v>245.0</v>
      </c>
      <c r="G591" s="15">
        <v>9840.0</v>
      </c>
      <c r="H591" s="15" t="s">
        <v>38</v>
      </c>
      <c r="I591" s="15" t="s">
        <v>43</v>
      </c>
      <c r="J591" s="15" t="s">
        <v>2749</v>
      </c>
      <c r="K591" s="15" t="s">
        <v>2751</v>
      </c>
      <c r="L591" s="15" t="s">
        <v>2793</v>
      </c>
    </row>
    <row r="592" ht="56.25" customHeight="1">
      <c r="A592" s="23" t="s">
        <v>3642</v>
      </c>
      <c r="B592" s="15" t="str">
        <f>image("https://storage.googleapis.com/acdb/bottoms/BottomsTexPantsHalfSoccer2.png")</f>
        <v/>
      </c>
      <c r="C592" s="15"/>
      <c r="D592" s="25" t="s">
        <v>28</v>
      </c>
      <c r="E592" s="13">
        <v>980.0</v>
      </c>
      <c r="F592" s="13">
        <v>245.0</v>
      </c>
      <c r="G592" s="15">
        <v>9840.0</v>
      </c>
      <c r="H592" s="15" t="s">
        <v>38</v>
      </c>
      <c r="I592" s="15" t="s">
        <v>43</v>
      </c>
      <c r="J592" s="15" t="s">
        <v>2749</v>
      </c>
      <c r="K592" s="15" t="s">
        <v>2751</v>
      </c>
      <c r="L592" s="15" t="s">
        <v>2793</v>
      </c>
    </row>
    <row r="593" ht="56.25" customHeight="1">
      <c r="A593" s="23" t="s">
        <v>3642</v>
      </c>
      <c r="B593" s="15" t="str">
        <f>image("https://storage.googleapis.com/acdb/bottoms/BottomsTexPantsHalfSoccer3.png")</f>
        <v/>
      </c>
      <c r="C593" s="15"/>
      <c r="D593" s="25" t="s">
        <v>28</v>
      </c>
      <c r="E593" s="13">
        <v>980.0</v>
      </c>
      <c r="F593" s="13">
        <v>245.0</v>
      </c>
      <c r="G593" s="15">
        <v>9840.0</v>
      </c>
      <c r="H593" s="15" t="s">
        <v>38</v>
      </c>
      <c r="I593" s="15" t="s">
        <v>43</v>
      </c>
      <c r="J593" s="15" t="s">
        <v>2749</v>
      </c>
      <c r="K593" s="15" t="s">
        <v>2751</v>
      </c>
      <c r="L593" s="15" t="s">
        <v>2793</v>
      </c>
    </row>
    <row r="594" ht="56.25" customHeight="1">
      <c r="A594" s="23" t="s">
        <v>3642</v>
      </c>
      <c r="B594" s="15" t="str">
        <f>image("https://storage.googleapis.com/acdb/bottoms/BottomsTexPantsHalfSoccer4.png")</f>
        <v/>
      </c>
      <c r="C594" s="15"/>
      <c r="D594" s="25" t="s">
        <v>28</v>
      </c>
      <c r="E594" s="13">
        <v>980.0</v>
      </c>
      <c r="F594" s="13">
        <v>245.0</v>
      </c>
      <c r="G594" s="15">
        <v>9840.0</v>
      </c>
      <c r="H594" s="15" t="s">
        <v>38</v>
      </c>
      <c r="I594" s="15" t="s">
        <v>43</v>
      </c>
      <c r="J594" s="15" t="s">
        <v>2749</v>
      </c>
      <c r="K594" s="15" t="s">
        <v>2751</v>
      </c>
      <c r="L594" s="15" t="s">
        <v>2793</v>
      </c>
    </row>
    <row r="595" ht="56.25" customHeight="1">
      <c r="A595" s="23" t="s">
        <v>3642</v>
      </c>
      <c r="B595" s="15" t="str">
        <f>image("https://storage.googleapis.com/acdb/bottoms/BottomsTexPantsHalfSoccer5.png")</f>
        <v/>
      </c>
      <c r="C595" s="15"/>
      <c r="D595" s="25" t="s">
        <v>28</v>
      </c>
      <c r="E595" s="13">
        <v>980.0</v>
      </c>
      <c r="F595" s="13">
        <v>245.0</v>
      </c>
      <c r="G595" s="15">
        <v>9840.0</v>
      </c>
      <c r="H595" s="15" t="s">
        <v>38</v>
      </c>
      <c r="I595" s="15" t="s">
        <v>43</v>
      </c>
      <c r="J595" s="15" t="s">
        <v>2749</v>
      </c>
      <c r="K595" s="15" t="s">
        <v>2751</v>
      </c>
      <c r="L595" s="15" t="s">
        <v>2793</v>
      </c>
    </row>
    <row r="596" ht="56.25" customHeight="1">
      <c r="A596" s="23" t="s">
        <v>3642</v>
      </c>
      <c r="B596" s="15" t="str">
        <f>image("https://storage.googleapis.com/acdb/bottoms/BottomsTexPantsHalfSoccer6.png")</f>
        <v/>
      </c>
      <c r="C596" s="15"/>
      <c r="D596" s="25" t="s">
        <v>28</v>
      </c>
      <c r="E596" s="13">
        <v>980.0</v>
      </c>
      <c r="F596" s="13">
        <v>245.0</v>
      </c>
      <c r="G596" s="15">
        <v>9840.0</v>
      </c>
      <c r="H596" s="15" t="s">
        <v>38</v>
      </c>
      <c r="I596" s="15" t="s">
        <v>43</v>
      </c>
      <c r="J596" s="15" t="s">
        <v>2749</v>
      </c>
      <c r="K596" s="15" t="s">
        <v>2751</v>
      </c>
      <c r="L596" s="15" t="s">
        <v>2793</v>
      </c>
    </row>
    <row r="597" ht="56.25" customHeight="1">
      <c r="A597" s="23" t="s">
        <v>3642</v>
      </c>
      <c r="B597" s="15" t="str">
        <f>image("https://storage.googleapis.com/acdb/bottoms/BottomsTexPantsHalfSoccer7.png")</f>
        <v/>
      </c>
      <c r="C597" s="15"/>
      <c r="D597" s="25" t="s">
        <v>28</v>
      </c>
      <c r="E597" s="13">
        <v>980.0</v>
      </c>
      <c r="F597" s="13">
        <v>245.0</v>
      </c>
      <c r="G597" s="15">
        <v>9840.0</v>
      </c>
      <c r="H597" s="15" t="s">
        <v>38</v>
      </c>
      <c r="I597" s="15" t="s">
        <v>43</v>
      </c>
      <c r="J597" s="15" t="s">
        <v>2749</v>
      </c>
      <c r="K597" s="15" t="s">
        <v>2751</v>
      </c>
      <c r="L597" s="15" t="s">
        <v>2793</v>
      </c>
    </row>
    <row r="598" ht="56.25" customHeight="1">
      <c r="A598" s="23" t="s">
        <v>3650</v>
      </c>
      <c r="B598" s="15" t="str">
        <f>image("https://storage.googleapis.com/acdb/bottoms/BottomsTexPantsHotSequins0.png")</f>
        <v/>
      </c>
      <c r="C598" s="15"/>
      <c r="D598" s="25" t="s">
        <v>28</v>
      </c>
      <c r="E598" s="13">
        <v>980.0</v>
      </c>
      <c r="F598" s="13">
        <v>245.0</v>
      </c>
      <c r="G598" s="15">
        <v>5723.0</v>
      </c>
      <c r="H598" s="15" t="s">
        <v>38</v>
      </c>
      <c r="I598" s="15" t="s">
        <v>43</v>
      </c>
      <c r="J598" s="15" t="s">
        <v>2749</v>
      </c>
      <c r="K598" s="15" t="s">
        <v>2751</v>
      </c>
      <c r="L598" s="15" t="s">
        <v>852</v>
      </c>
    </row>
    <row r="599" ht="56.25" customHeight="1">
      <c r="A599" s="23" t="s">
        <v>3650</v>
      </c>
      <c r="B599" s="15" t="str">
        <f>image("https://storage.googleapis.com/acdb/bottoms/BottomsTexPantsHotSequins1.png")</f>
        <v/>
      </c>
      <c r="C599" s="15"/>
      <c r="D599" s="25" t="s">
        <v>28</v>
      </c>
      <c r="E599" s="13">
        <v>980.0</v>
      </c>
      <c r="F599" s="13">
        <v>245.0</v>
      </c>
      <c r="G599" s="15">
        <v>5723.0</v>
      </c>
      <c r="H599" s="15" t="s">
        <v>38</v>
      </c>
      <c r="I599" s="15" t="s">
        <v>43</v>
      </c>
      <c r="J599" s="15" t="s">
        <v>2749</v>
      </c>
      <c r="K599" s="15" t="s">
        <v>2751</v>
      </c>
      <c r="L599" s="15" t="s">
        <v>852</v>
      </c>
    </row>
    <row r="600" ht="56.25" customHeight="1">
      <c r="A600" s="23" t="s">
        <v>3650</v>
      </c>
      <c r="B600" s="15" t="str">
        <f>image("https://storage.googleapis.com/acdb/bottoms/BottomsTexPantsHotSequins2.png")</f>
        <v/>
      </c>
      <c r="C600" s="15"/>
      <c r="D600" s="25" t="s">
        <v>28</v>
      </c>
      <c r="E600" s="13">
        <v>980.0</v>
      </c>
      <c r="F600" s="13">
        <v>245.0</v>
      </c>
      <c r="G600" s="15">
        <v>5723.0</v>
      </c>
      <c r="H600" s="15" t="s">
        <v>38</v>
      </c>
      <c r="I600" s="15" t="s">
        <v>43</v>
      </c>
      <c r="J600" s="15" t="s">
        <v>2749</v>
      </c>
      <c r="K600" s="15" t="s">
        <v>2751</v>
      </c>
      <c r="L600" s="15" t="s">
        <v>852</v>
      </c>
    </row>
    <row r="601" ht="56.25" customHeight="1">
      <c r="A601" s="23" t="s">
        <v>3650</v>
      </c>
      <c r="B601" s="15" t="str">
        <f>image("https://storage.googleapis.com/acdb/bottoms/BottomsTexPantsHotSequins3.png")</f>
        <v/>
      </c>
      <c r="C601" s="15"/>
      <c r="D601" s="25" t="s">
        <v>28</v>
      </c>
      <c r="E601" s="13">
        <v>980.0</v>
      </c>
      <c r="F601" s="13">
        <v>245.0</v>
      </c>
      <c r="G601" s="15">
        <v>5723.0</v>
      </c>
      <c r="H601" s="15" t="s">
        <v>38</v>
      </c>
      <c r="I601" s="15" t="s">
        <v>43</v>
      </c>
      <c r="J601" s="15" t="s">
        <v>2749</v>
      </c>
      <c r="K601" s="15" t="s">
        <v>2751</v>
      </c>
      <c r="L601" s="15" t="s">
        <v>852</v>
      </c>
    </row>
    <row r="602" ht="56.25" customHeight="1">
      <c r="A602" s="23" t="s">
        <v>3650</v>
      </c>
      <c r="B602" s="15" t="str">
        <f>image("https://storage.googleapis.com/acdb/bottoms/BottomsTexPantsHotSequins4.png")</f>
        <v/>
      </c>
      <c r="C602" s="15"/>
      <c r="D602" s="25" t="s">
        <v>28</v>
      </c>
      <c r="E602" s="13">
        <v>980.0</v>
      </c>
      <c r="F602" s="13">
        <v>245.0</v>
      </c>
      <c r="G602" s="15">
        <v>5723.0</v>
      </c>
      <c r="H602" s="15" t="s">
        <v>38</v>
      </c>
      <c r="I602" s="15" t="s">
        <v>43</v>
      </c>
      <c r="J602" s="15" t="s">
        <v>2749</v>
      </c>
      <c r="K602" s="15" t="s">
        <v>2751</v>
      </c>
      <c r="L602" s="15" t="s">
        <v>852</v>
      </c>
    </row>
    <row r="603" ht="56.25" customHeight="1">
      <c r="A603" s="23" t="s">
        <v>3650</v>
      </c>
      <c r="B603" s="15" t="str">
        <f>image("https://storage.googleapis.com/acdb/bottoms/BottomsTexPantsHotSequins5.png")</f>
        <v/>
      </c>
      <c r="C603" s="15"/>
      <c r="D603" s="25" t="s">
        <v>28</v>
      </c>
      <c r="E603" s="13">
        <v>980.0</v>
      </c>
      <c r="F603" s="13">
        <v>245.0</v>
      </c>
      <c r="G603" s="15">
        <v>5723.0</v>
      </c>
      <c r="H603" s="15" t="s">
        <v>38</v>
      </c>
      <c r="I603" s="15" t="s">
        <v>43</v>
      </c>
      <c r="J603" s="15" t="s">
        <v>2749</v>
      </c>
      <c r="K603" s="15" t="s">
        <v>2751</v>
      </c>
      <c r="L603" s="15" t="s">
        <v>852</v>
      </c>
    </row>
    <row r="604" ht="56.25" customHeight="1">
      <c r="A604" s="23" t="s">
        <v>3650</v>
      </c>
      <c r="B604" s="15" t="str">
        <f>image("https://storage.googleapis.com/acdb/bottoms/BottomsTexPantsHotSequins6.png")</f>
        <v/>
      </c>
      <c r="C604" s="15"/>
      <c r="D604" s="25" t="s">
        <v>28</v>
      </c>
      <c r="E604" s="13">
        <v>980.0</v>
      </c>
      <c r="F604" s="13">
        <v>245.0</v>
      </c>
      <c r="G604" s="15">
        <v>5723.0</v>
      </c>
      <c r="H604" s="15" t="s">
        <v>38</v>
      </c>
      <c r="I604" s="15" t="s">
        <v>43</v>
      </c>
      <c r="J604" s="15" t="s">
        <v>2749</v>
      </c>
      <c r="K604" s="15" t="s">
        <v>2751</v>
      </c>
      <c r="L604" s="15" t="s">
        <v>852</v>
      </c>
    </row>
    <row r="605" ht="56.25" customHeight="1">
      <c r="A605" s="23" t="s">
        <v>3650</v>
      </c>
      <c r="B605" s="15" t="str">
        <f>image("https://storage.googleapis.com/acdb/bottoms/BottomsTexPantsHotSequins7.png")</f>
        <v/>
      </c>
      <c r="C605" s="15"/>
      <c r="D605" s="25" t="s">
        <v>28</v>
      </c>
      <c r="E605" s="13">
        <v>980.0</v>
      </c>
      <c r="F605" s="13">
        <v>245.0</v>
      </c>
      <c r="G605" s="15">
        <v>5723.0</v>
      </c>
      <c r="H605" s="15" t="s">
        <v>38</v>
      </c>
      <c r="I605" s="15" t="s">
        <v>43</v>
      </c>
      <c r="J605" s="15" t="s">
        <v>2749</v>
      </c>
      <c r="K605" s="15" t="s">
        <v>2751</v>
      </c>
      <c r="L605" s="15" t="s">
        <v>852</v>
      </c>
    </row>
    <row r="606" ht="56.25" customHeight="1">
      <c r="A606" s="23" t="s">
        <v>3657</v>
      </c>
      <c r="B606" s="15" t="str">
        <f>image("https://storage.googleapis.com/acdb/bottoms/BottomsTexSkirtBoxSweat0.png")</f>
        <v/>
      </c>
      <c r="C606" s="15"/>
      <c r="D606" s="25" t="s">
        <v>28</v>
      </c>
      <c r="E606" s="13">
        <v>800.0</v>
      </c>
      <c r="F606" s="13">
        <v>200.0</v>
      </c>
      <c r="G606" s="15">
        <v>4283.0</v>
      </c>
      <c r="H606" s="15" t="s">
        <v>38</v>
      </c>
      <c r="I606" s="15" t="s">
        <v>43</v>
      </c>
      <c r="J606" s="15" t="s">
        <v>2749</v>
      </c>
      <c r="K606" s="15" t="s">
        <v>2764</v>
      </c>
      <c r="L606" s="15" t="s">
        <v>2744</v>
      </c>
    </row>
    <row r="607" ht="56.25" customHeight="1">
      <c r="A607" s="23" t="s">
        <v>3657</v>
      </c>
      <c r="B607" s="15" t="str">
        <f>image("https://storage.googleapis.com/acdb/bottoms/BottomsTexSkirtBoxSweat1.png")</f>
        <v/>
      </c>
      <c r="C607" s="15"/>
      <c r="D607" s="25" t="s">
        <v>28</v>
      </c>
      <c r="E607" s="13">
        <v>800.0</v>
      </c>
      <c r="F607" s="13">
        <v>200.0</v>
      </c>
      <c r="G607" s="15">
        <v>4283.0</v>
      </c>
      <c r="H607" s="15" t="s">
        <v>38</v>
      </c>
      <c r="I607" s="15" t="s">
        <v>43</v>
      </c>
      <c r="J607" s="15" t="s">
        <v>2749</v>
      </c>
      <c r="K607" s="15" t="s">
        <v>2764</v>
      </c>
      <c r="L607" s="15" t="s">
        <v>2744</v>
      </c>
    </row>
    <row r="608" ht="56.25" customHeight="1">
      <c r="A608" s="23" t="s">
        <v>3657</v>
      </c>
      <c r="B608" s="15" t="str">
        <f>image("https://storage.googleapis.com/acdb/bottoms/BottomsTexSkirtBoxSweat2.png")</f>
        <v/>
      </c>
      <c r="C608" s="15"/>
      <c r="D608" s="25" t="s">
        <v>28</v>
      </c>
      <c r="E608" s="13">
        <v>800.0</v>
      </c>
      <c r="F608" s="13">
        <v>200.0</v>
      </c>
      <c r="G608" s="15">
        <v>4283.0</v>
      </c>
      <c r="H608" s="15" t="s">
        <v>38</v>
      </c>
      <c r="I608" s="15" t="s">
        <v>43</v>
      </c>
      <c r="J608" s="15" t="s">
        <v>2749</v>
      </c>
      <c r="K608" s="15" t="s">
        <v>2764</v>
      </c>
      <c r="L608" s="15" t="s">
        <v>2744</v>
      </c>
    </row>
    <row r="609" ht="56.25" customHeight="1">
      <c r="A609" s="23" t="s">
        <v>3657</v>
      </c>
      <c r="B609" s="15" t="str">
        <f>image("https://storage.googleapis.com/acdb/bottoms/BottomsTexSkirtBoxSweat3.png")</f>
        <v/>
      </c>
      <c r="C609" s="15"/>
      <c r="D609" s="25" t="s">
        <v>28</v>
      </c>
      <c r="E609" s="13">
        <v>800.0</v>
      </c>
      <c r="F609" s="13">
        <v>200.0</v>
      </c>
      <c r="G609" s="15">
        <v>4283.0</v>
      </c>
      <c r="H609" s="15" t="s">
        <v>38</v>
      </c>
      <c r="I609" s="15" t="s">
        <v>43</v>
      </c>
      <c r="J609" s="15" t="s">
        <v>2749</v>
      </c>
      <c r="K609" s="15" t="s">
        <v>2764</v>
      </c>
      <c r="L609" s="15" t="s">
        <v>2744</v>
      </c>
    </row>
    <row r="610" ht="56.25" customHeight="1">
      <c r="A610" s="23" t="s">
        <v>3660</v>
      </c>
      <c r="B610" s="15" t="str">
        <f>image("https://storage.googleapis.com/acdb/bottoms/BottomsTexPantsWideMultistripe0.png")</f>
        <v/>
      </c>
      <c r="C610" s="15"/>
      <c r="D610" s="25" t="s">
        <v>28</v>
      </c>
      <c r="E610" s="13">
        <v>1320.0</v>
      </c>
      <c r="F610" s="13">
        <v>330.0</v>
      </c>
      <c r="G610" s="15">
        <v>5724.0</v>
      </c>
      <c r="H610" s="15" t="s">
        <v>38</v>
      </c>
      <c r="I610" s="15" t="s">
        <v>43</v>
      </c>
      <c r="J610" s="15" t="s">
        <v>2749</v>
      </c>
      <c r="K610" s="15" t="s">
        <v>2751</v>
      </c>
      <c r="L610" s="15" t="s">
        <v>2863</v>
      </c>
    </row>
    <row r="611" ht="56.25" customHeight="1">
      <c r="A611" s="23" t="s">
        <v>3660</v>
      </c>
      <c r="B611" s="15" t="str">
        <f>image("https://storage.googleapis.com/acdb/bottoms/BottomsTexPantsWideMultistripe1.png")</f>
        <v/>
      </c>
      <c r="C611" s="15"/>
      <c r="D611" s="25" t="s">
        <v>28</v>
      </c>
      <c r="E611" s="13">
        <v>1320.0</v>
      </c>
      <c r="F611" s="13">
        <v>330.0</v>
      </c>
      <c r="G611" s="15">
        <v>5724.0</v>
      </c>
      <c r="H611" s="15" t="s">
        <v>38</v>
      </c>
      <c r="I611" s="15" t="s">
        <v>43</v>
      </c>
      <c r="J611" s="15" t="s">
        <v>2749</v>
      </c>
      <c r="K611" s="15" t="s">
        <v>2751</v>
      </c>
      <c r="L611" s="15" t="s">
        <v>2863</v>
      </c>
    </row>
    <row r="612" ht="56.25" customHeight="1">
      <c r="A612" s="23" t="s">
        <v>3660</v>
      </c>
      <c r="B612" s="15" t="str">
        <f>image("https://storage.googleapis.com/acdb/bottoms/BottomsTexPantsWideMultistripe2.png")</f>
        <v/>
      </c>
      <c r="C612" s="15"/>
      <c r="D612" s="25" t="s">
        <v>28</v>
      </c>
      <c r="E612" s="13">
        <v>1320.0</v>
      </c>
      <c r="F612" s="13">
        <v>330.0</v>
      </c>
      <c r="G612" s="15">
        <v>5724.0</v>
      </c>
      <c r="H612" s="15" t="s">
        <v>38</v>
      </c>
      <c r="I612" s="15" t="s">
        <v>43</v>
      </c>
      <c r="J612" s="15" t="s">
        <v>2749</v>
      </c>
      <c r="K612" s="15" t="s">
        <v>2751</v>
      </c>
      <c r="L612" s="15" t="s">
        <v>2863</v>
      </c>
    </row>
    <row r="613" ht="56.25" customHeight="1">
      <c r="A613" s="23" t="s">
        <v>3660</v>
      </c>
      <c r="B613" s="15" t="str">
        <f>image("https://storage.googleapis.com/acdb/bottoms/BottomsTexPantsWideMultistripe3.png")</f>
        <v/>
      </c>
      <c r="C613" s="15"/>
      <c r="D613" s="25" t="s">
        <v>28</v>
      </c>
      <c r="E613" s="13">
        <v>1320.0</v>
      </c>
      <c r="F613" s="13">
        <v>330.0</v>
      </c>
      <c r="G613" s="15">
        <v>5724.0</v>
      </c>
      <c r="H613" s="15" t="s">
        <v>38</v>
      </c>
      <c r="I613" s="15" t="s">
        <v>43</v>
      </c>
      <c r="J613" s="15" t="s">
        <v>2749</v>
      </c>
      <c r="K613" s="15" t="s">
        <v>2751</v>
      </c>
      <c r="L613" s="15" t="s">
        <v>2863</v>
      </c>
    </row>
    <row r="614" ht="56.25" customHeight="1">
      <c r="A614" s="23" t="s">
        <v>3664</v>
      </c>
      <c r="B614" s="15" t="str">
        <f>image("https://storage.googleapis.com/acdb/bottoms/BottomsTexPantsNormalBoder0.png")</f>
        <v/>
      </c>
      <c r="C614" s="15"/>
      <c r="D614" s="25" t="s">
        <v>28</v>
      </c>
      <c r="E614" s="13">
        <v>1100.0</v>
      </c>
      <c r="F614" s="13">
        <v>275.0</v>
      </c>
      <c r="G614" s="15">
        <v>3312.0</v>
      </c>
      <c r="H614" s="15" t="s">
        <v>38</v>
      </c>
      <c r="I614" s="15" t="s">
        <v>43</v>
      </c>
      <c r="J614" s="15" t="s">
        <v>2749</v>
      </c>
      <c r="K614" s="15" t="s">
        <v>2764</v>
      </c>
      <c r="L614" s="15" t="s">
        <v>2744</v>
      </c>
    </row>
    <row r="615" ht="56.25" customHeight="1">
      <c r="A615" s="23" t="s">
        <v>3664</v>
      </c>
      <c r="B615" s="15" t="str">
        <f>image("https://storage.googleapis.com/acdb/bottoms/BottomsTexPantsNormalBoder1.png")</f>
        <v/>
      </c>
      <c r="C615" s="15"/>
      <c r="D615" s="25" t="s">
        <v>28</v>
      </c>
      <c r="E615" s="13">
        <v>1100.0</v>
      </c>
      <c r="F615" s="13">
        <v>275.0</v>
      </c>
      <c r="G615" s="15">
        <v>3312.0</v>
      </c>
      <c r="H615" s="15" t="s">
        <v>38</v>
      </c>
      <c r="I615" s="15" t="s">
        <v>43</v>
      </c>
      <c r="J615" s="15" t="s">
        <v>2749</v>
      </c>
      <c r="K615" s="15" t="s">
        <v>2764</v>
      </c>
      <c r="L615" s="15" t="s">
        <v>2744</v>
      </c>
    </row>
    <row r="616" ht="56.25" customHeight="1">
      <c r="A616" s="23" t="s">
        <v>3664</v>
      </c>
      <c r="B616" s="15" t="str">
        <f>image("https://storage.googleapis.com/acdb/bottoms/BottomsTexPantsNormalBoder2.png")</f>
        <v/>
      </c>
      <c r="C616" s="15"/>
      <c r="D616" s="25" t="s">
        <v>28</v>
      </c>
      <c r="E616" s="13">
        <v>1100.0</v>
      </c>
      <c r="F616" s="13">
        <v>275.0</v>
      </c>
      <c r="G616" s="15">
        <v>3312.0</v>
      </c>
      <c r="H616" s="15" t="s">
        <v>38</v>
      </c>
      <c r="I616" s="15" t="s">
        <v>43</v>
      </c>
      <c r="J616" s="15" t="s">
        <v>2749</v>
      </c>
      <c r="K616" s="15" t="s">
        <v>2764</v>
      </c>
      <c r="L616" s="15" t="s">
        <v>2744</v>
      </c>
    </row>
    <row r="617" ht="56.25" customHeight="1">
      <c r="A617" s="23" t="s">
        <v>3664</v>
      </c>
      <c r="B617" s="15" t="str">
        <f>image("https://storage.googleapis.com/acdb/bottoms/BottomsTexPantsNormalBoder3.png")</f>
        <v/>
      </c>
      <c r="C617" s="15"/>
      <c r="D617" s="25" t="s">
        <v>28</v>
      </c>
      <c r="E617" s="13">
        <v>1100.0</v>
      </c>
      <c r="F617" s="13">
        <v>275.0</v>
      </c>
      <c r="G617" s="15">
        <v>3312.0</v>
      </c>
      <c r="H617" s="15" t="s">
        <v>38</v>
      </c>
      <c r="I617" s="15" t="s">
        <v>43</v>
      </c>
      <c r="J617" s="15" t="s">
        <v>2749</v>
      </c>
      <c r="K617" s="15" t="s">
        <v>2764</v>
      </c>
      <c r="L617" s="15" t="s">
        <v>2744</v>
      </c>
    </row>
    <row r="618" ht="56.25" customHeight="1">
      <c r="A618" s="23" t="s">
        <v>3664</v>
      </c>
      <c r="B618" s="15" t="str">
        <f>image("https://storage.googleapis.com/acdb/bottoms/BottomsTexPantsNormalBoder4.png")</f>
        <v/>
      </c>
      <c r="C618" s="15"/>
      <c r="D618" s="25" t="s">
        <v>28</v>
      </c>
      <c r="E618" s="13">
        <v>1100.0</v>
      </c>
      <c r="F618" s="13">
        <v>275.0</v>
      </c>
      <c r="G618" s="15">
        <v>3312.0</v>
      </c>
      <c r="H618" s="15" t="s">
        <v>38</v>
      </c>
      <c r="I618" s="15" t="s">
        <v>43</v>
      </c>
      <c r="J618" s="15" t="s">
        <v>2749</v>
      </c>
      <c r="K618" s="15" t="s">
        <v>2764</v>
      </c>
      <c r="L618" s="15" t="s">
        <v>2744</v>
      </c>
    </row>
    <row r="619" ht="56.25" customHeight="1">
      <c r="A619" s="23" t="s">
        <v>3670</v>
      </c>
      <c r="B619" s="15" t="str">
        <f>image("https://storage.googleapis.com/acdb/bottoms/BottomsTexPantsHotMultistripe0.png")</f>
        <v/>
      </c>
      <c r="C619" s="15"/>
      <c r="D619" s="25" t="s">
        <v>28</v>
      </c>
      <c r="E619" s="13">
        <v>1320.0</v>
      </c>
      <c r="F619" s="13">
        <v>330.0</v>
      </c>
      <c r="G619" s="15">
        <v>5705.0</v>
      </c>
      <c r="H619" s="15" t="s">
        <v>38</v>
      </c>
      <c r="I619" s="15" t="s">
        <v>43</v>
      </c>
      <c r="J619" s="15" t="s">
        <v>2749</v>
      </c>
      <c r="K619" s="15" t="s">
        <v>2751</v>
      </c>
      <c r="L619" s="15" t="s">
        <v>384</v>
      </c>
    </row>
    <row r="620" ht="56.25" customHeight="1">
      <c r="A620" s="23" t="s">
        <v>3670</v>
      </c>
      <c r="B620" s="15" t="str">
        <f>image("https://storage.googleapis.com/acdb/bottoms/BottomsTexPantsHotMultistripe1.png")</f>
        <v/>
      </c>
      <c r="C620" s="15"/>
      <c r="D620" s="25" t="s">
        <v>28</v>
      </c>
      <c r="E620" s="13">
        <v>1320.0</v>
      </c>
      <c r="F620" s="13">
        <v>330.0</v>
      </c>
      <c r="G620" s="15">
        <v>5705.0</v>
      </c>
      <c r="H620" s="15" t="s">
        <v>38</v>
      </c>
      <c r="I620" s="15" t="s">
        <v>43</v>
      </c>
      <c r="J620" s="15" t="s">
        <v>2749</v>
      </c>
      <c r="K620" s="15" t="s">
        <v>2751</v>
      </c>
      <c r="L620" s="15" t="s">
        <v>384</v>
      </c>
    </row>
    <row r="621" ht="56.25" customHeight="1">
      <c r="A621" s="23" t="s">
        <v>3670</v>
      </c>
      <c r="B621" s="15" t="str">
        <f>image("https://storage.googleapis.com/acdb/bottoms/BottomsTexPantsHotMultistripe2.png")</f>
        <v/>
      </c>
      <c r="C621" s="15"/>
      <c r="D621" s="25" t="s">
        <v>28</v>
      </c>
      <c r="E621" s="13">
        <v>1320.0</v>
      </c>
      <c r="F621" s="13">
        <v>330.0</v>
      </c>
      <c r="G621" s="15">
        <v>5705.0</v>
      </c>
      <c r="H621" s="15" t="s">
        <v>38</v>
      </c>
      <c r="I621" s="15" t="s">
        <v>43</v>
      </c>
      <c r="J621" s="15" t="s">
        <v>2749</v>
      </c>
      <c r="K621" s="15" t="s">
        <v>2751</v>
      </c>
      <c r="L621" s="15" t="s">
        <v>384</v>
      </c>
    </row>
    <row r="622" ht="56.25" customHeight="1">
      <c r="A622" s="23" t="s">
        <v>3670</v>
      </c>
      <c r="B622" s="15" t="str">
        <f>image("https://storage.googleapis.com/acdb/bottoms/BottomsTexPantsHotMultistripe3.png")</f>
        <v/>
      </c>
      <c r="C622" s="15"/>
      <c r="D622" s="25" t="s">
        <v>28</v>
      </c>
      <c r="E622" s="13">
        <v>1320.0</v>
      </c>
      <c r="F622" s="13">
        <v>330.0</v>
      </c>
      <c r="G622" s="15">
        <v>5705.0</v>
      </c>
      <c r="H622" s="15" t="s">
        <v>38</v>
      </c>
      <c r="I622" s="15" t="s">
        <v>43</v>
      </c>
      <c r="J622" s="15" t="s">
        <v>2749</v>
      </c>
      <c r="K622" s="15" t="s">
        <v>2751</v>
      </c>
      <c r="L622" s="15" t="s">
        <v>384</v>
      </c>
    </row>
    <row r="623" ht="56.25" customHeight="1">
      <c r="A623" s="23" t="s">
        <v>3675</v>
      </c>
      <c r="B623" s="15" t="str">
        <f>image("https://storage.googleapis.com/acdb/bottoms/BottomsTexPantsHalfSurf0.png")</f>
        <v/>
      </c>
      <c r="C623" s="15"/>
      <c r="D623" s="25" t="s">
        <v>28</v>
      </c>
      <c r="E623" s="13">
        <v>700.0</v>
      </c>
      <c r="F623" s="13">
        <v>175.0</v>
      </c>
      <c r="G623" s="15">
        <v>4515.0</v>
      </c>
      <c r="H623" s="15" t="s">
        <v>38</v>
      </c>
      <c r="I623" s="15" t="s">
        <v>43</v>
      </c>
      <c r="J623" s="15" t="s">
        <v>2749</v>
      </c>
      <c r="K623" s="15" t="s">
        <v>2764</v>
      </c>
      <c r="L623" s="15" t="s">
        <v>2793</v>
      </c>
    </row>
    <row r="624" ht="56.25" customHeight="1">
      <c r="A624" s="23" t="s">
        <v>3675</v>
      </c>
      <c r="B624" s="15" t="str">
        <f>image("https://storage.googleapis.com/acdb/bottoms/BottomsTexPantsHalfSurf1.png")</f>
        <v/>
      </c>
      <c r="C624" s="15"/>
      <c r="D624" s="25" t="s">
        <v>28</v>
      </c>
      <c r="E624" s="13">
        <v>700.0</v>
      </c>
      <c r="F624" s="13">
        <v>175.0</v>
      </c>
      <c r="G624" s="15">
        <v>4515.0</v>
      </c>
      <c r="H624" s="15" t="s">
        <v>38</v>
      </c>
      <c r="I624" s="15" t="s">
        <v>43</v>
      </c>
      <c r="J624" s="15" t="s">
        <v>2749</v>
      </c>
      <c r="K624" s="15" t="s">
        <v>2764</v>
      </c>
      <c r="L624" s="15" t="s">
        <v>2793</v>
      </c>
    </row>
    <row r="625" ht="56.25" customHeight="1">
      <c r="A625" s="23" t="s">
        <v>3675</v>
      </c>
      <c r="B625" s="15" t="str">
        <f>image("https://storage.googleapis.com/acdb/bottoms/BottomsTexPantsHalfSurf2.png")</f>
        <v/>
      </c>
      <c r="C625" s="15"/>
      <c r="D625" s="25" t="s">
        <v>28</v>
      </c>
      <c r="E625" s="13">
        <v>700.0</v>
      </c>
      <c r="F625" s="13">
        <v>175.0</v>
      </c>
      <c r="G625" s="15">
        <v>4515.0</v>
      </c>
      <c r="H625" s="15" t="s">
        <v>38</v>
      </c>
      <c r="I625" s="15" t="s">
        <v>43</v>
      </c>
      <c r="J625" s="15" t="s">
        <v>2749</v>
      </c>
      <c r="K625" s="15" t="s">
        <v>2764</v>
      </c>
      <c r="L625" s="15" t="s">
        <v>2793</v>
      </c>
    </row>
    <row r="626" ht="56.25" customHeight="1">
      <c r="A626" s="23" t="s">
        <v>3675</v>
      </c>
      <c r="B626" s="15" t="str">
        <f>image("https://storage.googleapis.com/acdb/bottoms/BottomsTexPantsHalfSurf3.png")</f>
        <v/>
      </c>
      <c r="C626" s="15"/>
      <c r="D626" s="25" t="s">
        <v>28</v>
      </c>
      <c r="E626" s="13">
        <v>700.0</v>
      </c>
      <c r="F626" s="13">
        <v>175.0</v>
      </c>
      <c r="G626" s="15">
        <v>4515.0</v>
      </c>
      <c r="H626" s="15" t="s">
        <v>38</v>
      </c>
      <c r="I626" s="15" t="s">
        <v>43</v>
      </c>
      <c r="J626" s="15" t="s">
        <v>2749</v>
      </c>
      <c r="K626" s="15" t="s">
        <v>2764</v>
      </c>
      <c r="L626" s="15" t="s">
        <v>2793</v>
      </c>
    </row>
    <row r="627" ht="56.25" customHeight="1">
      <c r="A627" s="23" t="s">
        <v>3675</v>
      </c>
      <c r="B627" s="15" t="str">
        <f>image("https://storage.googleapis.com/acdb/bottoms/BottomsTexPantsHalfSurf4.png")</f>
        <v/>
      </c>
      <c r="C627" s="15"/>
      <c r="D627" s="25" t="s">
        <v>28</v>
      </c>
      <c r="E627" s="13">
        <v>700.0</v>
      </c>
      <c r="F627" s="13">
        <v>175.0</v>
      </c>
      <c r="G627" s="15">
        <v>4515.0</v>
      </c>
      <c r="H627" s="15" t="s">
        <v>38</v>
      </c>
      <c r="I627" s="15" t="s">
        <v>43</v>
      </c>
      <c r="J627" s="15" t="s">
        <v>2749</v>
      </c>
      <c r="K627" s="15" t="s">
        <v>2764</v>
      </c>
      <c r="L627" s="15" t="s">
        <v>2793</v>
      </c>
    </row>
    <row r="628" ht="56.25" customHeight="1">
      <c r="A628" s="23" t="s">
        <v>3680</v>
      </c>
      <c r="B628" s="15" t="str">
        <f>image("https://storage.googleapis.com/acdb/bottoms/BottomsTexPantsNormalSweat0.png")</f>
        <v/>
      </c>
      <c r="C628" s="15"/>
      <c r="D628" s="25" t="s">
        <v>28</v>
      </c>
      <c r="E628" s="13">
        <v>800.0</v>
      </c>
      <c r="F628" s="13">
        <v>200.0</v>
      </c>
      <c r="G628" s="15">
        <v>3296.0</v>
      </c>
      <c r="H628" s="15" t="s">
        <v>38</v>
      </c>
      <c r="I628" s="15" t="s">
        <v>43</v>
      </c>
      <c r="J628" s="15" t="s">
        <v>2749</v>
      </c>
      <c r="K628" s="15" t="s">
        <v>2764</v>
      </c>
      <c r="L628" s="15" t="s">
        <v>2793</v>
      </c>
    </row>
    <row r="629" ht="56.25" customHeight="1">
      <c r="A629" s="23" t="s">
        <v>3680</v>
      </c>
      <c r="B629" s="15" t="str">
        <f>image("https://storage.googleapis.com/acdb/bottoms/BottomsTexPantsNormalSweat1.png")</f>
        <v/>
      </c>
      <c r="C629" s="15"/>
      <c r="D629" s="25" t="s">
        <v>28</v>
      </c>
      <c r="E629" s="13">
        <v>800.0</v>
      </c>
      <c r="F629" s="13">
        <v>200.0</v>
      </c>
      <c r="G629" s="15">
        <v>3296.0</v>
      </c>
      <c r="H629" s="15" t="s">
        <v>38</v>
      </c>
      <c r="I629" s="15" t="s">
        <v>43</v>
      </c>
      <c r="J629" s="15" t="s">
        <v>2749</v>
      </c>
      <c r="K629" s="15" t="s">
        <v>2764</v>
      </c>
      <c r="L629" s="15" t="s">
        <v>2793</v>
      </c>
    </row>
    <row r="630" ht="56.25" customHeight="1">
      <c r="A630" s="23" t="s">
        <v>3680</v>
      </c>
      <c r="B630" s="15" t="str">
        <f>image("https://storage.googleapis.com/acdb/bottoms/BottomsTexPantsNormalSweat2.png")</f>
        <v/>
      </c>
      <c r="C630" s="15"/>
      <c r="D630" s="25" t="s">
        <v>28</v>
      </c>
      <c r="E630" s="13">
        <v>800.0</v>
      </c>
      <c r="F630" s="13">
        <v>200.0</v>
      </c>
      <c r="G630" s="15">
        <v>3296.0</v>
      </c>
      <c r="H630" s="15" t="s">
        <v>38</v>
      </c>
      <c r="I630" s="15" t="s">
        <v>43</v>
      </c>
      <c r="J630" s="15" t="s">
        <v>2749</v>
      </c>
      <c r="K630" s="15" t="s">
        <v>2764</v>
      </c>
      <c r="L630" s="15" t="s">
        <v>2793</v>
      </c>
    </row>
    <row r="631" ht="56.25" customHeight="1">
      <c r="A631" s="23" t="s">
        <v>3680</v>
      </c>
      <c r="B631" s="15" t="str">
        <f>image("https://storage.googleapis.com/acdb/bottoms/BottomsTexPantsNormalSweat3.png")</f>
        <v/>
      </c>
      <c r="C631" s="15"/>
      <c r="D631" s="25" t="s">
        <v>28</v>
      </c>
      <c r="E631" s="13">
        <v>800.0</v>
      </c>
      <c r="F631" s="13">
        <v>200.0</v>
      </c>
      <c r="G631" s="15">
        <v>3296.0</v>
      </c>
      <c r="H631" s="15" t="s">
        <v>38</v>
      </c>
      <c r="I631" s="15" t="s">
        <v>43</v>
      </c>
      <c r="J631" s="15" t="s">
        <v>2749</v>
      </c>
      <c r="K631" s="15" t="s">
        <v>2764</v>
      </c>
      <c r="L631" s="15" t="s">
        <v>2793</v>
      </c>
    </row>
    <row r="632" ht="56.25" customHeight="1">
      <c r="A632" s="23" t="s">
        <v>3680</v>
      </c>
      <c r="B632" s="15" t="str">
        <f>image("https://storage.googleapis.com/acdb/bottoms/BottomsTexPantsNormalSweat4.png")</f>
        <v/>
      </c>
      <c r="C632" s="15"/>
      <c r="D632" s="25" t="s">
        <v>28</v>
      </c>
      <c r="E632" s="13">
        <v>800.0</v>
      </c>
      <c r="F632" s="13">
        <v>200.0</v>
      </c>
      <c r="G632" s="15">
        <v>3296.0</v>
      </c>
      <c r="H632" s="15" t="s">
        <v>38</v>
      </c>
      <c r="I632" s="15" t="s">
        <v>43</v>
      </c>
      <c r="J632" s="15" t="s">
        <v>2749</v>
      </c>
      <c r="K632" s="15" t="s">
        <v>2764</v>
      </c>
      <c r="L632" s="15" t="s">
        <v>2793</v>
      </c>
    </row>
    <row r="633" ht="56.25" customHeight="1">
      <c r="A633" s="23" t="s">
        <v>3680</v>
      </c>
      <c r="B633" s="15" t="str">
        <f>image("https://storage.googleapis.com/acdb/bottoms/BottomsTexPantsNormalSweat5.png")</f>
        <v/>
      </c>
      <c r="C633" s="15"/>
      <c r="D633" s="25" t="s">
        <v>28</v>
      </c>
      <c r="E633" s="13">
        <v>800.0</v>
      </c>
      <c r="F633" s="13">
        <v>200.0</v>
      </c>
      <c r="G633" s="15">
        <v>3296.0</v>
      </c>
      <c r="H633" s="15" t="s">
        <v>38</v>
      </c>
      <c r="I633" s="15" t="s">
        <v>43</v>
      </c>
      <c r="J633" s="15" t="s">
        <v>2749</v>
      </c>
      <c r="K633" s="15" t="s">
        <v>2764</v>
      </c>
      <c r="L633" s="15" t="s">
        <v>2793</v>
      </c>
    </row>
    <row r="634" ht="56.25" customHeight="1">
      <c r="A634" s="23" t="s">
        <v>3680</v>
      </c>
      <c r="B634" s="15" t="str">
        <f>image("https://storage.googleapis.com/acdb/bottoms/BottomsTexPantsNormalSweat6.png")</f>
        <v/>
      </c>
      <c r="C634" s="15"/>
      <c r="D634" s="25" t="s">
        <v>28</v>
      </c>
      <c r="E634" s="13">
        <v>800.0</v>
      </c>
      <c r="F634" s="13">
        <v>200.0</v>
      </c>
      <c r="G634" s="15">
        <v>3296.0</v>
      </c>
      <c r="H634" s="15" t="s">
        <v>38</v>
      </c>
      <c r="I634" s="15" t="s">
        <v>43</v>
      </c>
      <c r="J634" s="15" t="s">
        <v>2749</v>
      </c>
      <c r="K634" s="15" t="s">
        <v>2764</v>
      </c>
      <c r="L634" s="15" t="s">
        <v>2793</v>
      </c>
    </row>
    <row r="635" ht="56.25" customHeight="1">
      <c r="A635" s="23" t="s">
        <v>3680</v>
      </c>
      <c r="B635" s="15" t="str">
        <f>image("https://storage.googleapis.com/acdb/bottoms/BottomsTexPantsNormalSweat7.png")</f>
        <v/>
      </c>
      <c r="C635" s="15"/>
      <c r="D635" s="25" t="s">
        <v>28</v>
      </c>
      <c r="E635" s="13">
        <v>800.0</v>
      </c>
      <c r="F635" s="13">
        <v>200.0</v>
      </c>
      <c r="G635" s="15">
        <v>3296.0</v>
      </c>
      <c r="H635" s="15" t="s">
        <v>38</v>
      </c>
      <c r="I635" s="15" t="s">
        <v>43</v>
      </c>
      <c r="J635" s="15" t="s">
        <v>2749</v>
      </c>
      <c r="K635" s="15" t="s">
        <v>2764</v>
      </c>
      <c r="L635" s="15" t="s">
        <v>2793</v>
      </c>
    </row>
    <row r="636" ht="56.25" customHeight="1">
      <c r="A636" s="23" t="s">
        <v>3685</v>
      </c>
      <c r="B636" s="15" t="str">
        <f>image("https://storage.googleapis.com/acdb/bottoms/BottomsTexSkirtAlineTennis0.png")</f>
        <v/>
      </c>
      <c r="C636" s="15"/>
      <c r="D636" s="25" t="s">
        <v>28</v>
      </c>
      <c r="E636" s="13">
        <v>1440.0</v>
      </c>
      <c r="F636" s="13">
        <v>360.0</v>
      </c>
      <c r="G636" s="15">
        <v>4223.0</v>
      </c>
      <c r="H636" s="15" t="s">
        <v>38</v>
      </c>
      <c r="I636" s="15" t="s">
        <v>43</v>
      </c>
      <c r="J636" s="15" t="s">
        <v>2749</v>
      </c>
      <c r="K636" s="15" t="s">
        <v>2751</v>
      </c>
      <c r="L636" s="15" t="s">
        <v>2793</v>
      </c>
    </row>
    <row r="637" ht="56.25" customHeight="1">
      <c r="A637" s="23" t="s">
        <v>3685</v>
      </c>
      <c r="B637" s="15" t="str">
        <f>image("https://storage.googleapis.com/acdb/bottoms/BottomsTexSkirtAlineTennis1.png")</f>
        <v/>
      </c>
      <c r="C637" s="15"/>
      <c r="D637" s="25" t="s">
        <v>28</v>
      </c>
      <c r="E637" s="13">
        <v>1440.0</v>
      </c>
      <c r="F637" s="13">
        <v>360.0</v>
      </c>
      <c r="G637" s="15">
        <v>4223.0</v>
      </c>
      <c r="H637" s="15" t="s">
        <v>38</v>
      </c>
      <c r="I637" s="15" t="s">
        <v>43</v>
      </c>
      <c r="J637" s="15" t="s">
        <v>2749</v>
      </c>
      <c r="K637" s="15" t="s">
        <v>2751</v>
      </c>
      <c r="L637" s="15" t="s">
        <v>2793</v>
      </c>
    </row>
    <row r="638" ht="56.25" customHeight="1">
      <c r="A638" s="23" t="s">
        <v>3685</v>
      </c>
      <c r="B638" s="15" t="str">
        <f>image("https://storage.googleapis.com/acdb/bottoms/BottomsTexSkirtAlineTennis2.png")</f>
        <v/>
      </c>
      <c r="C638" s="15"/>
      <c r="D638" s="25" t="s">
        <v>28</v>
      </c>
      <c r="E638" s="13">
        <v>1440.0</v>
      </c>
      <c r="F638" s="13">
        <v>360.0</v>
      </c>
      <c r="G638" s="15">
        <v>4223.0</v>
      </c>
      <c r="H638" s="15" t="s">
        <v>38</v>
      </c>
      <c r="I638" s="15" t="s">
        <v>43</v>
      </c>
      <c r="J638" s="15" t="s">
        <v>2749</v>
      </c>
      <c r="K638" s="15" t="s">
        <v>2751</v>
      </c>
      <c r="L638" s="15" t="s">
        <v>2793</v>
      </c>
    </row>
    <row r="639" ht="56.25" customHeight="1">
      <c r="A639" s="23" t="s">
        <v>3685</v>
      </c>
      <c r="B639" s="15" t="str">
        <f>image("https://storage.googleapis.com/acdb/bottoms/BottomsTexSkirtAlineTennis3.png")</f>
        <v/>
      </c>
      <c r="C639" s="15"/>
      <c r="D639" s="25" t="s">
        <v>28</v>
      </c>
      <c r="E639" s="13">
        <v>1440.0</v>
      </c>
      <c r="F639" s="13">
        <v>360.0</v>
      </c>
      <c r="G639" s="15">
        <v>4223.0</v>
      </c>
      <c r="H639" s="15" t="s">
        <v>38</v>
      </c>
      <c r="I639" s="15" t="s">
        <v>43</v>
      </c>
      <c r="J639" s="15" t="s">
        <v>2749</v>
      </c>
      <c r="K639" s="15" t="s">
        <v>2751</v>
      </c>
      <c r="L639" s="15" t="s">
        <v>2793</v>
      </c>
    </row>
    <row r="640" ht="56.25" customHeight="1">
      <c r="A640" s="23" t="s">
        <v>3688</v>
      </c>
      <c r="B640" s="15" t="str">
        <f>image("https://storage.googleapis.com/acdb/bottoms/BottomsTexPantsHotFluffy0.png")</f>
        <v/>
      </c>
      <c r="C640" s="15"/>
      <c r="D640" s="25" t="s">
        <v>28</v>
      </c>
      <c r="E640" s="13">
        <v>1260.0</v>
      </c>
      <c r="F640" s="13">
        <v>315.0</v>
      </c>
      <c r="G640" s="15">
        <v>5711.0</v>
      </c>
      <c r="H640" s="15" t="s">
        <v>38</v>
      </c>
      <c r="I640" s="15" t="s">
        <v>43</v>
      </c>
      <c r="J640" s="15" t="s">
        <v>2749</v>
      </c>
      <c r="K640" s="15" t="s">
        <v>2764</v>
      </c>
      <c r="L640" s="15" t="s">
        <v>384</v>
      </c>
    </row>
    <row r="641" ht="56.25" customHeight="1">
      <c r="A641" s="23" t="s">
        <v>3688</v>
      </c>
      <c r="B641" s="15" t="str">
        <f>image("https://storage.googleapis.com/acdb/bottoms/BottomsTexPantsHotFluffy1.png")</f>
        <v/>
      </c>
      <c r="C641" s="15"/>
      <c r="D641" s="25" t="s">
        <v>28</v>
      </c>
      <c r="E641" s="13">
        <v>1260.0</v>
      </c>
      <c r="F641" s="13">
        <v>315.0</v>
      </c>
      <c r="G641" s="15">
        <v>5711.0</v>
      </c>
      <c r="H641" s="15" t="s">
        <v>38</v>
      </c>
      <c r="I641" s="15" t="s">
        <v>43</v>
      </c>
      <c r="J641" s="15" t="s">
        <v>2749</v>
      </c>
      <c r="K641" s="15" t="s">
        <v>2764</v>
      </c>
      <c r="L641" s="15" t="s">
        <v>384</v>
      </c>
    </row>
    <row r="642" ht="56.25" customHeight="1">
      <c r="A642" s="23" t="s">
        <v>3688</v>
      </c>
      <c r="B642" s="15" t="str">
        <f>image("https://storage.googleapis.com/acdb/bottoms/BottomsTexPantsHotFluffy2.png")</f>
        <v/>
      </c>
      <c r="C642" s="15"/>
      <c r="D642" s="25" t="s">
        <v>28</v>
      </c>
      <c r="E642" s="13">
        <v>1260.0</v>
      </c>
      <c r="F642" s="13">
        <v>315.0</v>
      </c>
      <c r="G642" s="15">
        <v>5711.0</v>
      </c>
      <c r="H642" s="15" t="s">
        <v>38</v>
      </c>
      <c r="I642" s="15" t="s">
        <v>43</v>
      </c>
      <c r="J642" s="15" t="s">
        <v>2749</v>
      </c>
      <c r="K642" s="15" t="s">
        <v>2764</v>
      </c>
      <c r="L642" s="15" t="s">
        <v>384</v>
      </c>
    </row>
    <row r="643" ht="56.25" customHeight="1">
      <c r="A643" s="23" t="s">
        <v>3688</v>
      </c>
      <c r="B643" s="15" t="str">
        <f>image("https://storage.googleapis.com/acdb/bottoms/BottomsTexPantsHotFluffy3.png")</f>
        <v/>
      </c>
      <c r="C643" s="15"/>
      <c r="D643" s="25" t="s">
        <v>28</v>
      </c>
      <c r="E643" s="13">
        <v>1260.0</v>
      </c>
      <c r="F643" s="13">
        <v>315.0</v>
      </c>
      <c r="G643" s="15">
        <v>5711.0</v>
      </c>
      <c r="H643" s="15" t="s">
        <v>38</v>
      </c>
      <c r="I643" s="15" t="s">
        <v>43</v>
      </c>
      <c r="J643" s="15" t="s">
        <v>2749</v>
      </c>
      <c r="K643" s="15" t="s">
        <v>2764</v>
      </c>
      <c r="L643" s="15" t="s">
        <v>384</v>
      </c>
    </row>
    <row r="644" ht="56.25" customHeight="1">
      <c r="A644" s="23" t="s">
        <v>3693</v>
      </c>
      <c r="B644" s="15" t="str">
        <f>image("https://storage.googleapis.com/acdb/bottoms/BottomsTexPantsNormalCroppedsweat0.png")</f>
        <v/>
      </c>
      <c r="C644" s="15"/>
      <c r="D644" s="25" t="s">
        <v>28</v>
      </c>
      <c r="E644" s="13">
        <v>1100.0</v>
      </c>
      <c r="F644" s="13">
        <v>275.0</v>
      </c>
      <c r="G644" s="15">
        <v>5702.0</v>
      </c>
      <c r="H644" s="15" t="s">
        <v>38</v>
      </c>
      <c r="I644" s="15" t="s">
        <v>43</v>
      </c>
      <c r="J644" s="15" t="s">
        <v>2749</v>
      </c>
      <c r="K644" s="15" t="s">
        <v>2764</v>
      </c>
      <c r="L644" s="15" t="s">
        <v>2793</v>
      </c>
    </row>
    <row r="645" ht="56.25" customHeight="1">
      <c r="A645" s="23" t="s">
        <v>3693</v>
      </c>
      <c r="B645" s="15" t="str">
        <f>image("https://storage.googleapis.com/acdb/bottoms/BottomsTexPantsNormalCroppedsweat1.png")</f>
        <v/>
      </c>
      <c r="C645" s="15"/>
      <c r="D645" s="25" t="s">
        <v>28</v>
      </c>
      <c r="E645" s="13">
        <v>1100.0</v>
      </c>
      <c r="F645" s="13">
        <v>275.0</v>
      </c>
      <c r="G645" s="15">
        <v>5702.0</v>
      </c>
      <c r="H645" s="15" t="s">
        <v>38</v>
      </c>
      <c r="I645" s="15" t="s">
        <v>43</v>
      </c>
      <c r="J645" s="15" t="s">
        <v>2749</v>
      </c>
      <c r="K645" s="15" t="s">
        <v>2764</v>
      </c>
      <c r="L645" s="15" t="s">
        <v>2793</v>
      </c>
    </row>
    <row r="646" ht="56.25" customHeight="1">
      <c r="A646" s="23" t="s">
        <v>3693</v>
      </c>
      <c r="B646" s="15" t="str">
        <f>image("https://storage.googleapis.com/acdb/bottoms/BottomsTexPantsNormalCroppedsweat2.png")</f>
        <v/>
      </c>
      <c r="C646" s="15"/>
      <c r="D646" s="25" t="s">
        <v>28</v>
      </c>
      <c r="E646" s="13">
        <v>1100.0</v>
      </c>
      <c r="F646" s="13">
        <v>275.0</v>
      </c>
      <c r="G646" s="15">
        <v>5702.0</v>
      </c>
      <c r="H646" s="15" t="s">
        <v>38</v>
      </c>
      <c r="I646" s="15" t="s">
        <v>43</v>
      </c>
      <c r="J646" s="15" t="s">
        <v>2749</v>
      </c>
      <c r="K646" s="15" t="s">
        <v>2764</v>
      </c>
      <c r="L646" s="15" t="s">
        <v>2793</v>
      </c>
    </row>
    <row r="647" ht="56.25" customHeight="1">
      <c r="A647" s="23" t="s">
        <v>3693</v>
      </c>
      <c r="B647" s="15" t="str">
        <f>image("https://storage.googleapis.com/acdb/bottoms/BottomsTexPantsNormalCroppedsweat3.png")</f>
        <v/>
      </c>
      <c r="C647" s="15"/>
      <c r="D647" s="25" t="s">
        <v>28</v>
      </c>
      <c r="E647" s="13">
        <v>1100.0</v>
      </c>
      <c r="F647" s="13">
        <v>275.0</v>
      </c>
      <c r="G647" s="15">
        <v>5702.0</v>
      </c>
      <c r="H647" s="15" t="s">
        <v>38</v>
      </c>
      <c r="I647" s="15" t="s">
        <v>43</v>
      </c>
      <c r="J647" s="15" t="s">
        <v>2749</v>
      </c>
      <c r="K647" s="15" t="s">
        <v>2764</v>
      </c>
      <c r="L647" s="15" t="s">
        <v>2793</v>
      </c>
    </row>
    <row r="648" ht="56.25" customHeight="1">
      <c r="A648" s="23" t="s">
        <v>3693</v>
      </c>
      <c r="B648" s="15" t="str">
        <f>image("https://storage.googleapis.com/acdb/bottoms/BottomsTexPantsNormalCroppedsweat4.png")</f>
        <v/>
      </c>
      <c r="C648" s="15"/>
      <c r="D648" s="25" t="s">
        <v>28</v>
      </c>
      <c r="E648" s="13">
        <v>1100.0</v>
      </c>
      <c r="F648" s="13">
        <v>275.0</v>
      </c>
      <c r="G648" s="15">
        <v>5702.0</v>
      </c>
      <c r="H648" s="15" t="s">
        <v>38</v>
      </c>
      <c r="I648" s="15" t="s">
        <v>43</v>
      </c>
      <c r="J648" s="15" t="s">
        <v>2749</v>
      </c>
      <c r="K648" s="15" t="s">
        <v>2764</v>
      </c>
      <c r="L648" s="15" t="s">
        <v>2793</v>
      </c>
    </row>
    <row r="649" ht="56.25" customHeight="1">
      <c r="A649" s="23" t="s">
        <v>3693</v>
      </c>
      <c r="B649" s="15" t="str">
        <f>image("https://storage.googleapis.com/acdb/bottoms/BottomsTexPantsNormalCroppedsweat5.png")</f>
        <v/>
      </c>
      <c r="C649" s="15"/>
      <c r="D649" s="25" t="s">
        <v>28</v>
      </c>
      <c r="E649" s="13">
        <v>1100.0</v>
      </c>
      <c r="F649" s="13">
        <v>275.0</v>
      </c>
      <c r="G649" s="15">
        <v>5702.0</v>
      </c>
      <c r="H649" s="15" t="s">
        <v>38</v>
      </c>
      <c r="I649" s="15" t="s">
        <v>43</v>
      </c>
      <c r="J649" s="15" t="s">
        <v>2749</v>
      </c>
      <c r="K649" s="15" t="s">
        <v>2764</v>
      </c>
      <c r="L649" s="15" t="s">
        <v>2793</v>
      </c>
    </row>
    <row r="650" ht="56.25" customHeight="1">
      <c r="A650" s="23" t="s">
        <v>3693</v>
      </c>
      <c r="B650" s="15" t="str">
        <f>image("https://storage.googleapis.com/acdb/bottoms/BottomsTexPantsNormalCroppedsweat6.png")</f>
        <v/>
      </c>
      <c r="C650" s="15"/>
      <c r="D650" s="25" t="s">
        <v>28</v>
      </c>
      <c r="E650" s="13">
        <v>1100.0</v>
      </c>
      <c r="F650" s="13">
        <v>275.0</v>
      </c>
      <c r="G650" s="15">
        <v>5702.0</v>
      </c>
      <c r="H650" s="15" t="s">
        <v>38</v>
      </c>
      <c r="I650" s="15" t="s">
        <v>43</v>
      </c>
      <c r="J650" s="15" t="s">
        <v>2749</v>
      </c>
      <c r="K650" s="15" t="s">
        <v>2764</v>
      </c>
      <c r="L650" s="15" t="s">
        <v>2793</v>
      </c>
    </row>
    <row r="651" ht="56.25" customHeight="1">
      <c r="A651" s="23" t="s">
        <v>3693</v>
      </c>
      <c r="B651" s="15" t="str">
        <f>image("https://storage.googleapis.com/acdb/bottoms/BottomsTexPantsNormalCroppedsweat7.png")</f>
        <v/>
      </c>
      <c r="C651" s="15"/>
      <c r="D651" s="25" t="s">
        <v>28</v>
      </c>
      <c r="E651" s="13">
        <v>1100.0</v>
      </c>
      <c r="F651" s="13">
        <v>275.0</v>
      </c>
      <c r="G651" s="15">
        <v>5702.0</v>
      </c>
      <c r="H651" s="15" t="s">
        <v>38</v>
      </c>
      <c r="I651" s="15" t="s">
        <v>43</v>
      </c>
      <c r="J651" s="15" t="s">
        <v>2749</v>
      </c>
      <c r="K651" s="15" t="s">
        <v>2764</v>
      </c>
      <c r="L651" s="15" t="s">
        <v>2793</v>
      </c>
    </row>
    <row r="652" ht="56.25" customHeight="1">
      <c r="A652" s="23" t="s">
        <v>3699</v>
      </c>
      <c r="B652" s="15" t="str">
        <f>image("https://storage.googleapis.com/acdb/bottoms/BottomsTexSkirtLongTiedye0.png")</f>
        <v/>
      </c>
      <c r="C652" s="15"/>
      <c r="D652" s="25" t="s">
        <v>28</v>
      </c>
      <c r="E652" s="13">
        <v>1260.0</v>
      </c>
      <c r="F652" s="13">
        <v>315.0</v>
      </c>
      <c r="G652" s="15">
        <v>5826.0</v>
      </c>
      <c r="H652" s="15" t="s">
        <v>38</v>
      </c>
      <c r="I652" s="15" t="s">
        <v>43</v>
      </c>
      <c r="J652" s="15" t="s">
        <v>2749</v>
      </c>
      <c r="K652" s="15" t="s">
        <v>2764</v>
      </c>
      <c r="L652" s="15" t="s">
        <v>2793</v>
      </c>
    </row>
    <row r="653" ht="56.25" customHeight="1">
      <c r="A653" s="23" t="s">
        <v>3699</v>
      </c>
      <c r="B653" s="15" t="str">
        <f>image("https://storage.googleapis.com/acdb/bottoms/BottomsTexSkirtLongTiedye1.png")</f>
        <v/>
      </c>
      <c r="C653" s="15"/>
      <c r="D653" s="25" t="s">
        <v>28</v>
      </c>
      <c r="E653" s="13">
        <v>1260.0</v>
      </c>
      <c r="F653" s="13">
        <v>315.0</v>
      </c>
      <c r="G653" s="15">
        <v>5826.0</v>
      </c>
      <c r="H653" s="15" t="s">
        <v>38</v>
      </c>
      <c r="I653" s="15" t="s">
        <v>43</v>
      </c>
      <c r="J653" s="15" t="s">
        <v>2749</v>
      </c>
      <c r="K653" s="15" t="s">
        <v>2764</v>
      </c>
      <c r="L653" s="15" t="s">
        <v>2793</v>
      </c>
    </row>
    <row r="654" ht="56.25" customHeight="1">
      <c r="A654" s="23" t="s">
        <v>3699</v>
      </c>
      <c r="B654" s="15" t="str">
        <f>image("https://storage.googleapis.com/acdb/bottoms/BottomsTexSkirtLongTiedye2.png")</f>
        <v/>
      </c>
      <c r="C654" s="15"/>
      <c r="D654" s="25" t="s">
        <v>28</v>
      </c>
      <c r="E654" s="13">
        <v>1260.0</v>
      </c>
      <c r="F654" s="13">
        <v>315.0</v>
      </c>
      <c r="G654" s="15">
        <v>5826.0</v>
      </c>
      <c r="H654" s="15" t="s">
        <v>38</v>
      </c>
      <c r="I654" s="15" t="s">
        <v>43</v>
      </c>
      <c r="J654" s="15" t="s">
        <v>2749</v>
      </c>
      <c r="K654" s="15" t="s">
        <v>2764</v>
      </c>
      <c r="L654" s="15" t="s">
        <v>2793</v>
      </c>
    </row>
    <row r="655" ht="56.25" customHeight="1">
      <c r="A655" s="23" t="s">
        <v>3699</v>
      </c>
      <c r="B655" s="15" t="str">
        <f>image("https://storage.googleapis.com/acdb/bottoms/BottomsTexSkirtLongTiedye3.png")</f>
        <v/>
      </c>
      <c r="C655" s="15"/>
      <c r="D655" s="25" t="s">
        <v>28</v>
      </c>
      <c r="E655" s="13">
        <v>1260.0</v>
      </c>
      <c r="F655" s="13">
        <v>315.0</v>
      </c>
      <c r="G655" s="15">
        <v>5826.0</v>
      </c>
      <c r="H655" s="15" t="s">
        <v>38</v>
      </c>
      <c r="I655" s="15" t="s">
        <v>43</v>
      </c>
      <c r="J655" s="15" t="s">
        <v>2749</v>
      </c>
      <c r="K655" s="15" t="s">
        <v>2764</v>
      </c>
      <c r="L655" s="15" t="s">
        <v>2793</v>
      </c>
    </row>
    <row r="656" ht="56.25" customHeight="1">
      <c r="A656" s="23" t="s">
        <v>3699</v>
      </c>
      <c r="B656" s="15" t="str">
        <f>image("https://storage.googleapis.com/acdb/bottoms/BottomsTexSkirtLongTiedye4.png")</f>
        <v/>
      </c>
      <c r="C656" s="15"/>
      <c r="D656" s="25" t="s">
        <v>28</v>
      </c>
      <c r="E656" s="13">
        <v>1260.0</v>
      </c>
      <c r="F656" s="13">
        <v>315.0</v>
      </c>
      <c r="G656" s="15">
        <v>5826.0</v>
      </c>
      <c r="H656" s="15" t="s">
        <v>38</v>
      </c>
      <c r="I656" s="15" t="s">
        <v>43</v>
      </c>
      <c r="J656" s="15" t="s">
        <v>2749</v>
      </c>
      <c r="K656" s="15" t="s">
        <v>2764</v>
      </c>
      <c r="L656" s="15" t="s">
        <v>2793</v>
      </c>
    </row>
    <row r="657" ht="56.25" customHeight="1">
      <c r="A657" s="23" t="s">
        <v>3706</v>
      </c>
      <c r="B657" s="15" t="str">
        <f>image("https://storage.googleapis.com/acdb/bottoms/BottomsTexSkirtLongTiered0.png")</f>
        <v/>
      </c>
      <c r="C657" s="15"/>
      <c r="D657" s="25" t="s">
        <v>28</v>
      </c>
      <c r="E657" s="13">
        <v>1200.0</v>
      </c>
      <c r="F657" s="13">
        <v>300.0</v>
      </c>
      <c r="G657" s="15">
        <v>4502.0</v>
      </c>
      <c r="H657" s="15" t="s">
        <v>38</v>
      </c>
      <c r="I657" s="15" t="s">
        <v>43</v>
      </c>
      <c r="J657" s="15" t="s">
        <v>2749</v>
      </c>
      <c r="K657" s="15" t="s">
        <v>2764</v>
      </c>
      <c r="L657" s="15" t="s">
        <v>2744</v>
      </c>
    </row>
    <row r="658" ht="56.25" customHeight="1">
      <c r="A658" s="23" t="s">
        <v>3706</v>
      </c>
      <c r="B658" s="15" t="str">
        <f>image("https://storage.googleapis.com/acdb/bottoms/BottomsTexSkirtLongTiered1.png")</f>
        <v/>
      </c>
      <c r="C658" s="15"/>
      <c r="D658" s="25" t="s">
        <v>28</v>
      </c>
      <c r="E658" s="13">
        <v>1200.0</v>
      </c>
      <c r="F658" s="13">
        <v>300.0</v>
      </c>
      <c r="G658" s="15">
        <v>4502.0</v>
      </c>
      <c r="H658" s="15" t="s">
        <v>38</v>
      </c>
      <c r="I658" s="15" t="s">
        <v>43</v>
      </c>
      <c r="J658" s="15" t="s">
        <v>2749</v>
      </c>
      <c r="K658" s="15" t="s">
        <v>2764</v>
      </c>
      <c r="L658" s="15" t="s">
        <v>2744</v>
      </c>
    </row>
    <row r="659" ht="56.25" customHeight="1">
      <c r="A659" s="23" t="s">
        <v>3706</v>
      </c>
      <c r="B659" s="15" t="str">
        <f>image("https://storage.googleapis.com/acdb/bottoms/BottomsTexSkirtLongTiered2.png")</f>
        <v/>
      </c>
      <c r="C659" s="15"/>
      <c r="D659" s="25" t="s">
        <v>28</v>
      </c>
      <c r="E659" s="13">
        <v>1200.0</v>
      </c>
      <c r="F659" s="13">
        <v>300.0</v>
      </c>
      <c r="G659" s="15">
        <v>4502.0</v>
      </c>
      <c r="H659" s="15" t="s">
        <v>38</v>
      </c>
      <c r="I659" s="15" t="s">
        <v>43</v>
      </c>
      <c r="J659" s="15" t="s">
        <v>2749</v>
      </c>
      <c r="K659" s="15" t="s">
        <v>2764</v>
      </c>
      <c r="L659" s="15" t="s">
        <v>2744</v>
      </c>
    </row>
    <row r="660" ht="56.25" customHeight="1">
      <c r="A660" s="23" t="s">
        <v>3706</v>
      </c>
      <c r="B660" s="15" t="str">
        <f>image("https://storage.googleapis.com/acdb/bottoms/BottomsTexSkirtLongTiered3.png")</f>
        <v/>
      </c>
      <c r="C660" s="15"/>
      <c r="D660" s="25" t="s">
        <v>28</v>
      </c>
      <c r="E660" s="13">
        <v>1200.0</v>
      </c>
      <c r="F660" s="13">
        <v>300.0</v>
      </c>
      <c r="G660" s="15">
        <v>4502.0</v>
      </c>
      <c r="H660" s="15" t="s">
        <v>38</v>
      </c>
      <c r="I660" s="15" t="s">
        <v>43</v>
      </c>
      <c r="J660" s="15" t="s">
        <v>2749</v>
      </c>
      <c r="K660" s="15" t="s">
        <v>2764</v>
      </c>
      <c r="L660" s="15" t="s">
        <v>2744</v>
      </c>
    </row>
    <row r="661" ht="56.25" customHeight="1">
      <c r="A661" s="23" t="s">
        <v>3706</v>
      </c>
      <c r="B661" s="15" t="str">
        <f>image("https://storage.googleapis.com/acdb/bottoms/BottomsTexSkirtLongTiered4.png")</f>
        <v/>
      </c>
      <c r="C661" s="15"/>
      <c r="D661" s="25" t="s">
        <v>28</v>
      </c>
      <c r="E661" s="13">
        <v>1200.0</v>
      </c>
      <c r="F661" s="13">
        <v>300.0</v>
      </c>
      <c r="G661" s="15">
        <v>4502.0</v>
      </c>
      <c r="H661" s="15" t="s">
        <v>38</v>
      </c>
      <c r="I661" s="15" t="s">
        <v>43</v>
      </c>
      <c r="J661" s="15" t="s">
        <v>2749</v>
      </c>
      <c r="K661" s="15" t="s">
        <v>2764</v>
      </c>
      <c r="L661" s="15" t="s">
        <v>2744</v>
      </c>
    </row>
    <row r="662" ht="56.25" customHeight="1">
      <c r="A662" s="23" t="s">
        <v>3711</v>
      </c>
      <c r="B662" s="15" t="str">
        <f>image("https://storage.googleapis.com/acdb/bottoms/BottomsTexPantsWideTeared0.png")</f>
        <v/>
      </c>
      <c r="C662" s="15"/>
      <c r="D662" s="25" t="s">
        <v>28</v>
      </c>
      <c r="E662" s="24" t="s">
        <v>51</v>
      </c>
      <c r="F662" s="13">
        <v>10.0</v>
      </c>
      <c r="G662" s="15">
        <v>5701.0</v>
      </c>
      <c r="H662" s="15" t="s">
        <v>38</v>
      </c>
      <c r="I662" s="15" t="s">
        <v>54</v>
      </c>
      <c r="J662" s="15" t="s">
        <v>2797</v>
      </c>
      <c r="K662" s="15"/>
      <c r="L662" s="15" t="s">
        <v>2744</v>
      </c>
    </row>
    <row r="663" ht="56.25" customHeight="1">
      <c r="A663" s="23" t="s">
        <v>3711</v>
      </c>
      <c r="B663" s="15" t="str">
        <f>image("https://storage.googleapis.com/acdb/bottoms/BottomsTexPantsWideTeared1.png")</f>
        <v/>
      </c>
      <c r="C663" s="15"/>
      <c r="D663" s="25" t="s">
        <v>28</v>
      </c>
      <c r="E663" s="24" t="s">
        <v>51</v>
      </c>
      <c r="F663" s="13">
        <v>10.0</v>
      </c>
      <c r="G663" s="15">
        <v>5701.0</v>
      </c>
      <c r="H663" s="15" t="s">
        <v>38</v>
      </c>
      <c r="I663" s="15" t="s">
        <v>54</v>
      </c>
      <c r="J663" s="15" t="s">
        <v>2797</v>
      </c>
      <c r="K663" s="15"/>
      <c r="L663" s="15" t="s">
        <v>2744</v>
      </c>
    </row>
    <row r="664" ht="56.25" customHeight="1">
      <c r="A664" s="23" t="s">
        <v>3711</v>
      </c>
      <c r="B664" s="15" t="str">
        <f>image("https://storage.googleapis.com/acdb/bottoms/BottomsTexPantsWideTeared2.png")</f>
        <v/>
      </c>
      <c r="C664" s="15"/>
      <c r="D664" s="25" t="s">
        <v>28</v>
      </c>
      <c r="E664" s="24" t="s">
        <v>51</v>
      </c>
      <c r="F664" s="13">
        <v>10.0</v>
      </c>
      <c r="G664" s="15">
        <v>5701.0</v>
      </c>
      <c r="H664" s="15" t="s">
        <v>38</v>
      </c>
      <c r="I664" s="15" t="s">
        <v>54</v>
      </c>
      <c r="J664" s="15" t="s">
        <v>2797</v>
      </c>
      <c r="K664" s="15"/>
      <c r="L664" s="15" t="s">
        <v>2744</v>
      </c>
    </row>
    <row r="665" ht="56.25" customHeight="1">
      <c r="A665" s="23" t="s">
        <v>3713</v>
      </c>
      <c r="B665" s="15" t="str">
        <f>image("https://storage.googleapis.com/acdb/bottoms/BottomsTexPantsNormalSportsjersey0.png")</f>
        <v/>
      </c>
      <c r="C665" s="15"/>
      <c r="D665" s="25" t="s">
        <v>28</v>
      </c>
      <c r="E665" s="13">
        <v>770.0</v>
      </c>
      <c r="F665" s="13">
        <v>192.0</v>
      </c>
      <c r="G665" s="15">
        <v>3335.0</v>
      </c>
      <c r="H665" s="15" t="s">
        <v>38</v>
      </c>
      <c r="I665" s="15" t="s">
        <v>43</v>
      </c>
      <c r="J665" s="15" t="s">
        <v>2749</v>
      </c>
      <c r="K665" s="15" t="s">
        <v>2764</v>
      </c>
      <c r="L665" s="15" t="s">
        <v>2793</v>
      </c>
    </row>
    <row r="666" ht="56.25" customHeight="1">
      <c r="A666" s="23" t="s">
        <v>3713</v>
      </c>
      <c r="B666" s="15" t="str">
        <f>image("https://storage.googleapis.com/acdb/bottoms/BottomsTexPantsNormalSportsjersey1.png")</f>
        <v/>
      </c>
      <c r="C666" s="15"/>
      <c r="D666" s="25" t="s">
        <v>28</v>
      </c>
      <c r="E666" s="13">
        <v>770.0</v>
      </c>
      <c r="F666" s="13">
        <v>192.0</v>
      </c>
      <c r="G666" s="15">
        <v>3335.0</v>
      </c>
      <c r="H666" s="15" t="s">
        <v>38</v>
      </c>
      <c r="I666" s="15" t="s">
        <v>43</v>
      </c>
      <c r="J666" s="15" t="s">
        <v>2749</v>
      </c>
      <c r="K666" s="15" t="s">
        <v>2764</v>
      </c>
      <c r="L666" s="15" t="s">
        <v>2793</v>
      </c>
    </row>
    <row r="667" ht="56.25" customHeight="1">
      <c r="A667" s="23" t="s">
        <v>3713</v>
      </c>
      <c r="B667" s="15" t="str">
        <f>image("https://storage.googleapis.com/acdb/bottoms/BottomsTexPantsNormalSportsjersey2.png")</f>
        <v/>
      </c>
      <c r="C667" s="15"/>
      <c r="D667" s="25" t="s">
        <v>28</v>
      </c>
      <c r="E667" s="13">
        <v>770.0</v>
      </c>
      <c r="F667" s="13">
        <v>192.0</v>
      </c>
      <c r="G667" s="15">
        <v>3335.0</v>
      </c>
      <c r="H667" s="15" t="s">
        <v>38</v>
      </c>
      <c r="I667" s="15" t="s">
        <v>43</v>
      </c>
      <c r="J667" s="15" t="s">
        <v>2749</v>
      </c>
      <c r="K667" s="15" t="s">
        <v>2764</v>
      </c>
      <c r="L667" s="15" t="s">
        <v>2793</v>
      </c>
    </row>
    <row r="668" ht="56.25" customHeight="1">
      <c r="A668" s="23" t="s">
        <v>3713</v>
      </c>
      <c r="B668" s="15" t="str">
        <f>image("https://storage.googleapis.com/acdb/bottoms/BottomsTexPantsNormalSportsjersey3.png")</f>
        <v/>
      </c>
      <c r="C668" s="15"/>
      <c r="D668" s="25" t="s">
        <v>28</v>
      </c>
      <c r="E668" s="13">
        <v>770.0</v>
      </c>
      <c r="F668" s="13">
        <v>192.0</v>
      </c>
      <c r="G668" s="15">
        <v>3335.0</v>
      </c>
      <c r="H668" s="15" t="s">
        <v>38</v>
      </c>
      <c r="I668" s="15" t="s">
        <v>43</v>
      </c>
      <c r="J668" s="15" t="s">
        <v>2749</v>
      </c>
      <c r="K668" s="15" t="s">
        <v>2764</v>
      </c>
      <c r="L668" s="15" t="s">
        <v>2793</v>
      </c>
    </row>
    <row r="669" ht="56.25" customHeight="1">
      <c r="A669" s="23" t="s">
        <v>3713</v>
      </c>
      <c r="B669" s="15" t="str">
        <f>image("https://storage.googleapis.com/acdb/bottoms/BottomsTexPantsNormalSportsjersey4.png")</f>
        <v/>
      </c>
      <c r="C669" s="15"/>
      <c r="D669" s="25" t="s">
        <v>28</v>
      </c>
      <c r="E669" s="13">
        <v>770.0</v>
      </c>
      <c r="F669" s="13">
        <v>192.0</v>
      </c>
      <c r="G669" s="15">
        <v>3335.0</v>
      </c>
      <c r="H669" s="15" t="s">
        <v>38</v>
      </c>
      <c r="I669" s="15" t="s">
        <v>43</v>
      </c>
      <c r="J669" s="15" t="s">
        <v>2749</v>
      </c>
      <c r="K669" s="15" t="s">
        <v>2764</v>
      </c>
      <c r="L669" s="15" t="s">
        <v>2793</v>
      </c>
    </row>
    <row r="670" ht="56.25" customHeight="1">
      <c r="A670" s="23" t="s">
        <v>3713</v>
      </c>
      <c r="B670" s="15" t="str">
        <f>image("https://storage.googleapis.com/acdb/bottoms/BottomsTexPantsNormalSportsjersey5.png")</f>
        <v/>
      </c>
      <c r="C670" s="15"/>
      <c r="D670" s="25" t="s">
        <v>28</v>
      </c>
      <c r="E670" s="13">
        <v>770.0</v>
      </c>
      <c r="F670" s="13">
        <v>192.0</v>
      </c>
      <c r="G670" s="15">
        <v>3335.0</v>
      </c>
      <c r="H670" s="15" t="s">
        <v>38</v>
      </c>
      <c r="I670" s="15" t="s">
        <v>43</v>
      </c>
      <c r="J670" s="15" t="s">
        <v>2749</v>
      </c>
      <c r="K670" s="15" t="s">
        <v>2764</v>
      </c>
      <c r="L670" s="15" t="s">
        <v>2793</v>
      </c>
    </row>
    <row r="671" ht="56.25" customHeight="1">
      <c r="A671" s="23" t="s">
        <v>3713</v>
      </c>
      <c r="B671" s="15" t="str">
        <f>image("https://storage.googleapis.com/acdb/bottoms/BottomsTexPantsNormalSportsjersey6.png")</f>
        <v/>
      </c>
      <c r="C671" s="15"/>
      <c r="D671" s="25" t="s">
        <v>28</v>
      </c>
      <c r="E671" s="13">
        <v>770.0</v>
      </c>
      <c r="F671" s="13">
        <v>192.0</v>
      </c>
      <c r="G671" s="15">
        <v>3335.0</v>
      </c>
      <c r="H671" s="15" t="s">
        <v>38</v>
      </c>
      <c r="I671" s="15" t="s">
        <v>43</v>
      </c>
      <c r="J671" s="15" t="s">
        <v>2749</v>
      </c>
      <c r="K671" s="15" t="s">
        <v>2764</v>
      </c>
      <c r="L671" s="15" t="s">
        <v>2793</v>
      </c>
    </row>
    <row r="672" ht="56.25" customHeight="1">
      <c r="A672" s="23" t="s">
        <v>3716</v>
      </c>
      <c r="B672" s="15" t="str">
        <f>image("https://storage.googleapis.com/acdb/bottoms/BottomsTexPantsNormalMonpe0.png")</f>
        <v/>
      </c>
      <c r="C672" s="15"/>
      <c r="D672" s="25" t="s">
        <v>28</v>
      </c>
      <c r="E672" s="13">
        <v>1040.0</v>
      </c>
      <c r="F672" s="13">
        <v>260.0</v>
      </c>
      <c r="G672" s="15">
        <v>5412.0</v>
      </c>
      <c r="H672" s="15" t="s">
        <v>38</v>
      </c>
      <c r="I672" s="15" t="s">
        <v>43</v>
      </c>
      <c r="J672" s="15" t="s">
        <v>2749</v>
      </c>
      <c r="K672" s="15" t="s">
        <v>2751</v>
      </c>
      <c r="L672" s="15" t="s">
        <v>2744</v>
      </c>
    </row>
    <row r="673" ht="56.25" customHeight="1">
      <c r="A673" s="23" t="s">
        <v>3716</v>
      </c>
      <c r="B673" s="15" t="str">
        <f>image("https://storage.googleapis.com/acdb/bottoms/BottomsTexPantsNormalMonpe1.png")</f>
        <v/>
      </c>
      <c r="C673" s="15"/>
      <c r="D673" s="25" t="s">
        <v>28</v>
      </c>
      <c r="E673" s="13">
        <v>1040.0</v>
      </c>
      <c r="F673" s="13">
        <v>260.0</v>
      </c>
      <c r="G673" s="15">
        <v>5412.0</v>
      </c>
      <c r="H673" s="15" t="s">
        <v>38</v>
      </c>
      <c r="I673" s="15" t="s">
        <v>43</v>
      </c>
      <c r="J673" s="15" t="s">
        <v>2749</v>
      </c>
      <c r="K673" s="15" t="s">
        <v>2751</v>
      </c>
      <c r="L673" s="15" t="s">
        <v>2744</v>
      </c>
    </row>
    <row r="674" ht="56.25" customHeight="1">
      <c r="A674" s="23" t="s">
        <v>3716</v>
      </c>
      <c r="B674" s="15" t="str">
        <f>image("https://storage.googleapis.com/acdb/bottoms/BottomsTexPantsNormalMonpe2.png")</f>
        <v/>
      </c>
      <c r="C674" s="15"/>
      <c r="D674" s="25" t="s">
        <v>28</v>
      </c>
      <c r="E674" s="13">
        <v>1040.0</v>
      </c>
      <c r="F674" s="13">
        <v>260.0</v>
      </c>
      <c r="G674" s="15">
        <v>5412.0</v>
      </c>
      <c r="H674" s="15" t="s">
        <v>38</v>
      </c>
      <c r="I674" s="15" t="s">
        <v>43</v>
      </c>
      <c r="J674" s="15" t="s">
        <v>2749</v>
      </c>
      <c r="K674" s="15" t="s">
        <v>2751</v>
      </c>
      <c r="L674" s="15" t="s">
        <v>2744</v>
      </c>
    </row>
    <row r="675" ht="56.25" customHeight="1">
      <c r="A675" s="23" t="s">
        <v>3716</v>
      </c>
      <c r="B675" s="15" t="str">
        <f>image("https://storage.googleapis.com/acdb/bottoms/BottomsTexPantsNormalMonpe3.png")</f>
        <v/>
      </c>
      <c r="C675" s="15"/>
      <c r="D675" s="25" t="s">
        <v>28</v>
      </c>
      <c r="E675" s="13">
        <v>1040.0</v>
      </c>
      <c r="F675" s="13">
        <v>260.0</v>
      </c>
      <c r="G675" s="15">
        <v>5412.0</v>
      </c>
      <c r="H675" s="15" t="s">
        <v>38</v>
      </c>
      <c r="I675" s="15" t="s">
        <v>43</v>
      </c>
      <c r="J675" s="15" t="s">
        <v>2749</v>
      </c>
      <c r="K675" s="15" t="s">
        <v>2751</v>
      </c>
      <c r="L675" s="15" t="s">
        <v>2744</v>
      </c>
    </row>
    <row r="676" ht="56.25" customHeight="1">
      <c r="A676" s="23" t="s">
        <v>3719</v>
      </c>
      <c r="B676" s="15" t="str">
        <f>image("https://storage.googleapis.com/acdb/bottoms/BottomsTexPantsWideSuteteko0.png")</f>
        <v/>
      </c>
      <c r="C676" s="15"/>
      <c r="D676" s="25" t="s">
        <v>28</v>
      </c>
      <c r="E676" s="13">
        <v>560.0</v>
      </c>
      <c r="F676" s="13">
        <v>140.0</v>
      </c>
      <c r="G676" s="15">
        <v>5460.0</v>
      </c>
      <c r="H676" s="15" t="s">
        <v>38</v>
      </c>
      <c r="I676" s="15" t="s">
        <v>43</v>
      </c>
      <c r="J676" s="15" t="s">
        <v>2749</v>
      </c>
      <c r="K676" s="15" t="s">
        <v>2764</v>
      </c>
      <c r="L676" s="15" t="s">
        <v>2744</v>
      </c>
    </row>
    <row r="677" ht="56.25" customHeight="1">
      <c r="A677" s="23" t="s">
        <v>3719</v>
      </c>
      <c r="B677" s="15" t="str">
        <f>image("https://storage.googleapis.com/acdb/bottoms/BottomsTexPantsWideSuteteko1.png")</f>
        <v/>
      </c>
      <c r="C677" s="15"/>
      <c r="D677" s="25" t="s">
        <v>28</v>
      </c>
      <c r="E677" s="13">
        <v>560.0</v>
      </c>
      <c r="F677" s="13">
        <v>140.0</v>
      </c>
      <c r="G677" s="15">
        <v>5460.0</v>
      </c>
      <c r="H677" s="15" t="s">
        <v>38</v>
      </c>
      <c r="I677" s="15" t="s">
        <v>43</v>
      </c>
      <c r="J677" s="15" t="s">
        <v>2749</v>
      </c>
      <c r="K677" s="15" t="s">
        <v>2764</v>
      </c>
      <c r="L677" s="15" t="s">
        <v>2744</v>
      </c>
    </row>
    <row r="678" ht="56.25" customHeight="1">
      <c r="A678" s="23" t="s">
        <v>3719</v>
      </c>
      <c r="B678" s="15" t="str">
        <f>image("https://storage.googleapis.com/acdb/bottoms/BottomsTexPantsWideSuteteko2.png")</f>
        <v/>
      </c>
      <c r="C678" s="15"/>
      <c r="D678" s="25" t="s">
        <v>28</v>
      </c>
      <c r="E678" s="13">
        <v>560.0</v>
      </c>
      <c r="F678" s="13">
        <v>140.0</v>
      </c>
      <c r="G678" s="15">
        <v>5460.0</v>
      </c>
      <c r="H678" s="15" t="s">
        <v>38</v>
      </c>
      <c r="I678" s="15" t="s">
        <v>43</v>
      </c>
      <c r="J678" s="15" t="s">
        <v>2749</v>
      </c>
      <c r="K678" s="15" t="s">
        <v>2764</v>
      </c>
      <c r="L678" s="15" t="s">
        <v>2744</v>
      </c>
    </row>
    <row r="679" ht="56.25" customHeight="1">
      <c r="A679" s="23" t="s">
        <v>3719</v>
      </c>
      <c r="B679" s="15" t="str">
        <f>image("https://storage.googleapis.com/acdb/bottoms/BottomsTexPantsWideSuteteko3.png")</f>
        <v/>
      </c>
      <c r="C679" s="15"/>
      <c r="D679" s="25" t="s">
        <v>28</v>
      </c>
      <c r="E679" s="13">
        <v>560.0</v>
      </c>
      <c r="F679" s="13">
        <v>140.0</v>
      </c>
      <c r="G679" s="15">
        <v>5460.0</v>
      </c>
      <c r="H679" s="15" t="s">
        <v>38</v>
      </c>
      <c r="I679" s="15" t="s">
        <v>43</v>
      </c>
      <c r="J679" s="15" t="s">
        <v>2749</v>
      </c>
      <c r="K679" s="15" t="s">
        <v>2764</v>
      </c>
      <c r="L679" s="15" t="s">
        <v>2744</v>
      </c>
    </row>
    <row r="680" ht="56.25" customHeight="1">
      <c r="A680" s="23" t="s">
        <v>3719</v>
      </c>
      <c r="B680" s="15" t="str">
        <f>image("https://storage.googleapis.com/acdb/bottoms/BottomsTexPantsWideSuteteko4.png")</f>
        <v/>
      </c>
      <c r="C680" s="15"/>
      <c r="D680" s="25" t="s">
        <v>28</v>
      </c>
      <c r="E680" s="13">
        <v>560.0</v>
      </c>
      <c r="F680" s="13">
        <v>140.0</v>
      </c>
      <c r="G680" s="15">
        <v>5460.0</v>
      </c>
      <c r="H680" s="15" t="s">
        <v>38</v>
      </c>
      <c r="I680" s="15" t="s">
        <v>43</v>
      </c>
      <c r="J680" s="15" t="s">
        <v>2749</v>
      </c>
      <c r="K680" s="15" t="s">
        <v>2764</v>
      </c>
      <c r="L680" s="15" t="s">
        <v>2744</v>
      </c>
    </row>
    <row r="681" ht="56.25" customHeight="1">
      <c r="A681" s="23" t="s">
        <v>3719</v>
      </c>
      <c r="B681" s="15" t="str">
        <f>image("https://storage.googleapis.com/acdb/bottoms/BottomsTexPantsWideSuteteko5.png")</f>
        <v/>
      </c>
      <c r="C681" s="15"/>
      <c r="D681" s="25" t="s">
        <v>28</v>
      </c>
      <c r="E681" s="13">
        <v>560.0</v>
      </c>
      <c r="F681" s="13">
        <v>140.0</v>
      </c>
      <c r="G681" s="15">
        <v>5460.0</v>
      </c>
      <c r="H681" s="15" t="s">
        <v>38</v>
      </c>
      <c r="I681" s="15" t="s">
        <v>43</v>
      </c>
      <c r="J681" s="15" t="s">
        <v>2749</v>
      </c>
      <c r="K681" s="15" t="s">
        <v>2764</v>
      </c>
      <c r="L681" s="15" t="s">
        <v>2744</v>
      </c>
    </row>
    <row r="682" ht="56.25" customHeight="1">
      <c r="A682" s="23" t="s">
        <v>3725</v>
      </c>
      <c r="B682" s="15" t="str">
        <f>image("https://storage.googleapis.com/acdb/bottoms/BottomsTexSkirtAlineTweedfrill0.png")</f>
        <v/>
      </c>
      <c r="C682" s="15"/>
      <c r="D682" s="25" t="s">
        <v>28</v>
      </c>
      <c r="E682" s="13">
        <v>1560.0</v>
      </c>
      <c r="F682" s="13">
        <v>390.0</v>
      </c>
      <c r="G682" s="15">
        <v>4428.0</v>
      </c>
      <c r="H682" s="15" t="s">
        <v>38</v>
      </c>
      <c r="I682" s="15" t="s">
        <v>43</v>
      </c>
      <c r="J682" s="15" t="s">
        <v>2749</v>
      </c>
      <c r="K682" s="15" t="s">
        <v>2751</v>
      </c>
      <c r="L682" s="15" t="s">
        <v>384</v>
      </c>
    </row>
    <row r="683" ht="56.25" customHeight="1">
      <c r="A683" s="23" t="s">
        <v>3725</v>
      </c>
      <c r="B683" s="15" t="str">
        <f>image("https://storage.googleapis.com/acdb/bottoms/BottomsTexSkirtAlineTweedfrill1.png")</f>
        <v/>
      </c>
      <c r="C683" s="15"/>
      <c r="D683" s="25" t="s">
        <v>28</v>
      </c>
      <c r="E683" s="13">
        <v>1560.0</v>
      </c>
      <c r="F683" s="13">
        <v>390.0</v>
      </c>
      <c r="G683" s="15">
        <v>4428.0</v>
      </c>
      <c r="H683" s="15" t="s">
        <v>38</v>
      </c>
      <c r="I683" s="15" t="s">
        <v>43</v>
      </c>
      <c r="J683" s="15" t="s">
        <v>2749</v>
      </c>
      <c r="K683" s="15" t="s">
        <v>2751</v>
      </c>
      <c r="L683" s="15" t="s">
        <v>384</v>
      </c>
    </row>
    <row r="684" ht="56.25" customHeight="1">
      <c r="A684" s="23" t="s">
        <v>3725</v>
      </c>
      <c r="B684" s="15" t="str">
        <f>image("https://storage.googleapis.com/acdb/bottoms/BottomsTexSkirtAlineTweedfrill2.png")</f>
        <v/>
      </c>
      <c r="C684" s="15"/>
      <c r="D684" s="25" t="s">
        <v>28</v>
      </c>
      <c r="E684" s="13">
        <v>1560.0</v>
      </c>
      <c r="F684" s="13">
        <v>390.0</v>
      </c>
      <c r="G684" s="15">
        <v>4428.0</v>
      </c>
      <c r="H684" s="15" t="s">
        <v>38</v>
      </c>
      <c r="I684" s="15" t="s">
        <v>43</v>
      </c>
      <c r="J684" s="15" t="s">
        <v>2749</v>
      </c>
      <c r="K684" s="15" t="s">
        <v>2751</v>
      </c>
      <c r="L684" s="15" t="s">
        <v>384</v>
      </c>
    </row>
    <row r="685" ht="56.25" customHeight="1">
      <c r="A685" s="23" t="s">
        <v>3725</v>
      </c>
      <c r="B685" s="15" t="str">
        <f>image("https://storage.googleapis.com/acdb/bottoms/BottomsTexSkirtAlineTweedfrill3.png")</f>
        <v/>
      </c>
      <c r="C685" s="15"/>
      <c r="D685" s="25" t="s">
        <v>28</v>
      </c>
      <c r="E685" s="13">
        <v>1560.0</v>
      </c>
      <c r="F685" s="13">
        <v>390.0</v>
      </c>
      <c r="G685" s="15">
        <v>4428.0</v>
      </c>
      <c r="H685" s="15" t="s">
        <v>38</v>
      </c>
      <c r="I685" s="15" t="s">
        <v>43</v>
      </c>
      <c r="J685" s="15" t="s">
        <v>2749</v>
      </c>
      <c r="K685" s="15" t="s">
        <v>2751</v>
      </c>
      <c r="L685" s="15" t="s">
        <v>384</v>
      </c>
    </row>
    <row r="686" ht="56.25" customHeight="1">
      <c r="A686" s="23" t="s">
        <v>3730</v>
      </c>
      <c r="B686" s="15" t="str">
        <f>image("https://storage.googleapis.com/acdb/bottoms/BottomsTexPantsWideTweed0.png")</f>
        <v/>
      </c>
      <c r="C686" s="15"/>
      <c r="D686" s="25" t="s">
        <v>28</v>
      </c>
      <c r="E686" s="13">
        <v>1300.0</v>
      </c>
      <c r="F686" s="13">
        <v>325.0</v>
      </c>
      <c r="G686" s="15">
        <v>3708.0</v>
      </c>
      <c r="H686" s="15" t="s">
        <v>38</v>
      </c>
      <c r="I686" s="15" t="s">
        <v>43</v>
      </c>
      <c r="J686" s="15" t="s">
        <v>2749</v>
      </c>
      <c r="K686" s="15" t="s">
        <v>2764</v>
      </c>
      <c r="L686" s="15" t="s">
        <v>2744</v>
      </c>
    </row>
    <row r="687" ht="56.25" customHeight="1">
      <c r="A687" s="23" t="s">
        <v>3730</v>
      </c>
      <c r="B687" s="15" t="str">
        <f>image("https://storage.googleapis.com/acdb/bottoms/BottomsTexPantsWideTweed1.png")</f>
        <v/>
      </c>
      <c r="C687" s="15"/>
      <c r="D687" s="25" t="s">
        <v>28</v>
      </c>
      <c r="E687" s="13">
        <v>1300.0</v>
      </c>
      <c r="F687" s="13">
        <v>325.0</v>
      </c>
      <c r="G687" s="15">
        <v>3708.0</v>
      </c>
      <c r="H687" s="15" t="s">
        <v>38</v>
      </c>
      <c r="I687" s="15" t="s">
        <v>43</v>
      </c>
      <c r="J687" s="15" t="s">
        <v>2749</v>
      </c>
      <c r="K687" s="15" t="s">
        <v>2764</v>
      </c>
      <c r="L687" s="15" t="s">
        <v>2744</v>
      </c>
    </row>
    <row r="688" ht="56.25" customHeight="1">
      <c r="A688" s="23" t="s">
        <v>3730</v>
      </c>
      <c r="B688" s="15" t="str">
        <f>image("https://storage.googleapis.com/acdb/bottoms/BottomsTexPantsWideTweed2.png")</f>
        <v/>
      </c>
      <c r="C688" s="15"/>
      <c r="D688" s="25" t="s">
        <v>28</v>
      </c>
      <c r="E688" s="13">
        <v>1300.0</v>
      </c>
      <c r="F688" s="13">
        <v>325.0</v>
      </c>
      <c r="G688" s="15">
        <v>3708.0</v>
      </c>
      <c r="H688" s="15" t="s">
        <v>38</v>
      </c>
      <c r="I688" s="15" t="s">
        <v>43</v>
      </c>
      <c r="J688" s="15" t="s">
        <v>2749</v>
      </c>
      <c r="K688" s="15" t="s">
        <v>2764</v>
      </c>
      <c r="L688" s="15" t="s">
        <v>2744</v>
      </c>
    </row>
    <row r="689" ht="56.25" customHeight="1">
      <c r="A689" s="23" t="s">
        <v>3730</v>
      </c>
      <c r="B689" s="15" t="str">
        <f>image("https://storage.googleapis.com/acdb/bottoms/BottomsTexPantsWideTweed3.png")</f>
        <v/>
      </c>
      <c r="C689" s="15"/>
      <c r="D689" s="25" t="s">
        <v>28</v>
      </c>
      <c r="E689" s="13">
        <v>1300.0</v>
      </c>
      <c r="F689" s="13">
        <v>325.0</v>
      </c>
      <c r="G689" s="15">
        <v>3708.0</v>
      </c>
      <c r="H689" s="15" t="s">
        <v>38</v>
      </c>
      <c r="I689" s="15" t="s">
        <v>43</v>
      </c>
      <c r="J689" s="15" t="s">
        <v>2749</v>
      </c>
      <c r="K689" s="15" t="s">
        <v>2764</v>
      </c>
      <c r="L689" s="15" t="s">
        <v>2744</v>
      </c>
    </row>
    <row r="690" ht="56.25" customHeight="1">
      <c r="A690" s="23" t="s">
        <v>3730</v>
      </c>
      <c r="B690" s="15" t="str">
        <f>image("https://storage.googleapis.com/acdb/bottoms/BottomsTexPantsWideTweed4.png")</f>
        <v/>
      </c>
      <c r="C690" s="15"/>
      <c r="D690" s="25" t="s">
        <v>28</v>
      </c>
      <c r="E690" s="13">
        <v>1300.0</v>
      </c>
      <c r="F690" s="13">
        <v>325.0</v>
      </c>
      <c r="G690" s="15">
        <v>3708.0</v>
      </c>
      <c r="H690" s="15" t="s">
        <v>38</v>
      </c>
      <c r="I690" s="15" t="s">
        <v>43</v>
      </c>
      <c r="J690" s="15" t="s">
        <v>2749</v>
      </c>
      <c r="K690" s="15" t="s">
        <v>2764</v>
      </c>
      <c r="L690" s="15" t="s">
        <v>2744</v>
      </c>
    </row>
    <row r="691" ht="56.25" customHeight="1">
      <c r="A691" s="23" t="s">
        <v>3730</v>
      </c>
      <c r="B691" s="15" t="str">
        <f>image("https://storage.googleapis.com/acdb/bottoms/BottomsTexPantsWideTweed5.png")</f>
        <v/>
      </c>
      <c r="C691" s="15"/>
      <c r="D691" s="25" t="s">
        <v>28</v>
      </c>
      <c r="E691" s="13">
        <v>1300.0</v>
      </c>
      <c r="F691" s="13">
        <v>325.0</v>
      </c>
      <c r="G691" s="15">
        <v>3708.0</v>
      </c>
      <c r="H691" s="15" t="s">
        <v>38</v>
      </c>
      <c r="I691" s="15" t="s">
        <v>43</v>
      </c>
      <c r="J691" s="15" t="s">
        <v>2749</v>
      </c>
      <c r="K691" s="15" t="s">
        <v>2764</v>
      </c>
      <c r="L691" s="15" t="s">
        <v>2744</v>
      </c>
    </row>
    <row r="692" ht="56.25" customHeight="1">
      <c r="A692" s="23" t="s">
        <v>3737</v>
      </c>
      <c r="B692" s="15" t="str">
        <f>image("https://storage.googleapis.com/acdb/bottoms/BottomsTexSkirtAlineTweed0.png")</f>
        <v/>
      </c>
      <c r="C692" s="15"/>
      <c r="D692" s="25" t="s">
        <v>28</v>
      </c>
      <c r="E692" s="13">
        <v>1300.0</v>
      </c>
      <c r="F692" s="13">
        <v>325.0</v>
      </c>
      <c r="G692" s="15">
        <v>3297.0</v>
      </c>
      <c r="H692" s="15" t="s">
        <v>38</v>
      </c>
      <c r="I692" s="15" t="s">
        <v>43</v>
      </c>
      <c r="J692" s="15" t="s">
        <v>2749</v>
      </c>
      <c r="K692" s="15" t="s">
        <v>2764</v>
      </c>
      <c r="L692" s="15" t="s">
        <v>2744</v>
      </c>
    </row>
    <row r="693" ht="56.25" customHeight="1">
      <c r="A693" s="23" t="s">
        <v>3737</v>
      </c>
      <c r="B693" s="15" t="str">
        <f>image("https://storage.googleapis.com/acdb/bottoms/BottomsTexSkirtAlineTweed1.png")</f>
        <v/>
      </c>
      <c r="C693" s="15"/>
      <c r="D693" s="25" t="s">
        <v>28</v>
      </c>
      <c r="E693" s="13">
        <v>1300.0</v>
      </c>
      <c r="F693" s="13">
        <v>325.0</v>
      </c>
      <c r="G693" s="15">
        <v>3297.0</v>
      </c>
      <c r="H693" s="15" t="s">
        <v>38</v>
      </c>
      <c r="I693" s="15" t="s">
        <v>43</v>
      </c>
      <c r="J693" s="15" t="s">
        <v>2749</v>
      </c>
      <c r="K693" s="15" t="s">
        <v>2764</v>
      </c>
      <c r="L693" s="15" t="s">
        <v>2744</v>
      </c>
    </row>
    <row r="694" ht="56.25" customHeight="1">
      <c r="A694" s="23" t="s">
        <v>3737</v>
      </c>
      <c r="B694" s="15" t="str">
        <f>image("https://storage.googleapis.com/acdb/bottoms/BottomsTexSkirtAlineTweed2.png")</f>
        <v/>
      </c>
      <c r="C694" s="15"/>
      <c r="D694" s="25" t="s">
        <v>28</v>
      </c>
      <c r="E694" s="13">
        <v>1300.0</v>
      </c>
      <c r="F694" s="13">
        <v>325.0</v>
      </c>
      <c r="G694" s="15">
        <v>3297.0</v>
      </c>
      <c r="H694" s="15" t="s">
        <v>38</v>
      </c>
      <c r="I694" s="15" t="s">
        <v>43</v>
      </c>
      <c r="J694" s="15" t="s">
        <v>2749</v>
      </c>
      <c r="K694" s="15" t="s">
        <v>2764</v>
      </c>
      <c r="L694" s="15" t="s">
        <v>2744</v>
      </c>
    </row>
    <row r="695" ht="56.25" customHeight="1">
      <c r="A695" s="23" t="s">
        <v>3744</v>
      </c>
      <c r="B695" s="15" t="str">
        <f>image("https://storage.googleapis.com/acdb/bottoms/BottomsTexPantsNormalTwotoneBlue.png")</f>
        <v/>
      </c>
      <c r="C695" s="15"/>
      <c r="D695" s="25" t="s">
        <v>28</v>
      </c>
      <c r="E695" s="13">
        <v>880.0</v>
      </c>
      <c r="F695" s="13">
        <v>220.0</v>
      </c>
      <c r="G695" s="15">
        <v>3317.0</v>
      </c>
      <c r="H695" s="15" t="s">
        <v>38</v>
      </c>
      <c r="I695" s="15" t="s">
        <v>43</v>
      </c>
      <c r="J695" s="15" t="s">
        <v>2749</v>
      </c>
      <c r="K695" s="15" t="s">
        <v>2764</v>
      </c>
      <c r="L695" s="15" t="s">
        <v>2793</v>
      </c>
    </row>
    <row r="696" ht="56.25" customHeight="1">
      <c r="A696" s="23" t="s">
        <v>3744</v>
      </c>
      <c r="B696" s="15" t="str">
        <f>image("https://storage.googleapis.com/acdb/bottoms/BottomsTexPantsNormalTwotoneMonochrome.png")</f>
        <v/>
      </c>
      <c r="C696" s="15"/>
      <c r="D696" s="25" t="s">
        <v>28</v>
      </c>
      <c r="E696" s="13">
        <v>880.0</v>
      </c>
      <c r="F696" s="13">
        <v>220.0</v>
      </c>
      <c r="G696" s="15">
        <v>3317.0</v>
      </c>
      <c r="H696" s="15" t="s">
        <v>38</v>
      </c>
      <c r="I696" s="15" t="s">
        <v>43</v>
      </c>
      <c r="J696" s="15" t="s">
        <v>2749</v>
      </c>
      <c r="K696" s="15" t="s">
        <v>2764</v>
      </c>
      <c r="L696" s="15" t="s">
        <v>2793</v>
      </c>
    </row>
    <row r="697" ht="56.25" customHeight="1">
      <c r="A697" s="23" t="s">
        <v>3744</v>
      </c>
      <c r="B697" s="15" t="str">
        <f>image("https://storage.googleapis.com/acdb/bottoms/BottomsTexPantsNormalTwotoneRed.png")</f>
        <v/>
      </c>
      <c r="C697" s="15"/>
      <c r="D697" s="25" t="s">
        <v>28</v>
      </c>
      <c r="E697" s="13">
        <v>880.0</v>
      </c>
      <c r="F697" s="13">
        <v>220.0</v>
      </c>
      <c r="G697" s="15">
        <v>3317.0</v>
      </c>
      <c r="H697" s="15" t="s">
        <v>38</v>
      </c>
      <c r="I697" s="15" t="s">
        <v>43</v>
      </c>
      <c r="J697" s="15" t="s">
        <v>2749</v>
      </c>
      <c r="K697" s="15" t="s">
        <v>2764</v>
      </c>
      <c r="L697" s="15" t="s">
        <v>2793</v>
      </c>
    </row>
    <row r="698" ht="56.25" customHeight="1">
      <c r="A698" s="23" t="s">
        <v>3744</v>
      </c>
      <c r="B698" s="15" t="str">
        <f>image("https://storage.googleapis.com/acdb/bottoms/BottomsTexPantsNormalTwotoneYellow.png")</f>
        <v/>
      </c>
      <c r="C698" s="15"/>
      <c r="D698" s="25" t="s">
        <v>28</v>
      </c>
      <c r="E698" s="13">
        <v>880.0</v>
      </c>
      <c r="F698" s="13">
        <v>220.0</v>
      </c>
      <c r="G698" s="15">
        <v>3317.0</v>
      </c>
      <c r="H698" s="15" t="s">
        <v>38</v>
      </c>
      <c r="I698" s="15" t="s">
        <v>43</v>
      </c>
      <c r="J698" s="15" t="s">
        <v>2749</v>
      </c>
      <c r="K698" s="15" t="s">
        <v>2764</v>
      </c>
      <c r="L698" s="15" t="s">
        <v>2793</v>
      </c>
    </row>
    <row r="699" ht="56.25" customHeight="1">
      <c r="A699" s="23" t="s">
        <v>3751</v>
      </c>
      <c r="B699" s="15" t="str">
        <f>image("https://storage.googleapis.com/acdb/bottoms/BottomsTexSkirtAlineShabby0.png")</f>
        <v/>
      </c>
      <c r="C699" s="15"/>
      <c r="D699" s="25" t="s">
        <v>28</v>
      </c>
      <c r="E699" s="13">
        <v>1320.0</v>
      </c>
      <c r="F699" s="13">
        <v>330.0</v>
      </c>
      <c r="G699" s="15">
        <v>5449.0</v>
      </c>
      <c r="H699" s="15" t="s">
        <v>38</v>
      </c>
      <c r="I699" s="15" t="s">
        <v>43</v>
      </c>
      <c r="J699" s="15" t="s">
        <v>2749</v>
      </c>
      <c r="K699" s="15" t="s">
        <v>2764</v>
      </c>
      <c r="L699" s="15" t="s">
        <v>2744</v>
      </c>
    </row>
    <row r="700" ht="56.25" customHeight="1">
      <c r="A700" s="23" t="s">
        <v>3751</v>
      </c>
      <c r="B700" s="15" t="str">
        <f>image("https://storage.googleapis.com/acdb/bottoms/BottomsTexSkirtAlineShabby1.png")</f>
        <v/>
      </c>
      <c r="C700" s="15"/>
      <c r="D700" s="25" t="s">
        <v>28</v>
      </c>
      <c r="E700" s="13">
        <v>1320.0</v>
      </c>
      <c r="F700" s="13">
        <v>330.0</v>
      </c>
      <c r="G700" s="15">
        <v>5449.0</v>
      </c>
      <c r="H700" s="15" t="s">
        <v>38</v>
      </c>
      <c r="I700" s="15" t="s">
        <v>43</v>
      </c>
      <c r="J700" s="15" t="s">
        <v>2749</v>
      </c>
      <c r="K700" s="15" t="s">
        <v>2764</v>
      </c>
      <c r="L700" s="15" t="s">
        <v>2744</v>
      </c>
    </row>
    <row r="701" ht="56.25" customHeight="1">
      <c r="A701" s="23" t="s">
        <v>3751</v>
      </c>
      <c r="B701" s="15" t="str">
        <f>image("https://storage.googleapis.com/acdb/bottoms/BottomsTexSkirtAlineShabby2.png")</f>
        <v/>
      </c>
      <c r="C701" s="15"/>
      <c r="D701" s="25" t="s">
        <v>28</v>
      </c>
      <c r="E701" s="13">
        <v>1320.0</v>
      </c>
      <c r="F701" s="13">
        <v>330.0</v>
      </c>
      <c r="G701" s="15">
        <v>5449.0</v>
      </c>
      <c r="H701" s="15" t="s">
        <v>38</v>
      </c>
      <c r="I701" s="15" t="s">
        <v>43</v>
      </c>
      <c r="J701" s="15" t="s">
        <v>2749</v>
      </c>
      <c r="K701" s="15" t="s">
        <v>2764</v>
      </c>
      <c r="L701" s="15" t="s">
        <v>2744</v>
      </c>
    </row>
    <row r="702" ht="56.25" customHeight="1">
      <c r="A702" s="23" t="s">
        <v>3756</v>
      </c>
      <c r="B702" s="15" t="str">
        <f>image("https://storage.googleapis.com/acdb/bottoms/BottomsTexPantsHalfEthnic0.png")</f>
        <v/>
      </c>
      <c r="C702" s="15"/>
      <c r="D702" s="25" t="s">
        <v>28</v>
      </c>
      <c r="E702" s="13">
        <v>980.0</v>
      </c>
      <c r="F702" s="13">
        <v>245.0</v>
      </c>
      <c r="G702" s="15">
        <v>4487.0</v>
      </c>
      <c r="H702" s="15" t="s">
        <v>38</v>
      </c>
      <c r="I702" s="15" t="s">
        <v>43</v>
      </c>
      <c r="J702" s="15" t="s">
        <v>2749</v>
      </c>
      <c r="K702" s="15" t="s">
        <v>2764</v>
      </c>
      <c r="L702" s="15" t="s">
        <v>2793</v>
      </c>
    </row>
    <row r="703" ht="56.25" customHeight="1">
      <c r="A703" s="23" t="s">
        <v>3756</v>
      </c>
      <c r="B703" s="15" t="str">
        <f>image("https://storage.googleapis.com/acdb/bottoms/BottomsTexPantsHalfEthnic1.png")</f>
        <v/>
      </c>
      <c r="C703" s="15"/>
      <c r="D703" s="25" t="s">
        <v>28</v>
      </c>
      <c r="E703" s="13">
        <v>980.0</v>
      </c>
      <c r="F703" s="13">
        <v>245.0</v>
      </c>
      <c r="G703" s="15">
        <v>4487.0</v>
      </c>
      <c r="H703" s="15" t="s">
        <v>38</v>
      </c>
      <c r="I703" s="15" t="s">
        <v>43</v>
      </c>
      <c r="J703" s="15" t="s">
        <v>2749</v>
      </c>
      <c r="K703" s="15" t="s">
        <v>2764</v>
      </c>
      <c r="L703" s="15" t="s">
        <v>2793</v>
      </c>
    </row>
    <row r="704" ht="56.25" customHeight="1">
      <c r="A704" s="23" t="s">
        <v>3756</v>
      </c>
      <c r="B704" s="15" t="str">
        <f>image("https://storage.googleapis.com/acdb/bottoms/BottomsTexPantsHalfEthnic2.png")</f>
        <v/>
      </c>
      <c r="C704" s="15"/>
      <c r="D704" s="25" t="s">
        <v>28</v>
      </c>
      <c r="E704" s="13">
        <v>980.0</v>
      </c>
      <c r="F704" s="13">
        <v>245.0</v>
      </c>
      <c r="G704" s="15">
        <v>4487.0</v>
      </c>
      <c r="H704" s="15" t="s">
        <v>38</v>
      </c>
      <c r="I704" s="15" t="s">
        <v>43</v>
      </c>
      <c r="J704" s="15" t="s">
        <v>2749</v>
      </c>
      <c r="K704" s="15" t="s">
        <v>2764</v>
      </c>
      <c r="L704" s="15" t="s">
        <v>2793</v>
      </c>
    </row>
    <row r="705" ht="56.25" customHeight="1">
      <c r="A705" s="23" t="s">
        <v>3756</v>
      </c>
      <c r="B705" s="15" t="str">
        <f>image("https://storage.googleapis.com/acdb/bottoms/BottomsTexPantsHalfEthnic3.png")</f>
        <v/>
      </c>
      <c r="C705" s="15"/>
      <c r="D705" s="25" t="s">
        <v>28</v>
      </c>
      <c r="E705" s="13">
        <v>980.0</v>
      </c>
      <c r="F705" s="13">
        <v>245.0</v>
      </c>
      <c r="G705" s="15">
        <v>4487.0</v>
      </c>
      <c r="H705" s="15" t="s">
        <v>38</v>
      </c>
      <c r="I705" s="15" t="s">
        <v>43</v>
      </c>
      <c r="J705" s="15" t="s">
        <v>2749</v>
      </c>
      <c r="K705" s="15" t="s">
        <v>2764</v>
      </c>
      <c r="L705" s="15" t="s">
        <v>2793</v>
      </c>
    </row>
    <row r="706" ht="56.25" customHeight="1">
      <c r="A706" s="23" t="s">
        <v>3756</v>
      </c>
      <c r="B706" s="15" t="str">
        <f>image("https://storage.googleapis.com/acdb/bottoms/BottomsTexPantsHalfEthnic4.png")</f>
        <v/>
      </c>
      <c r="C706" s="15"/>
      <c r="D706" s="25" t="s">
        <v>28</v>
      </c>
      <c r="E706" s="13">
        <v>980.0</v>
      </c>
      <c r="F706" s="13">
        <v>245.0</v>
      </c>
      <c r="G706" s="15">
        <v>4487.0</v>
      </c>
      <c r="H706" s="15" t="s">
        <v>38</v>
      </c>
      <c r="I706" s="15" t="s">
        <v>43</v>
      </c>
      <c r="J706" s="15" t="s">
        <v>2749</v>
      </c>
      <c r="K706" s="15" t="s">
        <v>2764</v>
      </c>
      <c r="L706" s="15" t="s">
        <v>2793</v>
      </c>
    </row>
    <row r="707" ht="56.25" customHeight="1">
      <c r="A707" s="23" t="s">
        <v>3762</v>
      </c>
      <c r="B707" s="15" t="str">
        <f>image("https://storage.googleapis.com/acdb/bottoms/BottomsTexPantsWideCowboyBrown.png")</f>
        <v/>
      </c>
      <c r="C707" s="15"/>
      <c r="D707" s="25" t="s">
        <v>28</v>
      </c>
      <c r="E707" s="13">
        <v>1540.0</v>
      </c>
      <c r="F707" s="13">
        <v>385.0</v>
      </c>
      <c r="G707" s="15">
        <v>3463.0</v>
      </c>
      <c r="H707" s="15" t="s">
        <v>38</v>
      </c>
      <c r="I707" s="15" t="s">
        <v>43</v>
      </c>
      <c r="J707" s="15" t="s">
        <v>2749</v>
      </c>
      <c r="K707" s="15" t="s">
        <v>2751</v>
      </c>
      <c r="L707" s="15" t="s">
        <v>2793</v>
      </c>
    </row>
    <row r="708" ht="56.25" customHeight="1">
      <c r="A708" s="23" t="s">
        <v>3764</v>
      </c>
      <c r="B708" s="15" t="str">
        <f>image("https://storage.googleapis.com/acdb/bottoms/BottomsTexPantsWideChino0.png")</f>
        <v/>
      </c>
      <c r="C708" s="15"/>
      <c r="D708" s="25" t="s">
        <v>28</v>
      </c>
      <c r="E708" s="13">
        <v>1100.0</v>
      </c>
      <c r="F708" s="13">
        <v>275.0</v>
      </c>
      <c r="G708" s="15">
        <v>5285.0</v>
      </c>
      <c r="H708" s="15" t="s">
        <v>38</v>
      </c>
      <c r="I708" s="15" t="s">
        <v>43</v>
      </c>
      <c r="J708" s="15" t="s">
        <v>2749</v>
      </c>
      <c r="K708" s="15" t="s">
        <v>2764</v>
      </c>
      <c r="L708" s="15" t="s">
        <v>2744</v>
      </c>
    </row>
    <row r="709" ht="56.25" customHeight="1">
      <c r="A709" s="23" t="s">
        <v>3764</v>
      </c>
      <c r="B709" s="15" t="str">
        <f>image("https://storage.googleapis.com/acdb/bottoms/BottomsTexPantsWideChino1.png")</f>
        <v/>
      </c>
      <c r="C709" s="15"/>
      <c r="D709" s="25" t="s">
        <v>28</v>
      </c>
      <c r="E709" s="13">
        <v>1100.0</v>
      </c>
      <c r="F709" s="13">
        <v>275.0</v>
      </c>
      <c r="G709" s="15">
        <v>5285.0</v>
      </c>
      <c r="H709" s="15" t="s">
        <v>38</v>
      </c>
      <c r="I709" s="15" t="s">
        <v>43</v>
      </c>
      <c r="J709" s="15" t="s">
        <v>2749</v>
      </c>
      <c r="K709" s="15" t="s">
        <v>2764</v>
      </c>
      <c r="L709" s="15" t="s">
        <v>2744</v>
      </c>
    </row>
    <row r="710" ht="56.25" customHeight="1">
      <c r="A710" s="23" t="s">
        <v>3764</v>
      </c>
      <c r="B710" s="15" t="str">
        <f>image("https://storage.googleapis.com/acdb/bottoms/BottomsTexPantsWideChino2.png")</f>
        <v/>
      </c>
      <c r="C710" s="15"/>
      <c r="D710" s="25" t="s">
        <v>28</v>
      </c>
      <c r="E710" s="13">
        <v>1100.0</v>
      </c>
      <c r="F710" s="13">
        <v>275.0</v>
      </c>
      <c r="G710" s="15">
        <v>5285.0</v>
      </c>
      <c r="H710" s="15" t="s">
        <v>38</v>
      </c>
      <c r="I710" s="15" t="s">
        <v>43</v>
      </c>
      <c r="J710" s="15" t="s">
        <v>2749</v>
      </c>
      <c r="K710" s="15" t="s">
        <v>2764</v>
      </c>
      <c r="L710" s="15" t="s">
        <v>2744</v>
      </c>
    </row>
    <row r="711" ht="56.25" customHeight="1">
      <c r="A711" s="23" t="s">
        <v>3764</v>
      </c>
      <c r="B711" s="15" t="str">
        <f>image("https://storage.googleapis.com/acdb/bottoms/BottomsTexPantsWideChino3.png")</f>
        <v/>
      </c>
      <c r="C711" s="15"/>
      <c r="D711" s="25" t="s">
        <v>28</v>
      </c>
      <c r="E711" s="13">
        <v>1100.0</v>
      </c>
      <c r="F711" s="13">
        <v>275.0</v>
      </c>
      <c r="G711" s="15">
        <v>5285.0</v>
      </c>
      <c r="H711" s="15" t="s">
        <v>38</v>
      </c>
      <c r="I711" s="15" t="s">
        <v>43</v>
      </c>
      <c r="J711" s="15" t="s">
        <v>2749</v>
      </c>
      <c r="K711" s="15" t="s">
        <v>2764</v>
      </c>
      <c r="L711" s="15" t="s">
        <v>2744</v>
      </c>
    </row>
    <row r="712" ht="56.25" customHeight="1">
      <c r="A712" s="23" t="s">
        <v>3764</v>
      </c>
      <c r="B712" s="15" t="str">
        <f>image("https://storage.googleapis.com/acdb/bottoms/BottomsTexPantsWideChino4.png")</f>
        <v/>
      </c>
      <c r="C712" s="15"/>
      <c r="D712" s="25" t="s">
        <v>28</v>
      </c>
      <c r="E712" s="13">
        <v>1100.0</v>
      </c>
      <c r="F712" s="13">
        <v>275.0</v>
      </c>
      <c r="G712" s="15">
        <v>5285.0</v>
      </c>
      <c r="H712" s="15" t="s">
        <v>38</v>
      </c>
      <c r="I712" s="15" t="s">
        <v>43</v>
      </c>
      <c r="J712" s="15" t="s">
        <v>2749</v>
      </c>
      <c r="K712" s="15" t="s">
        <v>2764</v>
      </c>
      <c r="L712" s="15" t="s">
        <v>2744</v>
      </c>
    </row>
    <row r="713" ht="56.25" customHeight="1">
      <c r="A713" s="23" t="s">
        <v>3771</v>
      </c>
      <c r="B713" s="15" t="str">
        <f>image("https://storage.googleapis.com/acdb/bottoms/BottomsTexPantsNormalTraining0.png")</f>
        <v/>
      </c>
      <c r="C713" s="15"/>
      <c r="D713" s="25" t="s">
        <v>28</v>
      </c>
      <c r="E713" s="13">
        <v>880.0</v>
      </c>
      <c r="F713" s="13">
        <v>220.0</v>
      </c>
      <c r="G713" s="15">
        <v>5721.0</v>
      </c>
      <c r="H713" s="15" t="s">
        <v>38</v>
      </c>
      <c r="I713" s="15" t="s">
        <v>43</v>
      </c>
      <c r="J713" s="15" t="s">
        <v>2749</v>
      </c>
      <c r="K713" s="15" t="s">
        <v>2764</v>
      </c>
      <c r="L713" s="15" t="s">
        <v>2793</v>
      </c>
    </row>
    <row r="714" ht="56.25" customHeight="1">
      <c r="A714" s="23" t="s">
        <v>3771</v>
      </c>
      <c r="B714" s="15" t="str">
        <f>image("https://storage.googleapis.com/acdb/bottoms/BottomsTexPantsNormalTraining1.png")</f>
        <v/>
      </c>
      <c r="C714" s="15"/>
      <c r="D714" s="25" t="s">
        <v>28</v>
      </c>
      <c r="E714" s="13">
        <v>880.0</v>
      </c>
      <c r="F714" s="13">
        <v>220.0</v>
      </c>
      <c r="G714" s="15">
        <v>5721.0</v>
      </c>
      <c r="H714" s="15" t="s">
        <v>38</v>
      </c>
      <c r="I714" s="15" t="s">
        <v>43</v>
      </c>
      <c r="J714" s="15" t="s">
        <v>2749</v>
      </c>
      <c r="K714" s="15" t="s">
        <v>2764</v>
      </c>
      <c r="L714" s="15" t="s">
        <v>2793</v>
      </c>
    </row>
    <row r="715" ht="56.25" customHeight="1">
      <c r="A715" s="23" t="s">
        <v>3771</v>
      </c>
      <c r="B715" s="15" t="str">
        <f>image("https://storage.googleapis.com/acdb/bottoms/BottomsTexPantsNormalTraining2.png")</f>
        <v/>
      </c>
      <c r="C715" s="15"/>
      <c r="D715" s="25" t="s">
        <v>28</v>
      </c>
      <c r="E715" s="13">
        <v>880.0</v>
      </c>
      <c r="F715" s="13">
        <v>220.0</v>
      </c>
      <c r="G715" s="15">
        <v>5721.0</v>
      </c>
      <c r="H715" s="15" t="s">
        <v>38</v>
      </c>
      <c r="I715" s="15" t="s">
        <v>43</v>
      </c>
      <c r="J715" s="15" t="s">
        <v>2749</v>
      </c>
      <c r="K715" s="15" t="s">
        <v>2764</v>
      </c>
      <c r="L715" s="15" t="s">
        <v>2793</v>
      </c>
    </row>
    <row r="716" ht="56.25" customHeight="1">
      <c r="A716" s="23" t="s">
        <v>3775</v>
      </c>
      <c r="B716" s="15" t="str">
        <f>image("https://storage.googleapis.com/acdb/bottoms/BottomsTexPantsHotDenimholes0.png")</f>
        <v/>
      </c>
      <c r="C716" s="15"/>
      <c r="D716" s="25" t="s">
        <v>28</v>
      </c>
      <c r="E716" s="13">
        <v>960.0</v>
      </c>
      <c r="F716" s="13">
        <v>240.0</v>
      </c>
      <c r="G716" s="15">
        <v>4251.0</v>
      </c>
      <c r="H716" s="15" t="s">
        <v>38</v>
      </c>
      <c r="I716" s="15" t="s">
        <v>43</v>
      </c>
      <c r="J716" s="15" t="s">
        <v>2749</v>
      </c>
      <c r="K716" s="15" t="s">
        <v>2764</v>
      </c>
      <c r="L716" s="15" t="s">
        <v>2756</v>
      </c>
    </row>
    <row r="717" ht="56.25" customHeight="1">
      <c r="A717" s="23" t="s">
        <v>3775</v>
      </c>
      <c r="B717" s="15" t="str">
        <f>image("https://storage.googleapis.com/acdb/bottoms/BottomsTexPantsHotDenimholes1.png")</f>
        <v/>
      </c>
      <c r="C717" s="15"/>
      <c r="D717" s="25" t="s">
        <v>28</v>
      </c>
      <c r="E717" s="13">
        <v>960.0</v>
      </c>
      <c r="F717" s="13">
        <v>240.0</v>
      </c>
      <c r="G717" s="15">
        <v>4251.0</v>
      </c>
      <c r="H717" s="15" t="s">
        <v>38</v>
      </c>
      <c r="I717" s="15" t="s">
        <v>43</v>
      </c>
      <c r="J717" s="15" t="s">
        <v>2749</v>
      </c>
      <c r="K717" s="15" t="s">
        <v>2764</v>
      </c>
      <c r="L717" s="15" t="s">
        <v>2756</v>
      </c>
    </row>
    <row r="718" ht="56.25" customHeight="1">
      <c r="A718" s="23" t="s">
        <v>3775</v>
      </c>
      <c r="B718" s="15" t="str">
        <f>image("https://storage.googleapis.com/acdb/bottoms/BottomsTexPantsHotDenimholes2.png")</f>
        <v/>
      </c>
      <c r="C718" s="15"/>
      <c r="D718" s="25" t="s">
        <v>28</v>
      </c>
      <c r="E718" s="13">
        <v>960.0</v>
      </c>
      <c r="F718" s="13">
        <v>240.0</v>
      </c>
      <c r="G718" s="15">
        <v>4251.0</v>
      </c>
      <c r="H718" s="15" t="s">
        <v>38</v>
      </c>
      <c r="I718" s="15" t="s">
        <v>43</v>
      </c>
      <c r="J718" s="15" t="s">
        <v>2749</v>
      </c>
      <c r="K718" s="15" t="s">
        <v>2764</v>
      </c>
      <c r="L718" s="15" t="s">
        <v>2756</v>
      </c>
    </row>
    <row r="719" ht="56.25" customHeight="1">
      <c r="A719" s="23" t="s">
        <v>3775</v>
      </c>
      <c r="B719" s="15" t="str">
        <f>image("https://storage.googleapis.com/acdb/bottoms/BottomsTexPantsHotDenimholes3.png")</f>
        <v/>
      </c>
      <c r="C719" s="15"/>
      <c r="D719" s="25" t="s">
        <v>28</v>
      </c>
      <c r="E719" s="13">
        <v>960.0</v>
      </c>
      <c r="F719" s="13">
        <v>240.0</v>
      </c>
      <c r="G719" s="15">
        <v>4251.0</v>
      </c>
      <c r="H719" s="15" t="s">
        <v>38</v>
      </c>
      <c r="I719" s="15" t="s">
        <v>43</v>
      </c>
      <c r="J719" s="15" t="s">
        <v>2749</v>
      </c>
      <c r="K719" s="15" t="s">
        <v>2764</v>
      </c>
      <c r="L719" s="15" t="s">
        <v>2756</v>
      </c>
    </row>
    <row r="720" ht="56.25" customHeight="1">
      <c r="A720" s="23" t="s">
        <v>3781</v>
      </c>
      <c r="B720" s="15" t="str">
        <f>image("https://storage.googleapis.com/acdb/bottoms/BottomsTexPantsNormalDenimholes0.png")</f>
        <v/>
      </c>
      <c r="C720" s="15"/>
      <c r="D720" s="25" t="s">
        <v>28</v>
      </c>
      <c r="E720" s="13">
        <v>1100.0</v>
      </c>
      <c r="F720" s="13">
        <v>275.0</v>
      </c>
      <c r="G720" s="15">
        <v>3313.0</v>
      </c>
      <c r="H720" s="15" t="s">
        <v>38</v>
      </c>
      <c r="I720" s="15" t="s">
        <v>43</v>
      </c>
      <c r="J720" s="15" t="s">
        <v>2749</v>
      </c>
      <c r="K720" s="15" t="s">
        <v>2764</v>
      </c>
      <c r="L720" s="15" t="s">
        <v>2756</v>
      </c>
    </row>
    <row r="721" ht="56.25" customHeight="1">
      <c r="A721" s="23" t="s">
        <v>3781</v>
      </c>
      <c r="B721" s="15" t="str">
        <f>image("https://storage.googleapis.com/acdb/bottoms/BottomsTexPantsNormalDenimholes1.png")</f>
        <v/>
      </c>
      <c r="C721" s="15"/>
      <c r="D721" s="25" t="s">
        <v>28</v>
      </c>
      <c r="E721" s="13">
        <v>1100.0</v>
      </c>
      <c r="F721" s="13">
        <v>275.0</v>
      </c>
      <c r="G721" s="15">
        <v>3313.0</v>
      </c>
      <c r="H721" s="15" t="s">
        <v>38</v>
      </c>
      <c r="I721" s="15" t="s">
        <v>43</v>
      </c>
      <c r="J721" s="15" t="s">
        <v>2749</v>
      </c>
      <c r="K721" s="15" t="s">
        <v>2764</v>
      </c>
      <c r="L721" s="15" t="s">
        <v>2756</v>
      </c>
    </row>
    <row r="722" ht="56.25" customHeight="1">
      <c r="A722" s="23" t="s">
        <v>3781</v>
      </c>
      <c r="B722" s="15" t="str">
        <f>image("https://storage.googleapis.com/acdb/bottoms/BottomsTexPantsNormalDenimholes2.png")</f>
        <v/>
      </c>
      <c r="C722" s="15"/>
      <c r="D722" s="25" t="s">
        <v>28</v>
      </c>
      <c r="E722" s="13">
        <v>1100.0</v>
      </c>
      <c r="F722" s="13">
        <v>275.0</v>
      </c>
      <c r="G722" s="15">
        <v>3313.0</v>
      </c>
      <c r="H722" s="15" t="s">
        <v>38</v>
      </c>
      <c r="I722" s="15" t="s">
        <v>43</v>
      </c>
      <c r="J722" s="15" t="s">
        <v>2749</v>
      </c>
      <c r="K722" s="15" t="s">
        <v>2764</v>
      </c>
      <c r="L722" s="15" t="s">
        <v>2756</v>
      </c>
    </row>
    <row r="723" ht="56.25" customHeight="1">
      <c r="A723" s="23" t="s">
        <v>3781</v>
      </c>
      <c r="B723" s="15" t="str">
        <f>image("https://storage.googleapis.com/acdb/bottoms/BottomsTexPantsNormalDenimholes3.png")</f>
        <v/>
      </c>
      <c r="C723" s="15"/>
      <c r="D723" s="25" t="s">
        <v>28</v>
      </c>
      <c r="E723" s="13">
        <v>1100.0</v>
      </c>
      <c r="F723" s="13">
        <v>275.0</v>
      </c>
      <c r="G723" s="15">
        <v>3313.0</v>
      </c>
      <c r="H723" s="15" t="s">
        <v>38</v>
      </c>
      <c r="I723" s="15" t="s">
        <v>43</v>
      </c>
      <c r="J723" s="15" t="s">
        <v>2749</v>
      </c>
      <c r="K723" s="15" t="s">
        <v>2764</v>
      </c>
      <c r="L723" s="15" t="s">
        <v>2756</v>
      </c>
    </row>
    <row r="724" ht="56.25" customHeight="1">
      <c r="A724" s="23" t="s">
        <v>3787</v>
      </c>
      <c r="B724" s="15" t="str">
        <f>image("https://storage.googleapis.com/acdb/bottoms/BottomsTexPantsHotYacht0.png")</f>
        <v/>
      </c>
      <c r="C724" s="15"/>
      <c r="D724" s="25" t="s">
        <v>28</v>
      </c>
      <c r="E724" s="13">
        <v>840.0</v>
      </c>
      <c r="F724" s="13">
        <v>210.0</v>
      </c>
      <c r="G724" s="15">
        <v>4370.0</v>
      </c>
      <c r="H724" s="15" t="s">
        <v>38</v>
      </c>
      <c r="I724" s="15" t="s">
        <v>43</v>
      </c>
      <c r="J724" s="15" t="s">
        <v>2749</v>
      </c>
      <c r="K724" s="15" t="s">
        <v>2764</v>
      </c>
      <c r="L724" s="15" t="s">
        <v>384</v>
      </c>
    </row>
    <row r="725" ht="56.25" customHeight="1">
      <c r="A725" s="23" t="s">
        <v>3787</v>
      </c>
      <c r="B725" s="15" t="str">
        <f>image("https://storage.googleapis.com/acdb/bottoms/BottomsTexPantsHotYacht1.png")</f>
        <v/>
      </c>
      <c r="C725" s="15"/>
      <c r="D725" s="25" t="s">
        <v>28</v>
      </c>
      <c r="E725" s="13">
        <v>840.0</v>
      </c>
      <c r="F725" s="13">
        <v>210.0</v>
      </c>
      <c r="G725" s="15">
        <v>4370.0</v>
      </c>
      <c r="H725" s="15" t="s">
        <v>38</v>
      </c>
      <c r="I725" s="15" t="s">
        <v>43</v>
      </c>
      <c r="J725" s="15" t="s">
        <v>2749</v>
      </c>
      <c r="K725" s="15" t="s">
        <v>2764</v>
      </c>
      <c r="L725" s="15" t="s">
        <v>384</v>
      </c>
    </row>
    <row r="726" ht="56.25" customHeight="1">
      <c r="A726" s="23" t="s">
        <v>3787</v>
      </c>
      <c r="B726" s="15" t="str">
        <f>image("https://storage.googleapis.com/acdb/bottoms/BottomsTexPantsHotYacht2.png")</f>
        <v/>
      </c>
      <c r="C726" s="15"/>
      <c r="D726" s="25" t="s">
        <v>28</v>
      </c>
      <c r="E726" s="13">
        <v>840.0</v>
      </c>
      <c r="F726" s="13">
        <v>210.0</v>
      </c>
      <c r="G726" s="15">
        <v>4370.0</v>
      </c>
      <c r="H726" s="15" t="s">
        <v>38</v>
      </c>
      <c r="I726" s="15" t="s">
        <v>43</v>
      </c>
      <c r="J726" s="15" t="s">
        <v>2749</v>
      </c>
      <c r="K726" s="15" t="s">
        <v>2764</v>
      </c>
      <c r="L726" s="15" t="s">
        <v>384</v>
      </c>
    </row>
    <row r="727" ht="56.25" customHeight="1">
      <c r="A727" s="23" t="s">
        <v>3787</v>
      </c>
      <c r="B727" s="15" t="str">
        <f>image("https://storage.googleapis.com/acdb/bottoms/BottomsTexPantsHotYacht3.png")</f>
        <v/>
      </c>
      <c r="C727" s="15"/>
      <c r="D727" s="25" t="s">
        <v>28</v>
      </c>
      <c r="E727" s="13">
        <v>840.0</v>
      </c>
      <c r="F727" s="13">
        <v>210.0</v>
      </c>
      <c r="G727" s="15">
        <v>4370.0</v>
      </c>
      <c r="H727" s="15" t="s">
        <v>38</v>
      </c>
      <c r="I727" s="15" t="s">
        <v>43</v>
      </c>
      <c r="J727" s="15" t="s">
        <v>2749</v>
      </c>
      <c r="K727" s="15" t="s">
        <v>2764</v>
      </c>
      <c r="L727" s="15" t="s">
        <v>384</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7.43"/>
    <col customWidth="1" min="2" max="2" width="10.86"/>
    <col customWidth="1" min="3" max="3" width="9.14"/>
    <col customWidth="1" min="4" max="4" width="4.29"/>
    <col customWidth="1" min="5" max="5" width="7.14"/>
    <col customWidth="1" min="6" max="6" width="6.14"/>
    <col customWidth="1" min="7" max="7" width="10.57"/>
    <col customWidth="1" min="8" max="9" width="9.43"/>
    <col customWidth="1" min="10" max="10" width="5.14"/>
    <col customWidth="1" min="11" max="11" width="10.57"/>
    <col customWidth="1" min="12" max="12" width="11.29"/>
    <col customWidth="1" min="13" max="13" width="55.43"/>
    <col customWidth="1" min="14" max="14" width="9.14"/>
  </cols>
  <sheetData>
    <row r="1" ht="21.0" customHeight="1">
      <c r="A1" s="47" t="s">
        <v>0</v>
      </c>
      <c r="B1" s="3" t="s">
        <v>1</v>
      </c>
      <c r="C1" s="54" t="s">
        <v>3</v>
      </c>
      <c r="D1" s="55" t="s">
        <v>4</v>
      </c>
      <c r="E1" s="1" t="s">
        <v>6</v>
      </c>
      <c r="F1" s="1" t="s">
        <v>7</v>
      </c>
      <c r="G1" s="7" t="s">
        <v>8</v>
      </c>
      <c r="H1" s="7" t="s">
        <v>1602</v>
      </c>
      <c r="I1" s="7" t="s">
        <v>1603</v>
      </c>
      <c r="J1" s="7" t="s">
        <v>12</v>
      </c>
      <c r="K1" s="7" t="s">
        <v>18</v>
      </c>
      <c r="L1" s="7" t="s">
        <v>19</v>
      </c>
      <c r="M1" s="7" t="s">
        <v>20</v>
      </c>
      <c r="N1" s="7" t="s">
        <v>2739</v>
      </c>
    </row>
    <row r="2" ht="56.25" customHeight="1">
      <c r="A2" s="13" t="s">
        <v>3365</v>
      </c>
      <c r="B2" s="15" t="str">
        <f>IMAGE("https://i.imgur.com/MCJetHC.png")</f>
        <v/>
      </c>
      <c r="C2" s="17" t="str">
        <f>HYPERLINK("https://imgur.com/a/kR9oY8z","Yes")</f>
        <v>Yes</v>
      </c>
      <c r="D2" s="15" t="s">
        <v>28</v>
      </c>
      <c r="E2" s="13">
        <v>2080.0</v>
      </c>
      <c r="F2" s="13">
        <v>520.0</v>
      </c>
      <c r="G2" s="15">
        <v>2699.0</v>
      </c>
      <c r="H2" s="15" t="s">
        <v>112</v>
      </c>
      <c r="I2" s="15" t="s">
        <v>82</v>
      </c>
      <c r="J2" s="15" t="s">
        <v>38</v>
      </c>
      <c r="K2" s="15" t="s">
        <v>43</v>
      </c>
      <c r="L2" s="15" t="s">
        <v>2749</v>
      </c>
      <c r="M2" s="15" t="s">
        <v>2751</v>
      </c>
      <c r="N2" s="15" t="s">
        <v>2863</v>
      </c>
    </row>
    <row r="3" ht="56.25" customHeight="1">
      <c r="A3" s="13" t="s">
        <v>3367</v>
      </c>
      <c r="B3" s="15" t="str">
        <f>IMAGE("https://i.imgur.com/eRwg0Kf.png")</f>
        <v/>
      </c>
      <c r="C3" s="15" t="s">
        <v>40</v>
      </c>
      <c r="D3" s="15" t="s">
        <v>28</v>
      </c>
      <c r="E3" s="13">
        <v>2800.0</v>
      </c>
      <c r="F3" s="13">
        <v>700.0</v>
      </c>
      <c r="G3" s="15">
        <v>3686.0</v>
      </c>
      <c r="H3" s="15" t="s">
        <v>1614</v>
      </c>
      <c r="I3" s="15" t="s">
        <v>82</v>
      </c>
      <c r="J3" s="15" t="s">
        <v>38</v>
      </c>
      <c r="K3" s="15" t="s">
        <v>43</v>
      </c>
      <c r="L3" s="15" t="s">
        <v>2749</v>
      </c>
      <c r="M3" s="15" t="s">
        <v>2751</v>
      </c>
      <c r="N3" s="15" t="s">
        <v>384</v>
      </c>
    </row>
    <row r="4" ht="56.25" customHeight="1">
      <c r="A4" s="13" t="s">
        <v>3368</v>
      </c>
      <c r="B4" s="15" t="str">
        <f>IMAGE("https://i.imgur.com/JNZXRsW.png")</f>
        <v/>
      </c>
      <c r="C4" s="17" t="str">
        <f>HYPERLINK("https://imgur.com/a/fyDQozW","Yes")</f>
        <v>Yes</v>
      </c>
      <c r="D4" s="15" t="s">
        <v>28</v>
      </c>
      <c r="E4" s="13">
        <v>2520.0</v>
      </c>
      <c r="F4" s="13">
        <v>630.0</v>
      </c>
      <c r="G4" s="15">
        <v>3168.0</v>
      </c>
      <c r="H4" s="15" t="s">
        <v>369</v>
      </c>
      <c r="I4" s="15" t="s">
        <v>82</v>
      </c>
      <c r="J4" s="15" t="s">
        <v>38</v>
      </c>
      <c r="K4" s="15" t="s">
        <v>43</v>
      </c>
      <c r="L4" s="15" t="s">
        <v>2749</v>
      </c>
      <c r="M4" s="15" t="s">
        <v>2751</v>
      </c>
      <c r="N4" s="15" t="s">
        <v>384</v>
      </c>
    </row>
    <row r="5" ht="56.25" customHeight="1">
      <c r="A5" s="13" t="s">
        <v>3369</v>
      </c>
      <c r="B5" s="15" t="str">
        <f>IMAGE("https://i.imgur.com/AJvgW3w.png")</f>
        <v/>
      </c>
      <c r="C5" s="17" t="str">
        <f>HYPERLINK("https://imgur.com/a/TJtFpEW","Yes")</f>
        <v>Yes</v>
      </c>
      <c r="D5" s="15" t="s">
        <v>28</v>
      </c>
      <c r="E5" s="13">
        <v>2520.0</v>
      </c>
      <c r="F5" s="13">
        <v>630.0</v>
      </c>
      <c r="G5" s="15">
        <v>4443.0</v>
      </c>
      <c r="H5" s="15" t="s">
        <v>369</v>
      </c>
      <c r="I5" s="15" t="s">
        <v>82</v>
      </c>
      <c r="J5" s="15" t="s">
        <v>38</v>
      </c>
      <c r="K5" s="15" t="s">
        <v>43</v>
      </c>
      <c r="L5" s="15" t="s">
        <v>2749</v>
      </c>
      <c r="M5" s="15" t="s">
        <v>2751</v>
      </c>
      <c r="N5" s="15" t="s">
        <v>2863</v>
      </c>
    </row>
    <row r="6" ht="56.25" customHeight="1">
      <c r="A6" s="13" t="s">
        <v>3370</v>
      </c>
      <c r="B6" s="15" t="str">
        <f>IMAGE("https://i.imgur.com/elRaUAD.png")</f>
        <v/>
      </c>
      <c r="C6" s="17" t="str">
        <f>HYPERLINK("https://imgur.com/a/IWRdcWF","Yes")</f>
        <v>Yes</v>
      </c>
      <c r="D6" s="15" t="s">
        <v>28</v>
      </c>
      <c r="E6" s="13">
        <v>3640.0</v>
      </c>
      <c r="F6" s="13">
        <v>910.0</v>
      </c>
      <c r="G6" s="15">
        <v>5518.0</v>
      </c>
      <c r="H6" s="15" t="s">
        <v>1614</v>
      </c>
      <c r="I6" s="15" t="s">
        <v>112</v>
      </c>
      <c r="J6" s="15" t="s">
        <v>38</v>
      </c>
      <c r="K6" s="15" t="s">
        <v>43</v>
      </c>
      <c r="L6" s="15" t="s">
        <v>2749</v>
      </c>
      <c r="M6" s="15" t="s">
        <v>2751</v>
      </c>
      <c r="N6" s="15" t="s">
        <v>2863</v>
      </c>
    </row>
    <row r="7" ht="56.25" customHeight="1">
      <c r="A7" s="13" t="s">
        <v>3372</v>
      </c>
      <c r="B7" s="15" t="str">
        <f>IMAGE("https://i.imgur.com/tW6Fzgo.png")</f>
        <v/>
      </c>
      <c r="C7" s="17" t="str">
        <f>HYPERLINK("https://imgur.com/a/CJyRsXH","Yes")</f>
        <v>Yes</v>
      </c>
      <c r="D7" s="15" t="s">
        <v>28</v>
      </c>
      <c r="E7" s="13">
        <v>2520.0</v>
      </c>
      <c r="F7" s="13">
        <v>630.0</v>
      </c>
      <c r="G7" s="15">
        <v>5519.0</v>
      </c>
      <c r="H7" s="15" t="s">
        <v>369</v>
      </c>
      <c r="I7" s="15" t="s">
        <v>208</v>
      </c>
      <c r="J7" s="15" t="s">
        <v>38</v>
      </c>
      <c r="K7" s="15" t="s">
        <v>43</v>
      </c>
      <c r="L7" s="15" t="s">
        <v>2749</v>
      </c>
      <c r="M7" s="15" t="s">
        <v>2751</v>
      </c>
      <c r="N7" s="15" t="s">
        <v>2863</v>
      </c>
    </row>
    <row r="8" ht="56.25" customHeight="1">
      <c r="A8" s="13" t="s">
        <v>3373</v>
      </c>
      <c r="B8" s="15" t="str">
        <f>IMAGE("https://i.imgur.com/CYS92hD.png")</f>
        <v/>
      </c>
      <c r="C8" s="17" t="str">
        <f>HYPERLINK("https://imgur.com/a/6Ewa0Fg","Yes")</f>
        <v>Yes</v>
      </c>
      <c r="D8" s="15" t="s">
        <v>28</v>
      </c>
      <c r="E8" s="13">
        <v>2520.0</v>
      </c>
      <c r="F8" s="13">
        <v>630.0</v>
      </c>
      <c r="G8" s="15">
        <v>3493.0</v>
      </c>
      <c r="H8" s="15" t="s">
        <v>82</v>
      </c>
      <c r="I8" s="15" t="s">
        <v>82</v>
      </c>
      <c r="J8" s="15" t="s">
        <v>38</v>
      </c>
      <c r="K8" s="15" t="s">
        <v>43</v>
      </c>
      <c r="L8" s="15" t="s">
        <v>2749</v>
      </c>
      <c r="M8" s="15" t="s">
        <v>2751</v>
      </c>
      <c r="N8" s="15" t="s">
        <v>2863</v>
      </c>
    </row>
    <row r="9" ht="56.25" customHeight="1">
      <c r="A9" s="13" t="s">
        <v>3375</v>
      </c>
      <c r="B9" s="15" t="str">
        <f>IMAGE("https://i.imgur.com/FkeSuLf.png")</f>
        <v/>
      </c>
      <c r="C9" s="15" t="s">
        <v>40</v>
      </c>
      <c r="D9" s="25" t="s">
        <v>50</v>
      </c>
      <c r="E9" s="24" t="s">
        <v>51</v>
      </c>
      <c r="F9" s="13">
        <v>1600.0</v>
      </c>
      <c r="G9" s="15">
        <v>9836.0</v>
      </c>
      <c r="H9" s="15" t="s">
        <v>211</v>
      </c>
      <c r="I9" s="15" t="s">
        <v>208</v>
      </c>
      <c r="J9" s="15" t="s">
        <v>38</v>
      </c>
      <c r="K9" s="15" t="s">
        <v>54</v>
      </c>
      <c r="L9" s="15" t="s">
        <v>55</v>
      </c>
      <c r="M9" s="15"/>
      <c r="N9" s="15" t="s">
        <v>384</v>
      </c>
    </row>
    <row r="10" ht="56.25" customHeight="1">
      <c r="A10" s="13" t="s">
        <v>3376</v>
      </c>
      <c r="B10" s="15" t="str">
        <f>IMAGE("https://i.imgur.com/9v75zZ2.png")</f>
        <v/>
      </c>
      <c r="C10" s="17" t="str">
        <f>HYPERLINK("https://imgur.com/a/KV8pfKJ","Yes")</f>
        <v>Yes</v>
      </c>
      <c r="D10" s="15" t="s">
        <v>28</v>
      </c>
      <c r="E10" s="13">
        <v>2500.0</v>
      </c>
      <c r="F10" s="13">
        <v>625.0</v>
      </c>
      <c r="G10" s="15">
        <v>5135.0</v>
      </c>
      <c r="H10" s="15" t="s">
        <v>94</v>
      </c>
      <c r="I10" s="15" t="s">
        <v>112</v>
      </c>
      <c r="J10" s="15" t="s">
        <v>38</v>
      </c>
      <c r="K10" s="15" t="s">
        <v>43</v>
      </c>
      <c r="L10" s="15" t="s">
        <v>2749</v>
      </c>
      <c r="M10" s="15" t="s">
        <v>2751</v>
      </c>
      <c r="N10" s="15" t="s">
        <v>2756</v>
      </c>
    </row>
    <row r="11" ht="56.25" customHeight="1">
      <c r="A11" s="13" t="s">
        <v>3377</v>
      </c>
      <c r="B11" s="15" t="str">
        <f>IMAGE("https://i.imgur.com/PL85FYM.png")</f>
        <v/>
      </c>
      <c r="C11" s="17" t="str">
        <f>HYPERLINK("https://imgur.com/a/d1lYg5Y","Yes")</f>
        <v>Yes</v>
      </c>
      <c r="D11" s="15" t="s">
        <v>28</v>
      </c>
      <c r="E11" s="13">
        <v>2520.0</v>
      </c>
      <c r="F11" s="13">
        <v>630.0</v>
      </c>
      <c r="G11" s="15">
        <v>10907.0</v>
      </c>
      <c r="H11" s="15" t="s">
        <v>112</v>
      </c>
      <c r="I11" s="15" t="s">
        <v>1608</v>
      </c>
      <c r="J11" s="15" t="s">
        <v>38</v>
      </c>
      <c r="K11" s="15" t="s">
        <v>43</v>
      </c>
      <c r="L11" s="15" t="s">
        <v>2749</v>
      </c>
      <c r="M11" s="15" t="s">
        <v>2751</v>
      </c>
      <c r="N11" s="15" t="s">
        <v>2756</v>
      </c>
    </row>
    <row r="12" ht="56.25" customHeight="1">
      <c r="A12" s="13" t="s">
        <v>3379</v>
      </c>
      <c r="B12" s="15" t="str">
        <f>IMAGE("https://i.imgur.com/YDp9v9u.png")</f>
        <v/>
      </c>
      <c r="C12" s="17" t="str">
        <f>HYPERLINK("https://imgur.com/a/80JId8o","Yes")</f>
        <v>Yes</v>
      </c>
      <c r="D12" s="15" t="s">
        <v>28</v>
      </c>
      <c r="E12" s="13">
        <v>1920.0</v>
      </c>
      <c r="F12" s="13">
        <v>480.0</v>
      </c>
      <c r="G12" s="15">
        <v>4470.0</v>
      </c>
      <c r="H12" s="15" t="s">
        <v>1614</v>
      </c>
      <c r="I12" s="15" t="s">
        <v>1614</v>
      </c>
      <c r="J12" s="15" t="s">
        <v>38</v>
      </c>
      <c r="K12" s="15" t="s">
        <v>43</v>
      </c>
      <c r="L12" s="15" t="s">
        <v>2749</v>
      </c>
      <c r="M12" s="15" t="s">
        <v>2751</v>
      </c>
      <c r="N12" s="15" t="s">
        <v>384</v>
      </c>
    </row>
    <row r="13" ht="56.25" customHeight="1">
      <c r="A13" s="13" t="s">
        <v>3380</v>
      </c>
      <c r="B13" s="61" t="str">
        <f>IMAGE("https://i.imgur.com/KGGuI9l.png")</f>
        <v/>
      </c>
      <c r="C13" s="17" t="str">
        <f>HYPERLINK("https://imgur.com/a/Jc8cXOn","Yes")</f>
        <v>Yes</v>
      </c>
      <c r="D13" s="15" t="s">
        <v>28</v>
      </c>
      <c r="E13" s="13">
        <v>1700.0</v>
      </c>
      <c r="F13" s="13">
        <v>425.0</v>
      </c>
      <c r="G13" s="15">
        <v>5644.0</v>
      </c>
      <c r="H13" s="15" t="s">
        <v>211</v>
      </c>
      <c r="I13" s="15" t="s">
        <v>211</v>
      </c>
      <c r="J13" s="15" t="s">
        <v>38</v>
      </c>
      <c r="K13" s="15" t="s">
        <v>43</v>
      </c>
      <c r="L13" s="15" t="s">
        <v>2749</v>
      </c>
      <c r="M13" s="15" t="s">
        <v>2751</v>
      </c>
      <c r="N13" s="15" t="s">
        <v>384</v>
      </c>
    </row>
    <row r="14" ht="56.25" customHeight="1">
      <c r="A14" s="13" t="s">
        <v>3382</v>
      </c>
      <c r="B14" s="15" t="str">
        <f>IMAGE("https://i.imgur.com/ZEoVlIW.png")</f>
        <v/>
      </c>
      <c r="C14" s="17" t="str">
        <f>HYPERLINK("https://imgur.com/a/LcbjzFy","Yes")</f>
        <v>Yes</v>
      </c>
      <c r="D14" s="15" t="s">
        <v>28</v>
      </c>
      <c r="E14" s="13">
        <v>2520.0</v>
      </c>
      <c r="F14" s="13">
        <v>630.0</v>
      </c>
      <c r="G14" s="15">
        <v>5818.0</v>
      </c>
      <c r="H14" s="15" t="s">
        <v>112</v>
      </c>
      <c r="I14" s="15" t="s">
        <v>1614</v>
      </c>
      <c r="J14" s="15" t="s">
        <v>38</v>
      </c>
      <c r="K14" s="15" t="s">
        <v>43</v>
      </c>
      <c r="L14" s="15" t="s">
        <v>2749</v>
      </c>
      <c r="M14" s="15" t="s">
        <v>2751</v>
      </c>
      <c r="N14" s="15" t="s">
        <v>2863</v>
      </c>
    </row>
    <row r="15" ht="56.25" customHeight="1">
      <c r="A15" s="13" t="s">
        <v>3383</v>
      </c>
      <c r="B15" s="15" t="str">
        <f>IMAGE("https://i.imgur.com/hFvgJ5N.png")</f>
        <v/>
      </c>
      <c r="C15" s="17" t="str">
        <f>HYPERLINK("https://imgur.com/a/IEJjrXQ","Yes")</f>
        <v>Yes</v>
      </c>
      <c r="D15" s="15" t="s">
        <v>28</v>
      </c>
      <c r="E15" s="13">
        <v>2880.0</v>
      </c>
      <c r="F15" s="13">
        <v>720.0</v>
      </c>
      <c r="G15" s="15">
        <v>3166.0</v>
      </c>
      <c r="H15" s="15" t="s">
        <v>107</v>
      </c>
      <c r="I15" s="15" t="s">
        <v>211</v>
      </c>
      <c r="J15" s="15" t="s">
        <v>38</v>
      </c>
      <c r="K15" s="15" t="s">
        <v>43</v>
      </c>
      <c r="L15" s="15" t="s">
        <v>2749</v>
      </c>
      <c r="M15" s="15" t="s">
        <v>2751</v>
      </c>
      <c r="N15" s="15" t="s">
        <v>384</v>
      </c>
    </row>
    <row r="16" ht="56.25" customHeight="1">
      <c r="A16" s="13" t="s">
        <v>3386</v>
      </c>
      <c r="B16" s="15" t="str">
        <f>IMAGE("https://i.imgur.com/EkuGUle.png")</f>
        <v/>
      </c>
      <c r="C16" s="17" t="str">
        <f>HYPERLINK("https://imgur.com/a/dfCrL1h","Yes")</f>
        <v>Yes</v>
      </c>
      <c r="D16" s="15" t="s">
        <v>28</v>
      </c>
      <c r="E16" s="13">
        <v>1540.0</v>
      </c>
      <c r="F16" s="13">
        <v>385.0</v>
      </c>
      <c r="G16" s="15">
        <v>4606.0</v>
      </c>
      <c r="H16" s="15" t="s">
        <v>369</v>
      </c>
      <c r="I16" s="15" t="s">
        <v>369</v>
      </c>
      <c r="J16" s="15" t="s">
        <v>38</v>
      </c>
      <c r="K16" s="15" t="s">
        <v>43</v>
      </c>
      <c r="L16" s="15" t="s">
        <v>2749</v>
      </c>
      <c r="M16" s="15" t="s">
        <v>2751</v>
      </c>
      <c r="N16" s="15" t="s">
        <v>2744</v>
      </c>
    </row>
    <row r="17" ht="56.25" customHeight="1">
      <c r="A17" s="13" t="s">
        <v>3387</v>
      </c>
      <c r="B17" s="15" t="str">
        <f>IMAGE("https://i.imgur.com/9i1UADe.png")</f>
        <v/>
      </c>
      <c r="C17" s="17" t="str">
        <f>HYPERLINK("https://imgur.com/a/Emb1fCy","Yes")</f>
        <v>Yes</v>
      </c>
      <c r="D17" s="15" t="s">
        <v>28</v>
      </c>
      <c r="E17" s="13">
        <v>1760.0</v>
      </c>
      <c r="F17" s="13">
        <v>440.0</v>
      </c>
      <c r="G17" s="15">
        <v>3611.0</v>
      </c>
      <c r="H17" s="15" t="s">
        <v>208</v>
      </c>
      <c r="I17" s="15" t="s">
        <v>82</v>
      </c>
      <c r="J17" s="15" t="s">
        <v>38</v>
      </c>
      <c r="K17" s="15" t="s">
        <v>43</v>
      </c>
      <c r="L17" s="15" t="s">
        <v>2749</v>
      </c>
      <c r="M17" s="15" t="s">
        <v>2751</v>
      </c>
      <c r="N17" s="15" t="s">
        <v>2793</v>
      </c>
    </row>
    <row r="18" ht="56.25" customHeight="1">
      <c r="A18" s="13" t="s">
        <v>3388</v>
      </c>
      <c r="B18" s="15" t="str">
        <f>IMAGE("https://i.imgur.com/fLM6XgW.png")</f>
        <v/>
      </c>
      <c r="C18" s="17" t="str">
        <f>HYPERLINK("https://imgur.com/a/XGpw5JF","Yes")</f>
        <v>Yes</v>
      </c>
      <c r="D18" s="15" t="s">
        <v>28</v>
      </c>
      <c r="E18" s="13">
        <v>630.0</v>
      </c>
      <c r="F18" s="13">
        <v>157.0</v>
      </c>
      <c r="G18" s="15">
        <v>4361.0</v>
      </c>
      <c r="H18" s="15" t="s">
        <v>107</v>
      </c>
      <c r="I18" s="15" t="s">
        <v>107</v>
      </c>
      <c r="J18" s="15" t="s">
        <v>38</v>
      </c>
      <c r="K18" s="15" t="s">
        <v>43</v>
      </c>
      <c r="L18" s="15" t="s">
        <v>2749</v>
      </c>
      <c r="M18" s="15" t="s">
        <v>2751</v>
      </c>
      <c r="N18" s="15" t="s">
        <v>2744</v>
      </c>
    </row>
    <row r="19" ht="56.25" customHeight="1">
      <c r="A19" s="13" t="s">
        <v>3390</v>
      </c>
      <c r="B19" s="15" t="str">
        <f>IMAGE("https://i.imgur.com/N4zG84X.png")</f>
        <v/>
      </c>
      <c r="C19" s="17" t="str">
        <f>HYPERLINK("https://imgur.com/a/9MZyYpQ","Yes")</f>
        <v>Yes</v>
      </c>
      <c r="D19" s="15" t="s">
        <v>28</v>
      </c>
      <c r="E19" s="13">
        <v>720.0</v>
      </c>
      <c r="F19" s="13">
        <v>180.0</v>
      </c>
      <c r="G19" s="15">
        <v>3165.0</v>
      </c>
      <c r="H19" s="15" t="s">
        <v>82</v>
      </c>
      <c r="I19" s="15" t="s">
        <v>82</v>
      </c>
      <c r="J19" s="15" t="s">
        <v>38</v>
      </c>
      <c r="K19" s="15" t="s">
        <v>43</v>
      </c>
      <c r="L19" s="15" t="s">
        <v>2749</v>
      </c>
      <c r="M19" s="15" t="s">
        <v>2751</v>
      </c>
      <c r="N19" s="15" t="s">
        <v>2744</v>
      </c>
    </row>
    <row r="20" ht="56.25" customHeight="1">
      <c r="A20" s="13" t="s">
        <v>3392</v>
      </c>
      <c r="B20" s="15" t="str">
        <f>IMAGE("https://i.imgur.com/0FCa9U1.png")</f>
        <v/>
      </c>
      <c r="C20" s="17" t="str">
        <f>HYPERLINK("https://imgur.com/a/5n7dFhg","Yes")</f>
        <v>Yes</v>
      </c>
      <c r="D20" s="15" t="s">
        <v>28</v>
      </c>
      <c r="E20" s="13">
        <v>1700.0</v>
      </c>
      <c r="F20" s="13">
        <v>425.0</v>
      </c>
      <c r="G20" s="15">
        <v>3417.0</v>
      </c>
      <c r="H20" s="15" t="s">
        <v>118</v>
      </c>
      <c r="I20" s="15" t="s">
        <v>1608</v>
      </c>
      <c r="J20" s="15" t="s">
        <v>38</v>
      </c>
      <c r="K20" s="15" t="s">
        <v>43</v>
      </c>
      <c r="L20" s="15" t="s">
        <v>2749</v>
      </c>
      <c r="M20" s="15" t="s">
        <v>2751</v>
      </c>
      <c r="N20" s="15" t="s">
        <v>384</v>
      </c>
    </row>
    <row r="21" ht="56.25" customHeight="1">
      <c r="A21" s="13" t="s">
        <v>3393</v>
      </c>
      <c r="B21" s="15" t="str">
        <f>IMAGE("https://i.imgur.com/MTRNRrK.png")</f>
        <v/>
      </c>
      <c r="C21" s="17" t="str">
        <f>HYPERLINK("https://imgur.com/a/pjjz6El","Yes")</f>
        <v>Yes</v>
      </c>
      <c r="D21" s="15" t="s">
        <v>28</v>
      </c>
      <c r="E21" s="13">
        <v>2520.0</v>
      </c>
      <c r="F21" s="13">
        <v>630.0</v>
      </c>
      <c r="G21" s="15">
        <v>10906.0</v>
      </c>
      <c r="H21" s="15" t="s">
        <v>208</v>
      </c>
      <c r="I21" s="15" t="s">
        <v>118</v>
      </c>
      <c r="J21" s="15" t="s">
        <v>38</v>
      </c>
      <c r="K21" s="15" t="s">
        <v>43</v>
      </c>
      <c r="L21" s="15" t="s">
        <v>2749</v>
      </c>
      <c r="M21" s="15" t="s">
        <v>2751</v>
      </c>
      <c r="N21" s="15" t="s">
        <v>852</v>
      </c>
    </row>
    <row r="22" ht="56.25" customHeight="1">
      <c r="A22" s="13" t="s">
        <v>3395</v>
      </c>
      <c r="B22" s="15" t="str">
        <f>IMAGE("https://i.imgur.com/ur2bCB7.png")</f>
        <v/>
      </c>
      <c r="C22" s="17" t="str">
        <f>HYPERLINK("https://imgur.com/a/SMs0ve1","Yes")</f>
        <v>Yes</v>
      </c>
      <c r="D22" s="15" t="s">
        <v>28</v>
      </c>
      <c r="E22" s="13">
        <v>2000.0</v>
      </c>
      <c r="F22" s="13">
        <v>500.0</v>
      </c>
      <c r="G22" s="15">
        <v>3054.0</v>
      </c>
      <c r="H22" s="15" t="s">
        <v>1614</v>
      </c>
      <c r="I22" s="15" t="s">
        <v>82</v>
      </c>
      <c r="J22" s="15" t="s">
        <v>38</v>
      </c>
      <c r="K22" s="15" t="s">
        <v>43</v>
      </c>
      <c r="L22" s="15" t="s">
        <v>2749</v>
      </c>
      <c r="M22" s="15" t="s">
        <v>2764</v>
      </c>
      <c r="N22" s="15" t="s">
        <v>384</v>
      </c>
    </row>
    <row r="23" ht="56.25" customHeight="1">
      <c r="A23" s="13" t="s">
        <v>3396</v>
      </c>
      <c r="B23" s="15" t="str">
        <f>IMAGE("https://i.imgur.com/nrAo6TZ.png")</f>
        <v/>
      </c>
      <c r="C23" s="15" t="s">
        <v>40</v>
      </c>
      <c r="D23" s="15" t="s">
        <v>28</v>
      </c>
      <c r="E23" s="13">
        <v>2520.0</v>
      </c>
      <c r="F23" s="13">
        <v>630.0</v>
      </c>
      <c r="G23" s="15">
        <v>10908.0</v>
      </c>
      <c r="H23" s="15" t="s">
        <v>211</v>
      </c>
      <c r="I23" s="15" t="s">
        <v>208</v>
      </c>
      <c r="J23" s="15" t="s">
        <v>38</v>
      </c>
      <c r="K23" s="15" t="s">
        <v>43</v>
      </c>
      <c r="L23" s="15" t="s">
        <v>2749</v>
      </c>
      <c r="M23" s="15" t="s">
        <v>2751</v>
      </c>
      <c r="N23" s="15" t="s">
        <v>2863</v>
      </c>
    </row>
    <row r="24" ht="56.25" customHeight="1">
      <c r="A24" s="13" t="s">
        <v>3398</v>
      </c>
      <c r="B24" s="15" t="str">
        <f>IMAGE("https://i.imgur.com/jKaeCAg.png")</f>
        <v/>
      </c>
      <c r="C24" s="17" t="str">
        <f>HYPERLINK("https://imgur.com/a/L7XGJv4","Yes")</f>
        <v>Yes</v>
      </c>
      <c r="D24" s="15" t="s">
        <v>28</v>
      </c>
      <c r="E24" s="13">
        <v>1500.0</v>
      </c>
      <c r="F24" s="13">
        <v>375.0</v>
      </c>
      <c r="G24" s="15">
        <v>3069.0</v>
      </c>
      <c r="H24" s="15" t="s">
        <v>107</v>
      </c>
      <c r="I24" s="15" t="s">
        <v>82</v>
      </c>
      <c r="J24" s="15" t="s">
        <v>38</v>
      </c>
      <c r="K24" s="15" t="s">
        <v>43</v>
      </c>
      <c r="L24" s="15" t="s">
        <v>2749</v>
      </c>
      <c r="M24" s="15" t="s">
        <v>2764</v>
      </c>
      <c r="N24" s="15" t="s">
        <v>384</v>
      </c>
    </row>
    <row r="25" ht="56.25" customHeight="1">
      <c r="A25" s="13" t="s">
        <v>3401</v>
      </c>
      <c r="B25" s="15" t="str">
        <f>IMAGE("https://i.imgur.com/ljooNlm.png")</f>
        <v/>
      </c>
      <c r="C25" s="17" t="str">
        <f>HYPERLINK("https://imgur.com/a/S6HL66L","Yes")</f>
        <v>Yes</v>
      </c>
      <c r="D25" s="15" t="s">
        <v>28</v>
      </c>
      <c r="E25" s="13">
        <v>3220.0</v>
      </c>
      <c r="F25" s="13">
        <v>805.0</v>
      </c>
      <c r="G25" s="15">
        <v>3572.0</v>
      </c>
      <c r="H25" s="15" t="s">
        <v>107</v>
      </c>
      <c r="I25" s="15" t="s">
        <v>208</v>
      </c>
      <c r="J25" s="15" t="s">
        <v>38</v>
      </c>
      <c r="K25" s="15" t="s">
        <v>43</v>
      </c>
      <c r="L25" s="15" t="s">
        <v>2749</v>
      </c>
      <c r="M25" s="15" t="s">
        <v>2751</v>
      </c>
      <c r="N25" s="15" t="s">
        <v>2863</v>
      </c>
    </row>
    <row r="26" ht="56.25" customHeight="1">
      <c r="A26" s="13" t="s">
        <v>3404</v>
      </c>
      <c r="B26" s="15" t="str">
        <f>IMAGE("https://i.imgur.com/BZTPe77.png")</f>
        <v/>
      </c>
      <c r="C26" s="17" t="str">
        <f>HYPERLINK("https://imgur.com/a/CTGwFSK","Yes")</f>
        <v>Yes</v>
      </c>
      <c r="D26" s="15" t="s">
        <v>28</v>
      </c>
      <c r="E26" s="13">
        <v>1800.0</v>
      </c>
      <c r="F26" s="13">
        <v>450.0</v>
      </c>
      <c r="G26" s="15">
        <v>4604.0</v>
      </c>
      <c r="H26" s="15" t="s">
        <v>369</v>
      </c>
      <c r="I26" s="15" t="s">
        <v>369</v>
      </c>
      <c r="J26" s="15" t="s">
        <v>38</v>
      </c>
      <c r="K26" s="15" t="s">
        <v>43</v>
      </c>
      <c r="L26" s="15" t="s">
        <v>2749</v>
      </c>
      <c r="M26" s="15" t="s">
        <v>2764</v>
      </c>
      <c r="N26" s="15" t="s">
        <v>2744</v>
      </c>
    </row>
    <row r="27" ht="56.25" customHeight="1">
      <c r="A27" s="13" t="s">
        <v>3406</v>
      </c>
      <c r="B27" s="15" t="str">
        <f>IMAGE("https://i.imgur.com/1FS5eyh.png")</f>
        <v/>
      </c>
      <c r="C27" s="17" t="str">
        <f>HYPERLINK("https://imgur.com/a/k15ZgaL","Yes")</f>
        <v>Yes</v>
      </c>
      <c r="D27" s="15" t="s">
        <v>28</v>
      </c>
      <c r="E27" s="13">
        <v>1900.0</v>
      </c>
      <c r="F27" s="13">
        <v>475.0</v>
      </c>
      <c r="G27" s="15">
        <v>4409.0</v>
      </c>
      <c r="H27" s="15" t="s">
        <v>1608</v>
      </c>
      <c r="I27" s="15" t="s">
        <v>208</v>
      </c>
      <c r="J27" s="15" t="s">
        <v>38</v>
      </c>
      <c r="K27" s="15" t="s">
        <v>43</v>
      </c>
      <c r="L27" s="15" t="s">
        <v>2749</v>
      </c>
      <c r="M27" s="15" t="s">
        <v>2764</v>
      </c>
      <c r="N27" s="15" t="s">
        <v>2863</v>
      </c>
    </row>
    <row r="28" ht="56.25" customHeight="1">
      <c r="A28" s="13" t="s">
        <v>3407</v>
      </c>
      <c r="B28" s="15" t="str">
        <f>IMAGE("https://i.imgur.com/1Cwuz98.png")</f>
        <v/>
      </c>
      <c r="C28" s="17" t="str">
        <f>HYPERLINK("https://imgur.com/a/DPHmzCp","Yes")</f>
        <v>Yes</v>
      </c>
      <c r="D28" s="15" t="s">
        <v>28</v>
      </c>
      <c r="E28" s="13">
        <v>1600.0</v>
      </c>
      <c r="F28" s="13">
        <v>400.0</v>
      </c>
      <c r="G28" s="15">
        <v>8190.0</v>
      </c>
      <c r="H28" s="15" t="s">
        <v>112</v>
      </c>
      <c r="I28" s="15" t="s">
        <v>208</v>
      </c>
      <c r="J28" s="15" t="s">
        <v>38</v>
      </c>
      <c r="K28" s="15" t="s">
        <v>43</v>
      </c>
      <c r="L28" s="15" t="s">
        <v>2749</v>
      </c>
      <c r="M28" s="15" t="s">
        <v>2764</v>
      </c>
      <c r="N28" s="15" t="s">
        <v>2793</v>
      </c>
    </row>
    <row r="29" ht="56.25" customHeight="1">
      <c r="A29" s="13" t="s">
        <v>3409</v>
      </c>
      <c r="B29" s="15" t="str">
        <f>IMAGE("https://i.imgur.com/dFolnVl.png")</f>
        <v/>
      </c>
      <c r="C29" s="17" t="str">
        <f>HYPERLINK("https://imgur.com/a/ZA34DwQ","Yes")</f>
        <v>Yes</v>
      </c>
      <c r="D29" s="15" t="s">
        <v>28</v>
      </c>
      <c r="E29" s="13">
        <v>2080.0</v>
      </c>
      <c r="F29" s="13">
        <v>520.0</v>
      </c>
      <c r="G29" s="15">
        <v>4334.0</v>
      </c>
      <c r="H29" s="15" t="s">
        <v>107</v>
      </c>
      <c r="I29" s="15" t="s">
        <v>82</v>
      </c>
      <c r="J29" s="15" t="s">
        <v>38</v>
      </c>
      <c r="K29" s="15" t="s">
        <v>43</v>
      </c>
      <c r="L29" s="15" t="s">
        <v>2749</v>
      </c>
      <c r="M29" s="15" t="s">
        <v>2751</v>
      </c>
      <c r="N29" s="15" t="s">
        <v>384</v>
      </c>
    </row>
    <row r="30" ht="56.25" customHeight="1">
      <c r="A30" s="13" t="s">
        <v>3410</v>
      </c>
      <c r="B30" s="15" t="str">
        <f>IMAGE("https://i.imgur.com/xsZk7yx.png")</f>
        <v/>
      </c>
      <c r="C30" s="15" t="s">
        <v>40</v>
      </c>
      <c r="D30" s="15" t="s">
        <v>28</v>
      </c>
      <c r="E30" s="13">
        <v>1280.0</v>
      </c>
      <c r="F30" s="13">
        <v>320.0</v>
      </c>
      <c r="G30" s="15">
        <v>3609.0</v>
      </c>
      <c r="H30" s="15" t="s">
        <v>99</v>
      </c>
      <c r="I30" s="15" t="s">
        <v>82</v>
      </c>
      <c r="J30" s="15" t="s">
        <v>38</v>
      </c>
      <c r="K30" s="15" t="s">
        <v>43</v>
      </c>
      <c r="L30" s="15" t="s">
        <v>2749</v>
      </c>
      <c r="M30" s="15" t="s">
        <v>2751</v>
      </c>
      <c r="N30" s="15" t="s">
        <v>2756</v>
      </c>
    </row>
    <row r="31" ht="56.25" customHeight="1">
      <c r="A31" s="13" t="s">
        <v>3412</v>
      </c>
      <c r="B31" s="15" t="str">
        <f>IMAGE("https://i.imgur.com/BSnerGu.png")</f>
        <v/>
      </c>
      <c r="C31" s="17" t="str">
        <f>HYPERLINK("https://imgur.com/a/YzoymAI","Yes")</f>
        <v>Yes</v>
      </c>
      <c r="D31" s="15" t="s">
        <v>28</v>
      </c>
      <c r="E31" s="13">
        <v>2300.0</v>
      </c>
      <c r="F31" s="13">
        <v>575.0</v>
      </c>
      <c r="G31" s="15">
        <v>3662.0</v>
      </c>
      <c r="H31" s="15" t="s">
        <v>112</v>
      </c>
      <c r="I31" s="15" t="s">
        <v>82</v>
      </c>
      <c r="J31" s="15" t="s">
        <v>38</v>
      </c>
      <c r="K31" s="15" t="s">
        <v>43</v>
      </c>
      <c r="L31" s="15" t="s">
        <v>2749</v>
      </c>
      <c r="M31" s="15" t="s">
        <v>2751</v>
      </c>
      <c r="N31" s="15" t="s">
        <v>2744</v>
      </c>
    </row>
    <row r="32" ht="56.25" customHeight="1">
      <c r="A32" s="13" t="s">
        <v>3413</v>
      </c>
      <c r="B32" s="15" t="str">
        <f>IMAGE("https://i.imgur.com/Ep3Sxp7.png")</f>
        <v/>
      </c>
      <c r="C32" s="17" t="str">
        <f>HYPERLINK("https://imgur.com/a/LwI5Mfu","Yes")</f>
        <v>Yes</v>
      </c>
      <c r="D32" s="15" t="s">
        <v>28</v>
      </c>
      <c r="E32" s="13">
        <v>1800.0</v>
      </c>
      <c r="F32" s="13">
        <v>450.0</v>
      </c>
      <c r="G32" s="15">
        <v>3146.0</v>
      </c>
      <c r="H32" s="15" t="s">
        <v>107</v>
      </c>
      <c r="I32" s="15" t="s">
        <v>82</v>
      </c>
      <c r="J32" s="15" t="s">
        <v>38</v>
      </c>
      <c r="K32" s="15" t="s">
        <v>43</v>
      </c>
      <c r="L32" s="15" t="s">
        <v>2749</v>
      </c>
      <c r="M32" s="15" t="s">
        <v>2751</v>
      </c>
      <c r="N32" s="15" t="s">
        <v>384</v>
      </c>
    </row>
    <row r="33" ht="56.25" customHeight="1">
      <c r="A33" s="13" t="s">
        <v>3414</v>
      </c>
      <c r="B33" s="15" t="str">
        <f>IMAGE("https://i.imgur.com/TUASzUD.png")</f>
        <v/>
      </c>
      <c r="C33" s="17" t="str">
        <f>HYPERLINK("https://imgur.com/a/NA6yE65","Yes")</f>
        <v>Yes</v>
      </c>
      <c r="D33" s="15" t="s">
        <v>28</v>
      </c>
      <c r="E33" s="13">
        <v>2660.0</v>
      </c>
      <c r="F33" s="13">
        <v>665.0</v>
      </c>
      <c r="G33" s="15">
        <v>6025.0</v>
      </c>
      <c r="H33" s="15" t="s">
        <v>99</v>
      </c>
      <c r="I33" s="15" t="s">
        <v>211</v>
      </c>
      <c r="J33" s="15" t="s">
        <v>38</v>
      </c>
      <c r="K33" s="15" t="s">
        <v>43</v>
      </c>
      <c r="L33" s="15" t="s">
        <v>2749</v>
      </c>
      <c r="M33" s="15" t="s">
        <v>2751</v>
      </c>
      <c r="N33" s="15" t="s">
        <v>2863</v>
      </c>
    </row>
    <row r="34" ht="56.25" customHeight="1">
      <c r="A34" s="13" t="s">
        <v>3417</v>
      </c>
      <c r="B34" s="15" t="str">
        <f>IMAGE("https://i.imgur.com/wvl6Ukc.png")</f>
        <v/>
      </c>
      <c r="C34" s="17" t="str">
        <f>HYPERLINK("https://imgur.com/a/QmcQbQ0","Yes")</f>
        <v>Yes</v>
      </c>
      <c r="D34" s="15" t="s">
        <v>28</v>
      </c>
      <c r="E34" s="13">
        <v>2400.0</v>
      </c>
      <c r="F34" s="13">
        <v>600.0</v>
      </c>
      <c r="G34" s="15">
        <v>4596.0</v>
      </c>
      <c r="H34" s="15" t="s">
        <v>211</v>
      </c>
      <c r="I34" s="15" t="s">
        <v>82</v>
      </c>
      <c r="J34" s="15" t="s">
        <v>38</v>
      </c>
      <c r="K34" s="15" t="s">
        <v>43</v>
      </c>
      <c r="L34" s="15" t="s">
        <v>2749</v>
      </c>
      <c r="M34" s="15" t="s">
        <v>2764</v>
      </c>
      <c r="N34" s="15" t="s">
        <v>2863</v>
      </c>
    </row>
    <row r="35" ht="56.25" customHeight="1">
      <c r="A35" s="13" t="s">
        <v>3419</v>
      </c>
      <c r="B35" s="15" t="str">
        <f>IMAGE("https://i.imgur.com/826DTfS.png")</f>
        <v/>
      </c>
      <c r="C35" s="17" t="str">
        <f>HYPERLINK("https://imgur.com/a/Da5Duqc","Yes")</f>
        <v>Yes</v>
      </c>
      <c r="D35" s="15" t="s">
        <v>28</v>
      </c>
      <c r="E35" s="13">
        <v>2000.0</v>
      </c>
      <c r="F35" s="13">
        <v>500.0</v>
      </c>
      <c r="G35" s="15">
        <v>4342.0</v>
      </c>
      <c r="H35" s="15" t="s">
        <v>112</v>
      </c>
      <c r="I35" s="15" t="s">
        <v>94</v>
      </c>
      <c r="J35" s="15" t="s">
        <v>38</v>
      </c>
      <c r="K35" s="15" t="s">
        <v>43</v>
      </c>
      <c r="L35" s="15" t="s">
        <v>2749</v>
      </c>
      <c r="M35" s="15" t="s">
        <v>2751</v>
      </c>
      <c r="N35" s="15" t="s">
        <v>2756</v>
      </c>
    </row>
    <row r="36" ht="56.25" customHeight="1">
      <c r="A36" s="13" t="s">
        <v>3420</v>
      </c>
      <c r="B36" s="15" t="str">
        <f>IMAGE("https://i.imgur.com/pIwua1t.png")</f>
        <v/>
      </c>
      <c r="C36" s="17" t="str">
        <f>HYPERLINK("https://imgur.com/a/U0y8Ou3","Yes")</f>
        <v>Yes</v>
      </c>
      <c r="D36" s="15" t="s">
        <v>28</v>
      </c>
      <c r="E36" s="13">
        <v>1800.0</v>
      </c>
      <c r="F36" s="13">
        <v>450.0</v>
      </c>
      <c r="G36" s="15">
        <v>3167.0</v>
      </c>
      <c r="H36" s="15" t="s">
        <v>112</v>
      </c>
      <c r="I36" s="15" t="s">
        <v>211</v>
      </c>
      <c r="J36" s="15" t="s">
        <v>38</v>
      </c>
      <c r="K36" s="15" t="s">
        <v>43</v>
      </c>
      <c r="L36" s="15" t="s">
        <v>2749</v>
      </c>
      <c r="M36" s="15" t="s">
        <v>2764</v>
      </c>
      <c r="N36" s="15" t="s">
        <v>384</v>
      </c>
    </row>
    <row r="37" ht="56.25" customHeight="1">
      <c r="A37" s="13" t="s">
        <v>3423</v>
      </c>
      <c r="B37" s="15" t="str">
        <f>IMAGE("https://i.imgur.com/sMJkyDN.png")</f>
        <v/>
      </c>
      <c r="C37" s="17" t="str">
        <f>HYPERLINK("https://imgur.com/a/9aUwXUV","Yes")</f>
        <v>Yes</v>
      </c>
      <c r="D37" s="15" t="s">
        <v>28</v>
      </c>
      <c r="E37" s="13">
        <v>1700.0</v>
      </c>
      <c r="F37" s="13">
        <v>425.0</v>
      </c>
      <c r="G37" s="15">
        <v>4577.0</v>
      </c>
      <c r="H37" s="15" t="s">
        <v>369</v>
      </c>
      <c r="I37" s="15" t="s">
        <v>369</v>
      </c>
      <c r="J37" s="15" t="s">
        <v>38</v>
      </c>
      <c r="K37" s="15" t="s">
        <v>43</v>
      </c>
      <c r="L37" s="15" t="s">
        <v>2749</v>
      </c>
      <c r="M37" s="15" t="s">
        <v>2764</v>
      </c>
      <c r="N37" s="15" t="s">
        <v>384</v>
      </c>
    </row>
    <row r="38" ht="56.25" customHeight="1">
      <c r="A38" s="13" t="s">
        <v>3424</v>
      </c>
      <c r="B38" s="15" t="str">
        <f>IMAGE("https://i.imgur.com/HRM8xfG.png")</f>
        <v/>
      </c>
      <c r="C38" s="17" t="str">
        <f>HYPERLINK("https://imgur.com/a/CW3o1g4","Yes")</f>
        <v>Yes</v>
      </c>
      <c r="D38" s="15" t="s">
        <v>28</v>
      </c>
      <c r="E38" s="13">
        <v>1050.0</v>
      </c>
      <c r="F38" s="13">
        <v>262.0</v>
      </c>
      <c r="G38" s="15">
        <v>3232.0</v>
      </c>
      <c r="H38" s="15" t="s">
        <v>521</v>
      </c>
      <c r="I38" s="15" t="s">
        <v>118</v>
      </c>
      <c r="J38" s="15" t="s">
        <v>38</v>
      </c>
      <c r="K38" s="15" t="s">
        <v>43</v>
      </c>
      <c r="L38" s="15" t="s">
        <v>2749</v>
      </c>
      <c r="M38" s="15" t="s">
        <v>2764</v>
      </c>
      <c r="N38" s="15" t="s">
        <v>2793</v>
      </c>
    </row>
    <row r="39" ht="56.25" customHeight="1">
      <c r="A39" s="13" t="s">
        <v>3426</v>
      </c>
      <c r="B39" s="15" t="str">
        <f>IMAGE("https://i.imgur.com/IIFgTDY.png")</f>
        <v/>
      </c>
      <c r="C39" s="17" t="str">
        <f>HYPERLINK("https://imgur.com/a/c6gM5jI","Yes")</f>
        <v>Yes</v>
      </c>
      <c r="D39" s="15" t="s">
        <v>28</v>
      </c>
      <c r="E39" s="13">
        <v>1840.0</v>
      </c>
      <c r="F39" s="13">
        <v>460.0</v>
      </c>
      <c r="G39" s="15">
        <v>4731.0</v>
      </c>
      <c r="H39" s="15" t="s">
        <v>1608</v>
      </c>
      <c r="I39" s="15" t="s">
        <v>208</v>
      </c>
      <c r="J39" s="15" t="s">
        <v>38</v>
      </c>
      <c r="K39" s="15" t="s">
        <v>43</v>
      </c>
      <c r="L39" s="15" t="s">
        <v>2749</v>
      </c>
      <c r="M39" s="15" t="s">
        <v>2764</v>
      </c>
      <c r="N39" s="15" t="s">
        <v>384</v>
      </c>
    </row>
    <row r="40" ht="56.25" customHeight="1">
      <c r="A40" s="13" t="s">
        <v>3427</v>
      </c>
      <c r="B40" s="15" t="str">
        <f>IMAGE("https://i.imgur.com/MUN4AOy.png")</f>
        <v/>
      </c>
      <c r="C40" s="17" t="str">
        <f>HYPERLINK("https://imgur.com/a/xHpPlvq","Yes")</f>
        <v>Yes</v>
      </c>
      <c r="D40" s="15" t="s">
        <v>28</v>
      </c>
      <c r="E40" s="13">
        <v>1920.0</v>
      </c>
      <c r="F40" s="13">
        <v>480.0</v>
      </c>
      <c r="G40" s="15">
        <v>3058.0</v>
      </c>
      <c r="H40" s="15" t="s">
        <v>82</v>
      </c>
      <c r="I40" s="15" t="s">
        <v>208</v>
      </c>
      <c r="J40" s="15" t="s">
        <v>38</v>
      </c>
      <c r="K40" s="15" t="s">
        <v>43</v>
      </c>
      <c r="L40" s="15" t="s">
        <v>2749</v>
      </c>
      <c r="M40" s="15" t="s">
        <v>2751</v>
      </c>
      <c r="N40" s="15" t="s">
        <v>2793</v>
      </c>
    </row>
    <row r="41" ht="56.25" customHeight="1">
      <c r="A41" s="13" t="s">
        <v>3429</v>
      </c>
      <c r="B41" s="15" t="str">
        <f>IMAGE("https://i.imgur.com/IVZVted.png")</f>
        <v/>
      </c>
      <c r="C41" s="15" t="s">
        <v>40</v>
      </c>
      <c r="D41" s="25" t="s">
        <v>50</v>
      </c>
      <c r="E41" s="24" t="s">
        <v>51</v>
      </c>
      <c r="F41" s="13">
        <v>1600.0</v>
      </c>
      <c r="G41" s="15">
        <v>9838.0</v>
      </c>
      <c r="H41" s="15" t="s">
        <v>208</v>
      </c>
      <c r="I41" s="15" t="s">
        <v>208</v>
      </c>
      <c r="J41" s="15" t="s">
        <v>38</v>
      </c>
      <c r="K41" s="15" t="s">
        <v>54</v>
      </c>
      <c r="L41" s="15" t="s">
        <v>55</v>
      </c>
      <c r="M41" s="15"/>
      <c r="N41" s="15" t="s">
        <v>384</v>
      </c>
    </row>
    <row r="42" ht="56.25" customHeight="1">
      <c r="A42" s="13" t="s">
        <v>3431</v>
      </c>
      <c r="B42" s="15" t="str">
        <f>IMAGE("https://i.imgur.com/TkCBOVa.png")</f>
        <v/>
      </c>
      <c r="C42" s="17" t="str">
        <f>HYPERLINK("https://imgur.com/a/4cWFbFy","Yes")</f>
        <v>Yes</v>
      </c>
      <c r="D42" s="15" t="s">
        <v>28</v>
      </c>
      <c r="E42" s="13">
        <v>2240.0</v>
      </c>
      <c r="F42" s="13">
        <v>560.0</v>
      </c>
      <c r="G42" s="15">
        <v>4347.0</v>
      </c>
      <c r="H42" s="15" t="s">
        <v>99</v>
      </c>
      <c r="I42" s="15" t="s">
        <v>82</v>
      </c>
      <c r="J42" s="15" t="s">
        <v>38</v>
      </c>
      <c r="K42" s="15" t="s">
        <v>43</v>
      </c>
      <c r="L42" s="15" t="s">
        <v>2749</v>
      </c>
      <c r="M42" s="15" t="s">
        <v>2751</v>
      </c>
      <c r="N42" s="15" t="s">
        <v>384</v>
      </c>
    </row>
    <row r="43" ht="56.25" customHeight="1">
      <c r="A43" s="13" t="s">
        <v>3432</v>
      </c>
      <c r="B43" s="15" t="str">
        <f>IMAGE("https://i.imgur.com/AuOwcFg.png")</f>
        <v/>
      </c>
      <c r="C43" s="17" t="str">
        <f>HYPERLINK("https://imgur.com/a/m0j5Uty","Yes")</f>
        <v>Yes</v>
      </c>
      <c r="D43" s="15" t="s">
        <v>28</v>
      </c>
      <c r="E43" s="13">
        <v>2520.0</v>
      </c>
      <c r="F43" s="13">
        <v>630.0</v>
      </c>
      <c r="G43" s="15">
        <v>3538.0</v>
      </c>
      <c r="H43" s="15" t="s">
        <v>208</v>
      </c>
      <c r="I43" s="15" t="s">
        <v>369</v>
      </c>
      <c r="J43" s="15" t="s">
        <v>38</v>
      </c>
      <c r="K43" s="15" t="s">
        <v>43</v>
      </c>
      <c r="L43" s="15" t="s">
        <v>2749</v>
      </c>
      <c r="M43" s="15" t="s">
        <v>2751</v>
      </c>
      <c r="N43" s="15" t="s">
        <v>2863</v>
      </c>
    </row>
    <row r="44" ht="56.25" customHeight="1">
      <c r="A44" s="13" t="s">
        <v>3434</v>
      </c>
      <c r="B44" s="15" t="str">
        <f>IMAGE("https://i.imgur.com/fyqIiK6.png")</f>
        <v/>
      </c>
      <c r="C44" s="15" t="s">
        <v>40</v>
      </c>
      <c r="D44" s="15" t="s">
        <v>28</v>
      </c>
      <c r="E44" s="13">
        <v>2520.0</v>
      </c>
      <c r="F44" s="13">
        <v>630.0</v>
      </c>
      <c r="G44" s="15">
        <v>4484.0</v>
      </c>
      <c r="H44" s="15" t="s">
        <v>208</v>
      </c>
      <c r="I44" s="15" t="s">
        <v>369</v>
      </c>
      <c r="J44" s="15" t="s">
        <v>38</v>
      </c>
      <c r="K44" s="15" t="s">
        <v>43</v>
      </c>
      <c r="L44" s="15" t="s">
        <v>2749</v>
      </c>
      <c r="M44" s="15" t="s">
        <v>2751</v>
      </c>
      <c r="N44" s="15" t="s">
        <v>2863</v>
      </c>
    </row>
    <row r="45" ht="56.25" customHeight="1">
      <c r="A45" s="13" t="s">
        <v>3435</v>
      </c>
      <c r="B45" s="15" t="str">
        <f>IMAGE("https://i.imgur.com/s9rGB5k.png")</f>
        <v/>
      </c>
      <c r="C45" s="15" t="s">
        <v>40</v>
      </c>
      <c r="D45" s="15" t="s">
        <v>28</v>
      </c>
      <c r="E45" s="13">
        <v>2520.0</v>
      </c>
      <c r="F45" s="13">
        <v>630.0</v>
      </c>
      <c r="G45" s="15">
        <v>3574.0</v>
      </c>
      <c r="H45" s="15" t="s">
        <v>82</v>
      </c>
      <c r="I45" s="15" t="s">
        <v>82</v>
      </c>
      <c r="J45" s="15" t="s">
        <v>38</v>
      </c>
      <c r="K45" s="15" t="s">
        <v>43</v>
      </c>
      <c r="L45" s="15" t="s">
        <v>2749</v>
      </c>
      <c r="M45" s="15" t="s">
        <v>2751</v>
      </c>
      <c r="N45" s="15" t="s">
        <v>2863</v>
      </c>
    </row>
    <row r="46" ht="56.25" customHeight="1">
      <c r="A46" s="13" t="s">
        <v>3436</v>
      </c>
      <c r="B46" s="15" t="str">
        <f>IMAGE("https://i.imgur.com/moWy3HH.png")</f>
        <v/>
      </c>
      <c r="C46" s="17" t="str">
        <f>HYPERLINK("https://imgur.com/a/83LOVZm","Yes")</f>
        <v>Yes</v>
      </c>
      <c r="D46" s="15" t="s">
        <v>28</v>
      </c>
      <c r="E46" s="13">
        <v>1800.0</v>
      </c>
      <c r="F46" s="13">
        <v>450.0</v>
      </c>
      <c r="G46" s="15">
        <v>4740.0</v>
      </c>
      <c r="H46" s="15" t="s">
        <v>369</v>
      </c>
      <c r="I46" s="15" t="s">
        <v>369</v>
      </c>
      <c r="J46" s="15" t="s">
        <v>38</v>
      </c>
      <c r="K46" s="15" t="s">
        <v>43</v>
      </c>
      <c r="L46" s="15" t="s">
        <v>2749</v>
      </c>
      <c r="M46" s="15" t="s">
        <v>2764</v>
      </c>
      <c r="N46" s="15" t="s">
        <v>384</v>
      </c>
    </row>
    <row r="47" ht="56.25" customHeight="1">
      <c r="A47" s="13" t="s">
        <v>3438</v>
      </c>
      <c r="B47" s="15" t="str">
        <f>IMAGE("https://i.imgur.com/9mvRUDb.png")</f>
        <v/>
      </c>
      <c r="C47" s="17" t="str">
        <f>HYPERLINK("https://imgur.com/a/8iX4J6l","Yes")</f>
        <v>Yes</v>
      </c>
      <c r="D47" s="15" t="s">
        <v>28</v>
      </c>
      <c r="E47" s="13">
        <v>2520.0</v>
      </c>
      <c r="F47" s="13">
        <v>630.0</v>
      </c>
      <c r="G47" s="15">
        <v>5442.0</v>
      </c>
      <c r="H47" s="15" t="s">
        <v>112</v>
      </c>
      <c r="I47" s="15" t="s">
        <v>99</v>
      </c>
      <c r="J47" s="15" t="s">
        <v>38</v>
      </c>
      <c r="K47" s="15" t="s">
        <v>43</v>
      </c>
      <c r="L47" s="15" t="s">
        <v>2749</v>
      </c>
      <c r="M47" s="15" t="s">
        <v>2751</v>
      </c>
      <c r="N47" s="15" t="s">
        <v>2863</v>
      </c>
    </row>
    <row r="48" ht="56.25" customHeight="1">
      <c r="A48" s="13" t="s">
        <v>3439</v>
      </c>
      <c r="B48" s="15" t="str">
        <f>image("https://i.imgur.com/agfy6bZ.png")</f>
        <v/>
      </c>
      <c r="C48" s="17" t="str">
        <f>HYPERLINK("https://imgur.com/a/W0a3bHf","Yes")</f>
        <v>Yes</v>
      </c>
      <c r="D48" s="15" t="s">
        <v>28</v>
      </c>
      <c r="E48" s="13">
        <v>2520.0</v>
      </c>
      <c r="F48" s="13">
        <v>630.0</v>
      </c>
      <c r="G48" s="15">
        <v>4650.0</v>
      </c>
      <c r="H48" s="15" t="s">
        <v>112</v>
      </c>
      <c r="I48" s="15" t="s">
        <v>464</v>
      </c>
      <c r="J48" s="15" t="s">
        <v>38</v>
      </c>
      <c r="K48" s="15" t="s">
        <v>43</v>
      </c>
      <c r="L48" s="15" t="s">
        <v>2749</v>
      </c>
      <c r="M48" s="15" t="s">
        <v>2751</v>
      </c>
      <c r="N48" s="15" t="s">
        <v>2863</v>
      </c>
    </row>
    <row r="49" ht="56.25" customHeight="1">
      <c r="A49" s="13" t="s">
        <v>3441</v>
      </c>
      <c r="B49" s="15" t="str">
        <f>IMAGE("https://i.imgur.com/AbHpw46.png")</f>
        <v/>
      </c>
      <c r="C49" s="17" t="str">
        <f>HYPERLINK("https://imgur.com/a/EeqTadb","Yes")</f>
        <v>Yes</v>
      </c>
      <c r="D49" s="15" t="s">
        <v>28</v>
      </c>
      <c r="E49" s="13">
        <v>1920.0</v>
      </c>
      <c r="F49" s="13">
        <v>480.0</v>
      </c>
      <c r="G49" s="15">
        <v>3464.0</v>
      </c>
      <c r="H49" s="15" t="s">
        <v>369</v>
      </c>
      <c r="I49" s="15" t="s">
        <v>112</v>
      </c>
      <c r="J49" s="15" t="s">
        <v>38</v>
      </c>
      <c r="K49" s="15" t="s">
        <v>43</v>
      </c>
      <c r="L49" s="15" t="s">
        <v>2749</v>
      </c>
      <c r="M49" s="15" t="s">
        <v>2751</v>
      </c>
      <c r="N49" s="15" t="s">
        <v>2744</v>
      </c>
    </row>
    <row r="50" ht="56.25" customHeight="1">
      <c r="A50" s="13" t="s">
        <v>3443</v>
      </c>
      <c r="B50" s="15" t="str">
        <f>image("https://i.imgur.com/g9qKFWq.png")</f>
        <v/>
      </c>
      <c r="C50" s="17" t="str">
        <f>HYPERLINK("https://imgur.com/a/gKXEBHj","Yes")</f>
        <v>Yes</v>
      </c>
      <c r="D50" s="15" t="s">
        <v>28</v>
      </c>
      <c r="E50" s="13">
        <v>1600.0</v>
      </c>
      <c r="F50" s="13">
        <v>400.0</v>
      </c>
      <c r="G50" s="15">
        <v>5288.0</v>
      </c>
      <c r="H50" s="15" t="s">
        <v>369</v>
      </c>
      <c r="I50" s="15" t="s">
        <v>112</v>
      </c>
      <c r="J50" s="15" t="s">
        <v>38</v>
      </c>
      <c r="K50" s="15" t="s">
        <v>43</v>
      </c>
      <c r="L50" s="15" t="s">
        <v>2749</v>
      </c>
      <c r="M50" s="15" t="s">
        <v>2764</v>
      </c>
      <c r="N50" s="15" t="s">
        <v>2793</v>
      </c>
    </row>
    <row r="51" ht="56.25" customHeight="1">
      <c r="A51" s="13" t="s">
        <v>3444</v>
      </c>
      <c r="B51" s="15" t="str">
        <f>IMAGE("https://i.imgur.com/X2XeIHg.png")</f>
        <v/>
      </c>
      <c r="C51" s="17" t="str">
        <f>HYPERLINK("https://imgur.com/a/oVFKiSj","Yes")</f>
        <v>Yes</v>
      </c>
      <c r="D51" s="15" t="s">
        <v>28</v>
      </c>
      <c r="E51" s="13">
        <v>3500.0</v>
      </c>
      <c r="F51" s="13">
        <v>875.0</v>
      </c>
      <c r="G51" s="15">
        <v>5391.0</v>
      </c>
      <c r="H51" s="15" t="s">
        <v>99</v>
      </c>
      <c r="I51" s="15" t="s">
        <v>1614</v>
      </c>
      <c r="J51" s="15" t="s">
        <v>38</v>
      </c>
      <c r="K51" s="15" t="s">
        <v>43</v>
      </c>
      <c r="L51" s="15" t="s">
        <v>2749</v>
      </c>
      <c r="M51" s="15" t="s">
        <v>2751</v>
      </c>
      <c r="N51" s="15" t="s">
        <v>2756</v>
      </c>
    </row>
    <row r="52" ht="56.25" customHeight="1">
      <c r="A52" s="13" t="s">
        <v>3446</v>
      </c>
      <c r="B52" s="15" t="str">
        <f>IMAGE("https://i.imgur.com/qnMtvmw.png")</f>
        <v/>
      </c>
      <c r="C52" s="17" t="str">
        <f>HYPERLINK("https://imgur.com/a/r7DDG5W","Yes")</f>
        <v>Yes</v>
      </c>
      <c r="D52" s="15" t="s">
        <v>28</v>
      </c>
      <c r="E52" s="13">
        <v>1600.0</v>
      </c>
      <c r="F52" s="13">
        <v>400.0</v>
      </c>
      <c r="G52" s="15">
        <v>2783.0</v>
      </c>
      <c r="H52" s="15" t="s">
        <v>107</v>
      </c>
      <c r="I52" s="15" t="s">
        <v>464</v>
      </c>
      <c r="J52" s="15" t="s">
        <v>38</v>
      </c>
      <c r="K52" s="15" t="s">
        <v>43</v>
      </c>
      <c r="L52" s="15" t="s">
        <v>2749</v>
      </c>
      <c r="M52" s="15" t="s">
        <v>2764</v>
      </c>
      <c r="N52" s="15" t="s">
        <v>384</v>
      </c>
    </row>
    <row r="53" ht="56.25" customHeight="1">
      <c r="A53" s="13" t="s">
        <v>3448</v>
      </c>
      <c r="B53" s="15" t="str">
        <f>IMAGE("https://i.imgur.com/xpBoke8.png")</f>
        <v/>
      </c>
      <c r="C53" s="17" t="str">
        <f>HYPERLINK("https://imgur.com/a/4SYJwD6","Yes")</f>
        <v>Yes</v>
      </c>
      <c r="D53" s="15" t="s">
        <v>28</v>
      </c>
      <c r="E53" s="13">
        <v>1600.0</v>
      </c>
      <c r="F53" s="13">
        <v>400.0</v>
      </c>
      <c r="G53" s="15">
        <v>3668.0</v>
      </c>
      <c r="H53" s="15" t="s">
        <v>1614</v>
      </c>
      <c r="I53" s="15" t="s">
        <v>82</v>
      </c>
      <c r="J53" s="15" t="s">
        <v>38</v>
      </c>
      <c r="K53" s="15" t="s">
        <v>43</v>
      </c>
      <c r="L53" s="15" t="s">
        <v>2749</v>
      </c>
      <c r="M53" s="15" t="s">
        <v>2764</v>
      </c>
      <c r="N53" s="15" t="s">
        <v>2744</v>
      </c>
    </row>
    <row r="54" ht="56.25" customHeight="1">
      <c r="A54" s="13" t="s">
        <v>3449</v>
      </c>
      <c r="B54" s="15" t="str">
        <f>IMAGE("https://i.imgur.com/MrpsxFC.png")</f>
        <v/>
      </c>
      <c r="C54" s="17" t="str">
        <f>HYPERLINK("https://imgur.com/a/uTECBof","Yes")</f>
        <v>Yes</v>
      </c>
      <c r="D54" s="15" t="s">
        <v>28</v>
      </c>
      <c r="E54" s="13">
        <v>2520.0</v>
      </c>
      <c r="F54" s="13">
        <v>630.0</v>
      </c>
      <c r="G54" s="15">
        <v>3606.0</v>
      </c>
      <c r="H54" s="15" t="s">
        <v>464</v>
      </c>
      <c r="I54" s="15" t="s">
        <v>82</v>
      </c>
      <c r="J54" s="15" t="s">
        <v>38</v>
      </c>
      <c r="K54" s="15" t="s">
        <v>43</v>
      </c>
      <c r="L54" s="15" t="s">
        <v>2749</v>
      </c>
      <c r="M54" s="15" t="s">
        <v>2751</v>
      </c>
      <c r="N54" s="15" t="s">
        <v>2863</v>
      </c>
    </row>
    <row r="55" ht="56.25" customHeight="1">
      <c r="A55" s="13" t="s">
        <v>3451</v>
      </c>
      <c r="B55" s="15" t="str">
        <f>IMAGE("https://i.imgur.com/grPr3Yy.png")</f>
        <v/>
      </c>
      <c r="C55" s="17" t="str">
        <f>HYPERLINK("https://imgur.com/a/dRKZOa5","Yes")</f>
        <v>Yes</v>
      </c>
      <c r="D55" s="15" t="s">
        <v>28</v>
      </c>
      <c r="E55" s="13">
        <v>2520.0</v>
      </c>
      <c r="F55" s="13">
        <v>630.0</v>
      </c>
      <c r="G55" s="15">
        <v>4611.0</v>
      </c>
      <c r="H55" s="15" t="s">
        <v>1614</v>
      </c>
      <c r="I55" s="15" t="s">
        <v>1614</v>
      </c>
      <c r="J55" s="15" t="s">
        <v>38</v>
      </c>
      <c r="K55" s="15" t="s">
        <v>43</v>
      </c>
      <c r="L55" s="15" t="s">
        <v>2749</v>
      </c>
      <c r="M55" s="15" t="s">
        <v>2751</v>
      </c>
      <c r="N55" s="15" t="s">
        <v>2863</v>
      </c>
    </row>
    <row r="56" ht="56.25" customHeight="1">
      <c r="A56" s="13" t="s">
        <v>3452</v>
      </c>
      <c r="B56" s="15" t="str">
        <f>IMAGE("https://i.imgur.com/wUVC4GP.png")</f>
        <v/>
      </c>
      <c r="C56" s="17" t="str">
        <f>HYPERLINK("https://imgur.com/a/gDIUeQ9","Yes")</f>
        <v>Yes</v>
      </c>
      <c r="D56" s="15" t="s">
        <v>28</v>
      </c>
      <c r="E56" s="13">
        <v>1800.0</v>
      </c>
      <c r="F56" s="13">
        <v>450.0</v>
      </c>
      <c r="G56" s="15">
        <v>3142.0</v>
      </c>
      <c r="H56" s="15" t="s">
        <v>107</v>
      </c>
      <c r="I56" s="15" t="s">
        <v>82</v>
      </c>
      <c r="J56" s="15" t="s">
        <v>38</v>
      </c>
      <c r="K56" s="15" t="s">
        <v>43</v>
      </c>
      <c r="L56" s="15" t="s">
        <v>2749</v>
      </c>
      <c r="M56" s="15" t="s">
        <v>2751</v>
      </c>
      <c r="N56" s="15" t="s">
        <v>384</v>
      </c>
    </row>
    <row r="57" ht="56.25" customHeight="1">
      <c r="A57" s="13" t="s">
        <v>3454</v>
      </c>
      <c r="B57" s="15" t="str">
        <f>IMAGE("https://i.imgur.com/SKpRsTK.png")</f>
        <v/>
      </c>
      <c r="C57" s="17" t="str">
        <f>HYPERLINK("https://imgur.com/a/ig7CXSa","Yes")</f>
        <v>Yes</v>
      </c>
      <c r="D57" s="15" t="s">
        <v>28</v>
      </c>
      <c r="E57" s="13">
        <v>2800.0</v>
      </c>
      <c r="F57" s="13">
        <v>700.0</v>
      </c>
      <c r="G57" s="15">
        <v>4406.0</v>
      </c>
      <c r="H57" s="15" t="s">
        <v>211</v>
      </c>
      <c r="I57" s="15" t="s">
        <v>82</v>
      </c>
      <c r="J57" s="15" t="s">
        <v>38</v>
      </c>
      <c r="K57" s="15" t="s">
        <v>43</v>
      </c>
      <c r="L57" s="15" t="s">
        <v>2749</v>
      </c>
      <c r="M57" s="15" t="s">
        <v>2751</v>
      </c>
      <c r="N57" s="15" t="s">
        <v>384</v>
      </c>
    </row>
    <row r="58" ht="56.25" customHeight="1">
      <c r="A58" s="13" t="s">
        <v>3455</v>
      </c>
      <c r="B58" s="15" t="str">
        <f>IMAGE("https://i.imgur.com/efg4wBs.png")</f>
        <v/>
      </c>
      <c r="C58" s="15" t="s">
        <v>40</v>
      </c>
      <c r="D58" s="15" t="s">
        <v>28</v>
      </c>
      <c r="E58" s="13">
        <v>2500.0</v>
      </c>
      <c r="F58" s="13">
        <v>625.0</v>
      </c>
      <c r="G58" s="15">
        <v>3462.0</v>
      </c>
      <c r="H58" s="15" t="s">
        <v>211</v>
      </c>
      <c r="I58" s="15" t="s">
        <v>99</v>
      </c>
      <c r="J58" s="15" t="s">
        <v>38</v>
      </c>
      <c r="K58" s="15" t="s">
        <v>43</v>
      </c>
      <c r="L58" s="15" t="s">
        <v>2749</v>
      </c>
      <c r="M58" s="15" t="s">
        <v>2751</v>
      </c>
      <c r="N58" s="15" t="s">
        <v>2793</v>
      </c>
    </row>
    <row r="59" ht="56.25" customHeight="1">
      <c r="A59" s="13" t="s">
        <v>3457</v>
      </c>
      <c r="B59" s="15" t="str">
        <f>IMAGE("https://i.imgur.com/P5uyN6U.png")</f>
        <v/>
      </c>
      <c r="C59" s="17" t="str">
        <f>HYPERLINK("https://imgur.com/a/JtPHbCR","Yes")</f>
        <v>Yes</v>
      </c>
      <c r="D59" s="15" t="s">
        <v>28</v>
      </c>
      <c r="E59" s="13">
        <v>2080.0</v>
      </c>
      <c r="F59" s="13">
        <v>520.0</v>
      </c>
      <c r="G59" s="15">
        <v>5796.0</v>
      </c>
      <c r="H59" s="15" t="s">
        <v>107</v>
      </c>
      <c r="I59" s="15" t="s">
        <v>464</v>
      </c>
      <c r="J59" s="15" t="s">
        <v>38</v>
      </c>
      <c r="K59" s="15" t="s">
        <v>43</v>
      </c>
      <c r="L59" s="15" t="s">
        <v>2749</v>
      </c>
      <c r="M59" s="15" t="s">
        <v>2751</v>
      </c>
      <c r="N59" s="15" t="s">
        <v>384</v>
      </c>
    </row>
    <row r="60" ht="56.25" customHeight="1">
      <c r="A60" s="13" t="s">
        <v>3459</v>
      </c>
      <c r="B60" s="15" t="str">
        <f>IMAGE("https://imgur.com/CKxRlyj.png")</f>
        <v/>
      </c>
      <c r="C60" s="15" t="s">
        <v>40</v>
      </c>
      <c r="D60" s="25" t="s">
        <v>50</v>
      </c>
      <c r="E60" s="24" t="s">
        <v>51</v>
      </c>
      <c r="F60" s="24">
        <v>1200.0</v>
      </c>
      <c r="G60" s="15"/>
      <c r="H60" s="15"/>
      <c r="I60" s="15"/>
      <c r="J60" s="15" t="s">
        <v>38</v>
      </c>
      <c r="K60" s="15" t="s">
        <v>54</v>
      </c>
      <c r="L60" s="15" t="s">
        <v>55</v>
      </c>
      <c r="M60" s="15"/>
      <c r="N60" s="15"/>
    </row>
    <row r="61" ht="56.25" customHeight="1">
      <c r="A61" s="13" t="s">
        <v>3460</v>
      </c>
      <c r="B61" s="15" t="str">
        <f>IMAGE("https://imgur.com/MhVB3Mn.png")</f>
        <v/>
      </c>
      <c r="C61" s="15" t="s">
        <v>40</v>
      </c>
      <c r="D61" s="25" t="s">
        <v>50</v>
      </c>
      <c r="E61" s="24" t="s">
        <v>51</v>
      </c>
      <c r="F61" s="24">
        <v>7200.0</v>
      </c>
      <c r="G61" s="15"/>
      <c r="H61" s="15"/>
      <c r="I61" s="15"/>
      <c r="J61" s="15" t="s">
        <v>38</v>
      </c>
      <c r="K61" s="15" t="s">
        <v>54</v>
      </c>
      <c r="L61" s="15" t="s">
        <v>55</v>
      </c>
      <c r="M61" s="15"/>
      <c r="N61" s="15"/>
    </row>
    <row r="62" ht="56.25" customHeight="1">
      <c r="A62" s="13" t="s">
        <v>3461</v>
      </c>
      <c r="B62" s="15" t="str">
        <f>IMAGE("https://i.imgur.com/k5gtI4b.png")</f>
        <v/>
      </c>
      <c r="C62" s="15" t="s">
        <v>40</v>
      </c>
      <c r="D62" s="15" t="s">
        <v>28</v>
      </c>
      <c r="E62" s="13">
        <v>1600.0</v>
      </c>
      <c r="F62" s="13">
        <v>400.0</v>
      </c>
      <c r="G62" s="15">
        <v>5614.0</v>
      </c>
      <c r="H62" s="15" t="s">
        <v>211</v>
      </c>
      <c r="I62" s="15" t="s">
        <v>82</v>
      </c>
      <c r="J62" s="15" t="s">
        <v>38</v>
      </c>
      <c r="K62" s="15" t="s">
        <v>43</v>
      </c>
      <c r="L62" s="15" t="s">
        <v>2749</v>
      </c>
      <c r="M62" s="15" t="s">
        <v>2751</v>
      </c>
      <c r="N62" s="15" t="s">
        <v>384</v>
      </c>
    </row>
    <row r="63" ht="56.25" customHeight="1">
      <c r="A63" s="13" t="s">
        <v>3462</v>
      </c>
      <c r="B63" s="15" t="str">
        <f>IMAGE("https://i.imgur.com/i7kheYs.png")</f>
        <v/>
      </c>
      <c r="C63" s="17" t="str">
        <f>HYPERLINK("https://imgur.com/a/7S6VGJw","Yes")</f>
        <v>Yes</v>
      </c>
      <c r="D63" s="15" t="s">
        <v>28</v>
      </c>
      <c r="E63" s="13">
        <v>2400.0</v>
      </c>
      <c r="F63" s="13">
        <v>600.0</v>
      </c>
      <c r="G63" s="15">
        <v>4791.0</v>
      </c>
      <c r="H63" s="15" t="s">
        <v>464</v>
      </c>
      <c r="I63" s="15" t="s">
        <v>82</v>
      </c>
      <c r="J63" s="15" t="s">
        <v>38</v>
      </c>
      <c r="K63" s="15" t="s">
        <v>43</v>
      </c>
      <c r="L63" s="15" t="s">
        <v>2749</v>
      </c>
      <c r="M63" s="15" t="s">
        <v>2751</v>
      </c>
      <c r="N63" s="15" t="s">
        <v>2863</v>
      </c>
    </row>
    <row r="64" ht="56.25" customHeight="1">
      <c r="A64" s="13" t="s">
        <v>3464</v>
      </c>
      <c r="B64" s="15" t="str">
        <f>IMAGE("https://i.imgur.com/RyXgC0O.png")</f>
        <v/>
      </c>
      <c r="C64" s="17" t="str">
        <f>HYPERLINK("https://imgur.com/a/ol3j3gh","Yes")</f>
        <v>Yes</v>
      </c>
      <c r="D64" s="15" t="s">
        <v>28</v>
      </c>
      <c r="E64" s="13">
        <v>3640.0</v>
      </c>
      <c r="F64" s="13">
        <v>910.0</v>
      </c>
      <c r="G64" s="15">
        <v>3703.0</v>
      </c>
      <c r="H64" s="15" t="s">
        <v>369</v>
      </c>
      <c r="I64" s="15" t="s">
        <v>369</v>
      </c>
      <c r="J64" s="15" t="s">
        <v>38</v>
      </c>
      <c r="K64" s="15" t="s">
        <v>43</v>
      </c>
      <c r="L64" s="15" t="s">
        <v>2749</v>
      </c>
      <c r="M64" s="15" t="s">
        <v>2751</v>
      </c>
      <c r="N64" s="15" t="s">
        <v>384</v>
      </c>
    </row>
    <row r="65" ht="56.25" customHeight="1">
      <c r="A65" s="13" t="s">
        <v>3466</v>
      </c>
      <c r="B65" s="15" t="str">
        <f>IMAGE("https://i.imgur.com/8LxjAPl.png")</f>
        <v/>
      </c>
      <c r="C65" s="17" t="str">
        <f>HYPERLINK("https://imgur.com/a/d012m3M","Yes")</f>
        <v>Yes</v>
      </c>
      <c r="D65" s="15" t="s">
        <v>28</v>
      </c>
      <c r="E65" s="13">
        <v>2400.0</v>
      </c>
      <c r="F65" s="13">
        <v>600.0</v>
      </c>
      <c r="G65" s="15">
        <v>3137.0</v>
      </c>
      <c r="H65" s="15" t="s">
        <v>208</v>
      </c>
      <c r="I65" s="15" t="s">
        <v>82</v>
      </c>
      <c r="J65" s="15" t="s">
        <v>38</v>
      </c>
      <c r="K65" s="15" t="s">
        <v>43</v>
      </c>
      <c r="L65" s="15" t="s">
        <v>2749</v>
      </c>
      <c r="M65" s="15" t="s">
        <v>2751</v>
      </c>
      <c r="N65" s="15" t="s">
        <v>384</v>
      </c>
    </row>
    <row r="66" ht="56.25" customHeight="1">
      <c r="A66" s="13" t="s">
        <v>3468</v>
      </c>
      <c r="B66" s="15" t="str">
        <f>IMAGE("https://i.imgur.com/fKt1asy.png")</f>
        <v/>
      </c>
      <c r="C66" s="17" t="str">
        <f>HYPERLINK("https://imgur.com/a/CevbpFs","Yes")</f>
        <v>Yes</v>
      </c>
      <c r="D66" s="15" t="s">
        <v>28</v>
      </c>
      <c r="E66" s="13">
        <v>5200.0</v>
      </c>
      <c r="F66" s="13">
        <v>1300.0</v>
      </c>
      <c r="G66" s="15">
        <v>5461.0</v>
      </c>
      <c r="H66" s="15" t="s">
        <v>208</v>
      </c>
      <c r="I66" s="15" t="s">
        <v>369</v>
      </c>
      <c r="J66" s="15" t="s">
        <v>38</v>
      </c>
      <c r="K66" s="15" t="s">
        <v>43</v>
      </c>
      <c r="L66" s="15" t="s">
        <v>2749</v>
      </c>
      <c r="M66" s="15" t="s">
        <v>2751</v>
      </c>
      <c r="N66" s="15" t="s">
        <v>852</v>
      </c>
    </row>
    <row r="67" ht="56.25" customHeight="1">
      <c r="A67" s="13" t="s">
        <v>3469</v>
      </c>
      <c r="B67" s="15" t="str">
        <f>IMAGE("https://i.imgur.com/WnJqrRN.png")</f>
        <v/>
      </c>
      <c r="C67" s="17" t="str">
        <f>HYPERLINK("https://imgur.com/a/ax7gacf","Yes")</f>
        <v>Yes</v>
      </c>
      <c r="D67" s="15" t="s">
        <v>28</v>
      </c>
      <c r="E67" s="13">
        <v>2400.0</v>
      </c>
      <c r="F67" s="13">
        <v>600.0</v>
      </c>
      <c r="G67" s="15">
        <v>3131.0</v>
      </c>
      <c r="H67" s="15" t="s">
        <v>112</v>
      </c>
      <c r="I67" s="15" t="s">
        <v>99</v>
      </c>
      <c r="J67" s="15" t="s">
        <v>38</v>
      </c>
      <c r="K67" s="15" t="s">
        <v>43</v>
      </c>
      <c r="L67" s="15" t="s">
        <v>2749</v>
      </c>
      <c r="M67" s="15" t="s">
        <v>2751</v>
      </c>
      <c r="N67" s="15" t="s">
        <v>2863</v>
      </c>
    </row>
    <row r="68" ht="56.25" customHeight="1">
      <c r="A68" s="13" t="s">
        <v>3470</v>
      </c>
      <c r="B68" s="15" t="str">
        <f>IMAGE("https://i.imgur.com/bUOzI5M.png")</f>
        <v/>
      </c>
      <c r="C68" s="17" t="str">
        <f>HYPERLINK("https://imgur.com/a/cH1Kwtx","Yes")</f>
        <v>Yes</v>
      </c>
      <c r="D68" s="15" t="s">
        <v>28</v>
      </c>
      <c r="E68" s="13">
        <v>1600.0</v>
      </c>
      <c r="F68" s="13">
        <v>400.0</v>
      </c>
      <c r="G68" s="15">
        <v>5830.0</v>
      </c>
      <c r="H68" s="15" t="s">
        <v>112</v>
      </c>
      <c r="I68" s="15" t="s">
        <v>208</v>
      </c>
      <c r="J68" s="15" t="s">
        <v>38</v>
      </c>
      <c r="K68" s="15" t="s">
        <v>43</v>
      </c>
      <c r="L68" s="15" t="s">
        <v>2749</v>
      </c>
      <c r="M68" s="15" t="s">
        <v>2764</v>
      </c>
      <c r="N68" s="15" t="s">
        <v>2793</v>
      </c>
    </row>
    <row r="69" ht="56.25" customHeight="1">
      <c r="A69" s="13" t="s">
        <v>3473</v>
      </c>
      <c r="B69" s="15" t="str">
        <f>IMAGE("https://i.imgur.com/mLZn1q8.png")</f>
        <v/>
      </c>
      <c r="C69" s="17" t="str">
        <f>HYPERLINK("https://imgur.com/a/M5sq8be","Yes")</f>
        <v>Yes</v>
      </c>
      <c r="D69" s="25" t="s">
        <v>28</v>
      </c>
      <c r="E69" s="13">
        <v>6000.0</v>
      </c>
      <c r="F69" s="13">
        <v>1500.0</v>
      </c>
      <c r="G69" s="15">
        <v>3435.0</v>
      </c>
      <c r="H69" s="15" t="s">
        <v>369</v>
      </c>
      <c r="I69" s="15" t="s">
        <v>369</v>
      </c>
      <c r="J69" s="15" t="s">
        <v>38</v>
      </c>
      <c r="K69" s="15" t="s">
        <v>43</v>
      </c>
      <c r="L69" s="15" t="s">
        <v>2749</v>
      </c>
      <c r="M69" s="15" t="s">
        <v>2751</v>
      </c>
      <c r="N69" s="15" t="s">
        <v>852</v>
      </c>
    </row>
    <row r="70" ht="56.25" customHeight="1">
      <c r="A70" s="13" t="s">
        <v>3474</v>
      </c>
      <c r="B70" s="15" t="str">
        <f>IMAGE("https://i.imgur.com/bFBMeLy.png")</f>
        <v/>
      </c>
      <c r="C70" s="15" t="s">
        <v>40</v>
      </c>
      <c r="D70" s="15" t="s">
        <v>28</v>
      </c>
      <c r="E70" s="13">
        <v>2400.0</v>
      </c>
      <c r="F70" s="13">
        <v>600.0</v>
      </c>
      <c r="G70" s="15">
        <v>3135.0</v>
      </c>
      <c r="H70" s="15" t="s">
        <v>208</v>
      </c>
      <c r="I70" s="15" t="s">
        <v>82</v>
      </c>
      <c r="J70" s="15" t="s">
        <v>38</v>
      </c>
      <c r="K70" s="15" t="s">
        <v>43</v>
      </c>
      <c r="L70" s="15" t="s">
        <v>2749</v>
      </c>
      <c r="M70" s="15" t="s">
        <v>2751</v>
      </c>
      <c r="N70" s="15" t="s">
        <v>384</v>
      </c>
    </row>
    <row r="71" ht="56.25" customHeight="1">
      <c r="A71" s="13" t="s">
        <v>3475</v>
      </c>
      <c r="B71" s="15" t="str">
        <f>IMAGE("https://i.imgur.com/6Ualjjj.png")</f>
        <v/>
      </c>
      <c r="C71" s="17" t="str">
        <f>HYPERLINK("https://imgur.com/a/PVKlnRK","Yes")</f>
        <v>Yes</v>
      </c>
      <c r="D71" s="15" t="s">
        <v>28</v>
      </c>
      <c r="E71" s="13">
        <v>2240.0</v>
      </c>
      <c r="F71" s="13">
        <v>560.0</v>
      </c>
      <c r="G71" s="15">
        <v>3169.0</v>
      </c>
      <c r="H71" s="15" t="s">
        <v>369</v>
      </c>
      <c r="I71" s="15" t="s">
        <v>82</v>
      </c>
      <c r="J71" s="15" t="s">
        <v>38</v>
      </c>
      <c r="K71" s="15" t="s">
        <v>43</v>
      </c>
      <c r="L71" s="15" t="s">
        <v>2749</v>
      </c>
      <c r="M71" s="15" t="s">
        <v>2751</v>
      </c>
      <c r="N71" s="15" t="s">
        <v>384</v>
      </c>
    </row>
    <row r="72" ht="56.25" customHeight="1">
      <c r="A72" s="13" t="s">
        <v>3476</v>
      </c>
      <c r="B72" s="15" t="str">
        <f>IMAGE("https://i.imgur.com/WL28GhD.png")</f>
        <v/>
      </c>
      <c r="C72" s="17" t="str">
        <f>HYPERLINK("https://imgur.com/a/jHRXxi3","Yes")</f>
        <v>Yes</v>
      </c>
      <c r="D72" s="15" t="s">
        <v>28</v>
      </c>
      <c r="E72" s="13">
        <v>2880.0</v>
      </c>
      <c r="F72" s="13">
        <v>720.0</v>
      </c>
      <c r="G72" s="15">
        <v>5404.0</v>
      </c>
      <c r="H72" s="15" t="s">
        <v>1614</v>
      </c>
      <c r="I72" s="15" t="s">
        <v>99</v>
      </c>
      <c r="J72" s="15" t="s">
        <v>38</v>
      </c>
      <c r="K72" s="15" t="s">
        <v>43</v>
      </c>
      <c r="L72" s="15" t="s">
        <v>2749</v>
      </c>
      <c r="M72" s="15" t="s">
        <v>2751</v>
      </c>
      <c r="N72" s="15" t="s">
        <v>2793</v>
      </c>
    </row>
    <row r="73" ht="56.25" customHeight="1">
      <c r="A73" s="13" t="s">
        <v>3477</v>
      </c>
      <c r="B73" s="15" t="str">
        <f>IMAGE("https://i.imgur.com/V4y1Kin.png")</f>
        <v/>
      </c>
      <c r="C73" s="17" t="str">
        <f>HYPERLINK("https://imgur.com/a/4Sz5NHs","Yes")</f>
        <v>Yes</v>
      </c>
      <c r="D73" s="15" t="s">
        <v>28</v>
      </c>
      <c r="E73" s="13">
        <v>2880.0</v>
      </c>
      <c r="F73" s="13">
        <v>720.0</v>
      </c>
      <c r="G73" s="15">
        <v>5393.0</v>
      </c>
      <c r="H73" s="15" t="s">
        <v>1614</v>
      </c>
      <c r="I73" s="15" t="s">
        <v>112</v>
      </c>
      <c r="J73" s="15" t="s">
        <v>38</v>
      </c>
      <c r="K73" s="15" t="s">
        <v>43</v>
      </c>
      <c r="L73" s="15" t="s">
        <v>2749</v>
      </c>
      <c r="M73" s="15" t="s">
        <v>2751</v>
      </c>
      <c r="N73" s="15" t="s">
        <v>2793</v>
      </c>
    </row>
    <row r="74" ht="56.25" customHeight="1">
      <c r="A74" s="13" t="s">
        <v>3480</v>
      </c>
      <c r="B74" s="15" t="str">
        <f>IMAGE("https://i.imgur.com/1Xc88Hs.png")</f>
        <v/>
      </c>
      <c r="C74" s="17" t="str">
        <f>HYPERLINK("https://imgur.com/a/99inCXf","Yes")</f>
        <v>Yes</v>
      </c>
      <c r="D74" s="15" t="s">
        <v>28</v>
      </c>
      <c r="E74" s="13">
        <v>2240.0</v>
      </c>
      <c r="F74" s="13">
        <v>560.0</v>
      </c>
      <c r="G74" s="15">
        <v>3420.0</v>
      </c>
      <c r="H74" s="15" t="s">
        <v>99</v>
      </c>
      <c r="I74" s="15" t="s">
        <v>211</v>
      </c>
      <c r="J74" s="15" t="s">
        <v>38</v>
      </c>
      <c r="K74" s="15" t="s">
        <v>43</v>
      </c>
      <c r="L74" s="15" t="s">
        <v>2749</v>
      </c>
      <c r="M74" s="15" t="s">
        <v>2751</v>
      </c>
      <c r="N74" s="15" t="s">
        <v>2793</v>
      </c>
    </row>
    <row r="75" ht="56.25" customHeight="1">
      <c r="A75" s="13" t="s">
        <v>3481</v>
      </c>
      <c r="B75" s="15" t="str">
        <f>IMAGE("https://i.imgur.com/TR4g0oP.png")</f>
        <v/>
      </c>
      <c r="C75" s="17" t="str">
        <f>HYPERLINK("https://imgur.com/a/jFzZb3b","Yes")</f>
        <v>Yes</v>
      </c>
      <c r="D75" s="15" t="s">
        <v>28</v>
      </c>
      <c r="E75" s="13">
        <v>2000.0</v>
      </c>
      <c r="F75" s="13">
        <v>500.0</v>
      </c>
      <c r="G75" s="15">
        <v>4328.0</v>
      </c>
      <c r="H75" s="15" t="s">
        <v>369</v>
      </c>
      <c r="I75" s="15" t="s">
        <v>82</v>
      </c>
      <c r="J75" s="15" t="s">
        <v>38</v>
      </c>
      <c r="K75" s="15" t="s">
        <v>43</v>
      </c>
      <c r="L75" s="15" t="s">
        <v>2749</v>
      </c>
      <c r="M75" s="15" t="s">
        <v>2764</v>
      </c>
      <c r="N75" s="15" t="s">
        <v>2744</v>
      </c>
    </row>
    <row r="76" ht="56.25" customHeight="1">
      <c r="A76" s="13" t="s">
        <v>3482</v>
      </c>
      <c r="B76" s="15" t="str">
        <f>IMAGE("https://i.imgur.com/YJUlXf3.png")</f>
        <v/>
      </c>
      <c r="C76" s="17" t="str">
        <f>HYPERLINK("https://imgur.com/a/LMx7IR6","Yes")</f>
        <v>Yes</v>
      </c>
      <c r="D76" s="15" t="s">
        <v>28</v>
      </c>
      <c r="E76" s="13">
        <v>2600.0</v>
      </c>
      <c r="F76" s="13">
        <v>650.0</v>
      </c>
      <c r="G76" s="15">
        <v>5817.0</v>
      </c>
      <c r="H76" s="15" t="s">
        <v>94</v>
      </c>
      <c r="I76" s="15" t="s">
        <v>94</v>
      </c>
      <c r="J76" s="15" t="s">
        <v>38</v>
      </c>
      <c r="K76" s="15" t="s">
        <v>43</v>
      </c>
      <c r="L76" s="15" t="s">
        <v>2749</v>
      </c>
      <c r="M76" s="15" t="s">
        <v>2751</v>
      </c>
      <c r="N76" s="15" t="s">
        <v>852</v>
      </c>
    </row>
    <row r="77" ht="56.25" customHeight="1">
      <c r="A77" s="13" t="s">
        <v>3483</v>
      </c>
      <c r="B77" s="15" t="str">
        <f>IMAGE("https://i.imgur.com/lhARCcm.png")</f>
        <v/>
      </c>
      <c r="C77" s="17" t="str">
        <f>HYPERLINK("https://imgur.com/a/z1gTAqK","Yes")</f>
        <v>Yes</v>
      </c>
      <c r="D77" s="15" t="s">
        <v>28</v>
      </c>
      <c r="E77" s="13">
        <v>4800.0</v>
      </c>
      <c r="F77" s="13">
        <v>1200.0</v>
      </c>
      <c r="G77" s="15">
        <v>5797.0</v>
      </c>
      <c r="H77" s="15" t="s">
        <v>369</v>
      </c>
      <c r="I77" s="15" t="s">
        <v>99</v>
      </c>
      <c r="J77" s="15" t="s">
        <v>38</v>
      </c>
      <c r="K77" s="15" t="s">
        <v>43</v>
      </c>
      <c r="L77" s="15" t="s">
        <v>2749</v>
      </c>
      <c r="M77" s="15" t="s">
        <v>2751</v>
      </c>
      <c r="N77" s="15" t="s">
        <v>852</v>
      </c>
    </row>
    <row r="78" ht="56.25" customHeight="1">
      <c r="A78" s="13" t="s">
        <v>3485</v>
      </c>
      <c r="B78" s="15" t="str">
        <f>IMAGE("https://i.imgur.com/H5SVcvE.png")</f>
        <v/>
      </c>
      <c r="C78" s="17" t="str">
        <f>HYPERLINK("https://imgur.com/a/SgFCLis","Yes")</f>
        <v>Yes</v>
      </c>
      <c r="D78" s="15" t="s">
        <v>28</v>
      </c>
      <c r="E78" s="13">
        <v>1800.0</v>
      </c>
      <c r="F78" s="13">
        <v>450.0</v>
      </c>
      <c r="G78" s="15">
        <v>4359.0</v>
      </c>
      <c r="H78" s="15" t="s">
        <v>107</v>
      </c>
      <c r="I78" s="15" t="s">
        <v>107</v>
      </c>
      <c r="J78" s="15" t="s">
        <v>38</v>
      </c>
      <c r="K78" s="15" t="s">
        <v>43</v>
      </c>
      <c r="L78" s="15" t="s">
        <v>2749</v>
      </c>
      <c r="M78" s="15" t="s">
        <v>2764</v>
      </c>
      <c r="N78" s="15" t="s">
        <v>384</v>
      </c>
    </row>
    <row r="79" ht="56.25" customHeight="1">
      <c r="A79" s="13" t="s">
        <v>3486</v>
      </c>
      <c r="B79" s="15" t="str">
        <f>IMAGE("https://i.imgur.com/hKMh6Wt.png")</f>
        <v/>
      </c>
      <c r="C79" s="17" t="str">
        <f>HYPERLINK("https://imgur.com/a/1EuZEqq","Yes")</f>
        <v>Yes</v>
      </c>
      <c r="D79" s="15" t="s">
        <v>28</v>
      </c>
      <c r="E79" s="13">
        <v>2800.0</v>
      </c>
      <c r="F79" s="13">
        <v>700.0</v>
      </c>
      <c r="G79" s="15">
        <v>3475.0</v>
      </c>
      <c r="H79" s="15" t="s">
        <v>112</v>
      </c>
      <c r="I79" s="15" t="s">
        <v>208</v>
      </c>
      <c r="J79" s="15" t="s">
        <v>38</v>
      </c>
      <c r="K79" s="15" t="s">
        <v>43</v>
      </c>
      <c r="L79" s="15" t="s">
        <v>2749</v>
      </c>
      <c r="M79" s="15" t="s">
        <v>2751</v>
      </c>
      <c r="N79" s="15" t="s">
        <v>2863</v>
      </c>
    </row>
    <row r="80" ht="56.25" customHeight="1">
      <c r="A80" s="13" t="s">
        <v>3488</v>
      </c>
      <c r="B80" s="15" t="str">
        <f>IMAGE("https://i.imgur.com/BREHlHj.png")</f>
        <v/>
      </c>
      <c r="C80" s="17" t="str">
        <f>HYPERLINK("https://imgur.com/a/kvQt47d","Yes")</f>
        <v>Yes</v>
      </c>
      <c r="D80" s="15" t="s">
        <v>28</v>
      </c>
      <c r="E80" s="13">
        <v>1820.0</v>
      </c>
      <c r="F80" s="13">
        <v>455.0</v>
      </c>
      <c r="G80" s="15">
        <v>4570.0</v>
      </c>
      <c r="H80" s="15" t="s">
        <v>1614</v>
      </c>
      <c r="I80" s="15" t="s">
        <v>1614</v>
      </c>
      <c r="J80" s="15" t="s">
        <v>38</v>
      </c>
      <c r="K80" s="15" t="s">
        <v>43</v>
      </c>
      <c r="L80" s="15" t="s">
        <v>2749</v>
      </c>
      <c r="M80" s="15" t="s">
        <v>2764</v>
      </c>
      <c r="N80" s="15" t="s">
        <v>2863</v>
      </c>
    </row>
    <row r="81" ht="56.25" customHeight="1">
      <c r="A81" s="13" t="s">
        <v>3489</v>
      </c>
      <c r="B81" s="15" t="str">
        <f>IMAGE("https://i.imgur.com/WlAOSBR.png")</f>
        <v/>
      </c>
      <c r="C81" s="17" t="str">
        <f>HYPERLINK("https://imgur.com/a/BES6nw9","Yes")</f>
        <v>Yes</v>
      </c>
      <c r="D81" s="15" t="s">
        <v>28</v>
      </c>
      <c r="E81" s="13">
        <v>1200.0</v>
      </c>
      <c r="F81" s="13">
        <v>300.0</v>
      </c>
      <c r="G81" s="15">
        <v>6901.0</v>
      </c>
      <c r="H81" s="15" t="s">
        <v>107</v>
      </c>
      <c r="I81" s="15" t="s">
        <v>82</v>
      </c>
      <c r="J81" s="15" t="s">
        <v>38</v>
      </c>
      <c r="K81" s="15" t="s">
        <v>43</v>
      </c>
      <c r="L81" s="15" t="s">
        <v>2749</v>
      </c>
      <c r="M81" s="15" t="s">
        <v>2764</v>
      </c>
      <c r="N81" s="15" t="s">
        <v>384</v>
      </c>
    </row>
    <row r="82" ht="56.25" customHeight="1">
      <c r="A82" s="13" t="s">
        <v>3492</v>
      </c>
      <c r="B82" s="15" t="str">
        <f>IMAGE("https://i.imgur.com/8AQGsee.png")</f>
        <v/>
      </c>
      <c r="C82" s="15" t="s">
        <v>40</v>
      </c>
      <c r="D82" s="15" t="s">
        <v>28</v>
      </c>
      <c r="E82" s="13">
        <v>2520.0</v>
      </c>
      <c r="F82" s="13">
        <v>630.0</v>
      </c>
      <c r="G82" s="15">
        <v>4603.0</v>
      </c>
      <c r="H82" s="15" t="s">
        <v>208</v>
      </c>
      <c r="I82" s="15" t="s">
        <v>99</v>
      </c>
      <c r="J82" s="15" t="s">
        <v>38</v>
      </c>
      <c r="K82" s="15" t="s">
        <v>43</v>
      </c>
      <c r="L82" s="15" t="s">
        <v>2749</v>
      </c>
      <c r="M82" s="15" t="s">
        <v>2751</v>
      </c>
      <c r="N82" s="15" t="s">
        <v>2863</v>
      </c>
    </row>
    <row r="83" ht="56.25" customHeight="1">
      <c r="A83" s="13" t="s">
        <v>3493</v>
      </c>
      <c r="B83" s="15" t="str">
        <f>IMAGE("https://i.imgur.com/fEvOpsK.png")</f>
        <v/>
      </c>
      <c r="C83" s="17" t="str">
        <f>HYPERLINK("https://imgur.com/a/4vrPWW3","Yes")</f>
        <v>Yes</v>
      </c>
      <c r="D83" s="15" t="s">
        <v>28</v>
      </c>
      <c r="E83" s="13">
        <v>1540.0</v>
      </c>
      <c r="F83" s="13">
        <v>385.0</v>
      </c>
      <c r="G83" s="15">
        <v>4584.0</v>
      </c>
      <c r="H83" s="15" t="s">
        <v>369</v>
      </c>
      <c r="I83" s="15" t="s">
        <v>369</v>
      </c>
      <c r="J83" s="15" t="s">
        <v>38</v>
      </c>
      <c r="K83" s="15" t="s">
        <v>43</v>
      </c>
      <c r="L83" s="15" t="s">
        <v>2749</v>
      </c>
      <c r="M83" s="15" t="s">
        <v>2764</v>
      </c>
      <c r="N83" s="15" t="s">
        <v>2863</v>
      </c>
    </row>
    <row r="84" ht="56.25" customHeight="1">
      <c r="A84" s="13" t="s">
        <v>3494</v>
      </c>
      <c r="B84" s="15" t="str">
        <f>IMAGE("https://i.imgur.com/zUL8ITm.png")</f>
        <v/>
      </c>
      <c r="C84" s="17" t="str">
        <f>HYPERLINK("https://imgur.com/a/TUhmk5y","Yes")</f>
        <v>Yes</v>
      </c>
      <c r="D84" s="15" t="s">
        <v>28</v>
      </c>
      <c r="E84" s="13">
        <v>2000.0</v>
      </c>
      <c r="F84" s="13">
        <v>500.0</v>
      </c>
      <c r="G84" s="15">
        <v>4403.0</v>
      </c>
      <c r="H84" s="15" t="s">
        <v>107</v>
      </c>
      <c r="I84" s="15" t="s">
        <v>208</v>
      </c>
      <c r="J84" s="15" t="s">
        <v>38</v>
      </c>
      <c r="K84" s="15" t="s">
        <v>43</v>
      </c>
      <c r="L84" s="15" t="s">
        <v>2749</v>
      </c>
      <c r="M84" s="15" t="s">
        <v>2751</v>
      </c>
      <c r="N84" s="15" t="s">
        <v>384</v>
      </c>
    </row>
    <row r="85" ht="56.25" customHeight="1">
      <c r="A85" s="13" t="s">
        <v>3496</v>
      </c>
      <c r="B85" s="15" t="str">
        <f>IMAGE("https://i.imgur.com/iSJEY8Z.png")</f>
        <v/>
      </c>
      <c r="C85" s="17" t="str">
        <f>HYPERLINK("https://imgur.com/a/sGs4bXn","Yes")</f>
        <v>Yes</v>
      </c>
      <c r="D85" s="15" t="s">
        <v>28</v>
      </c>
      <c r="E85" s="13">
        <v>1700.0</v>
      </c>
      <c r="F85" s="13">
        <v>425.0</v>
      </c>
      <c r="G85" s="15">
        <v>3421.0</v>
      </c>
      <c r="H85" s="15" t="s">
        <v>369</v>
      </c>
      <c r="I85" s="15" t="s">
        <v>1608</v>
      </c>
      <c r="J85" s="15" t="s">
        <v>38</v>
      </c>
      <c r="K85" s="15" t="s">
        <v>43</v>
      </c>
      <c r="L85" s="15" t="s">
        <v>2749</v>
      </c>
      <c r="M85" s="15" t="s">
        <v>2751</v>
      </c>
      <c r="N85" s="15" t="s">
        <v>384</v>
      </c>
    </row>
    <row r="86" ht="56.25" customHeight="1">
      <c r="A86" s="13" t="s">
        <v>3497</v>
      </c>
      <c r="B86" s="15" t="str">
        <f>IMAGE("https://i.imgur.com/wMEukYZ.png")</f>
        <v/>
      </c>
      <c r="C86" s="17" t="str">
        <f>HYPERLINK("https://imgur.com/a/MbONJbf","Yes")</f>
        <v>Yes</v>
      </c>
      <c r="D86" s="15" t="s">
        <v>28</v>
      </c>
      <c r="E86" s="13">
        <v>490.0</v>
      </c>
      <c r="F86" s="13">
        <v>122.0</v>
      </c>
      <c r="G86" s="15">
        <v>4344.0</v>
      </c>
      <c r="H86" s="15" t="s">
        <v>118</v>
      </c>
      <c r="I86" s="15" t="s">
        <v>1608</v>
      </c>
      <c r="J86" s="15" t="s">
        <v>38</v>
      </c>
      <c r="K86" s="15" t="s">
        <v>43</v>
      </c>
      <c r="L86" s="15" t="s">
        <v>2749</v>
      </c>
      <c r="M86" s="15" t="s">
        <v>2764</v>
      </c>
      <c r="N86" s="15" t="s">
        <v>2744</v>
      </c>
    </row>
    <row r="87" ht="56.25" customHeight="1">
      <c r="A87" s="13" t="s">
        <v>3500</v>
      </c>
      <c r="B87" s="15" t="str">
        <f>IMAGE("https://i.imgur.com/gPwQGYF.png")</f>
        <v/>
      </c>
      <c r="C87" s="17" t="str">
        <f>HYPERLINK("https://imgur.com/a/Lz0eNDG","Yes")</f>
        <v>Yes</v>
      </c>
      <c r="D87" s="15" t="s">
        <v>28</v>
      </c>
      <c r="E87" s="13">
        <v>450.0</v>
      </c>
      <c r="F87" s="13">
        <v>112.0</v>
      </c>
      <c r="G87" s="15">
        <v>4345.0</v>
      </c>
      <c r="H87" s="15" t="s">
        <v>1608</v>
      </c>
      <c r="I87" s="15" t="s">
        <v>118</v>
      </c>
      <c r="J87" s="15" t="s">
        <v>38</v>
      </c>
      <c r="K87" s="15" t="s">
        <v>43</v>
      </c>
      <c r="L87" s="15" t="s">
        <v>2749</v>
      </c>
      <c r="M87" s="15" t="s">
        <v>2764</v>
      </c>
      <c r="N87" s="15" t="s">
        <v>2744</v>
      </c>
    </row>
    <row r="88" ht="56.25" customHeight="1">
      <c r="A88" s="13" t="s">
        <v>3501</v>
      </c>
      <c r="B88" s="15" t="str">
        <f>IMAGE("https://i.imgur.com/E01x6sg.png")</f>
        <v/>
      </c>
      <c r="C88" s="17" t="str">
        <f>HYPERLINK("https://imgur.com/a/qVVkTPa","Yes")</f>
        <v>Yes</v>
      </c>
      <c r="D88" s="15" t="s">
        <v>28</v>
      </c>
      <c r="E88" s="13">
        <v>1120.0</v>
      </c>
      <c r="F88" s="13">
        <v>280.0</v>
      </c>
      <c r="G88" s="15">
        <v>4324.0</v>
      </c>
      <c r="H88" s="15" t="s">
        <v>99</v>
      </c>
      <c r="I88" s="15" t="s">
        <v>99</v>
      </c>
      <c r="J88" s="15" t="s">
        <v>38</v>
      </c>
      <c r="K88" s="15" t="s">
        <v>43</v>
      </c>
      <c r="L88" s="15" t="s">
        <v>2749</v>
      </c>
      <c r="M88" s="15" t="s">
        <v>2751</v>
      </c>
      <c r="N88" s="15" t="s">
        <v>2744</v>
      </c>
    </row>
    <row r="89" ht="56.25" customHeight="1">
      <c r="A89" s="13" t="s">
        <v>3502</v>
      </c>
      <c r="B89" s="15" t="str">
        <f>IMAGE("https://i.imgur.com/H26xx0S.png")</f>
        <v/>
      </c>
      <c r="C89" s="17" t="str">
        <f>HYPERLINK("https://imgur.com/a/A6tydH7","Yes")</f>
        <v>Yes</v>
      </c>
      <c r="D89" s="15" t="s">
        <v>28</v>
      </c>
      <c r="E89" s="13">
        <v>2600.0</v>
      </c>
      <c r="F89" s="13">
        <v>650.0</v>
      </c>
      <c r="G89" s="15">
        <v>4341.0</v>
      </c>
      <c r="H89" s="15" t="s">
        <v>99</v>
      </c>
      <c r="I89" s="15" t="s">
        <v>82</v>
      </c>
      <c r="J89" s="15" t="s">
        <v>38</v>
      </c>
      <c r="K89" s="15" t="s">
        <v>43</v>
      </c>
      <c r="L89" s="15" t="s">
        <v>2749</v>
      </c>
      <c r="M89" s="15" t="s">
        <v>2751</v>
      </c>
      <c r="N89" s="15" t="s">
        <v>852</v>
      </c>
    </row>
    <row r="90" ht="56.25" customHeight="1">
      <c r="A90" s="13" t="s">
        <v>3503</v>
      </c>
      <c r="B90" s="15" t="str">
        <f>IMAGE("https://i.imgur.com/NC6TXYX.png")</f>
        <v/>
      </c>
      <c r="C90" s="15" t="s">
        <v>40</v>
      </c>
      <c r="D90" s="15" t="s">
        <v>28</v>
      </c>
      <c r="E90" s="13">
        <v>1440.0</v>
      </c>
      <c r="F90" s="13">
        <v>360.0</v>
      </c>
      <c r="G90" s="15">
        <v>5616.0</v>
      </c>
      <c r="H90" s="15" t="s">
        <v>94</v>
      </c>
      <c r="I90" s="15" t="s">
        <v>82</v>
      </c>
      <c r="J90" s="15" t="s">
        <v>38</v>
      </c>
      <c r="K90" s="15" t="s">
        <v>43</v>
      </c>
      <c r="L90" s="15" t="s">
        <v>2749</v>
      </c>
      <c r="M90" s="15" t="s">
        <v>2751</v>
      </c>
      <c r="N90" s="15" t="s">
        <v>384</v>
      </c>
    </row>
    <row r="91" ht="56.25" customHeight="1">
      <c r="A91" s="13" t="s">
        <v>3504</v>
      </c>
      <c r="B91" s="15" t="str">
        <f>IMAGE("https://i.imgur.com/KeHtGmg.png")</f>
        <v/>
      </c>
      <c r="C91" s="15" t="s">
        <v>40</v>
      </c>
      <c r="D91" s="25" t="s">
        <v>50</v>
      </c>
      <c r="E91" s="24" t="s">
        <v>51</v>
      </c>
      <c r="F91" s="13">
        <v>80000.0</v>
      </c>
      <c r="G91" s="15">
        <v>4590.0</v>
      </c>
      <c r="H91" s="15" t="s">
        <v>211</v>
      </c>
      <c r="I91" s="15" t="s">
        <v>211</v>
      </c>
      <c r="J91" s="15" t="s">
        <v>38</v>
      </c>
      <c r="K91" s="15" t="s">
        <v>54</v>
      </c>
      <c r="L91" s="15" t="s">
        <v>55</v>
      </c>
      <c r="M91" s="15"/>
      <c r="N91" s="15" t="s">
        <v>852</v>
      </c>
    </row>
    <row r="92" ht="56.25" customHeight="1">
      <c r="A92" s="13" t="s">
        <v>3506</v>
      </c>
      <c r="B92" s="15" t="str">
        <f>IMAGE("https://i.imgur.com/attf7LG.png")</f>
        <v/>
      </c>
      <c r="C92" s="15" t="s">
        <v>40</v>
      </c>
      <c r="D92" s="15" t="s">
        <v>28</v>
      </c>
      <c r="E92" s="13">
        <v>1500.0</v>
      </c>
      <c r="F92" s="13">
        <v>375.0</v>
      </c>
      <c r="G92" s="15">
        <v>3290.0</v>
      </c>
      <c r="H92" s="15" t="s">
        <v>464</v>
      </c>
      <c r="I92" s="15" t="s">
        <v>369</v>
      </c>
      <c r="J92" s="15" t="s">
        <v>38</v>
      </c>
      <c r="K92" s="15" t="s">
        <v>43</v>
      </c>
      <c r="L92" s="15" t="s">
        <v>2749</v>
      </c>
      <c r="M92" s="15" t="s">
        <v>2764</v>
      </c>
      <c r="N92" s="15" t="s">
        <v>384</v>
      </c>
    </row>
    <row r="93" ht="56.25" customHeight="1">
      <c r="A93" s="13" t="s">
        <v>3507</v>
      </c>
      <c r="B93" s="15" t="str">
        <f>IMAGE("https://i.imgur.com/OUBpJEW.png")</f>
        <v/>
      </c>
      <c r="C93" s="17" t="str">
        <f>HYPERLINK("https://imgur.com/a/0yTAZUg","Yes")</f>
        <v>Yes</v>
      </c>
      <c r="D93" s="15" t="s">
        <v>28</v>
      </c>
      <c r="E93" s="13">
        <v>1800.0</v>
      </c>
      <c r="F93" s="13">
        <v>450.0</v>
      </c>
      <c r="G93" s="15">
        <v>2686.0</v>
      </c>
      <c r="H93" s="15" t="s">
        <v>107</v>
      </c>
      <c r="I93" s="15" t="s">
        <v>369</v>
      </c>
      <c r="J93" s="15" t="s">
        <v>38</v>
      </c>
      <c r="K93" s="15" t="s">
        <v>43</v>
      </c>
      <c r="L93" s="15" t="s">
        <v>2749</v>
      </c>
      <c r="M93" s="15" t="s">
        <v>2764</v>
      </c>
      <c r="N93" s="15" t="s">
        <v>384</v>
      </c>
    </row>
    <row r="94" ht="56.25" customHeight="1">
      <c r="A94" s="13" t="s">
        <v>3508</v>
      </c>
      <c r="B94" s="15" t="str">
        <f>IMAGE("https://i.imgur.com/5pHuQcF.png")</f>
        <v/>
      </c>
      <c r="C94" s="17" t="str">
        <f>HYPERLINK("https://imgur.com/a/FMRFcVU","Yes")</f>
        <v>Yes</v>
      </c>
      <c r="D94" s="15" t="s">
        <v>28</v>
      </c>
      <c r="E94" s="13">
        <v>3180.0</v>
      </c>
      <c r="F94" s="13">
        <v>795.0</v>
      </c>
      <c r="G94" s="15">
        <v>4319.0</v>
      </c>
      <c r="H94" s="15" t="s">
        <v>464</v>
      </c>
      <c r="I94" s="15" t="s">
        <v>208</v>
      </c>
      <c r="J94" s="15" t="s">
        <v>38</v>
      </c>
      <c r="K94" s="15" t="s">
        <v>43</v>
      </c>
      <c r="L94" s="15" t="s">
        <v>2749</v>
      </c>
      <c r="M94" s="15" t="s">
        <v>2751</v>
      </c>
      <c r="N94" s="15" t="s">
        <v>2863</v>
      </c>
    </row>
    <row r="95" ht="56.25" customHeight="1">
      <c r="A95" s="13" t="s">
        <v>3510</v>
      </c>
      <c r="B95" s="15" t="str">
        <f>IMAGE("https://i.imgur.com/bK0j98u.png")</f>
        <v/>
      </c>
      <c r="C95" s="15" t="s">
        <v>40</v>
      </c>
      <c r="D95" s="15" t="s">
        <v>28</v>
      </c>
      <c r="E95" s="13">
        <v>4800.0</v>
      </c>
      <c r="F95" s="13">
        <v>1200.0</v>
      </c>
      <c r="G95" s="15">
        <v>9835.0</v>
      </c>
      <c r="H95" s="15" t="s">
        <v>99</v>
      </c>
      <c r="I95" s="15" t="s">
        <v>94</v>
      </c>
      <c r="J95" s="15" t="s">
        <v>38</v>
      </c>
      <c r="K95" s="15" t="s">
        <v>43</v>
      </c>
      <c r="L95" s="15" t="s">
        <v>2749</v>
      </c>
      <c r="M95" s="15" t="s">
        <v>2751</v>
      </c>
      <c r="N95" s="15" t="s">
        <v>2756</v>
      </c>
    </row>
    <row r="96" ht="56.25" customHeight="1">
      <c r="A96" s="13" t="s">
        <v>3511</v>
      </c>
      <c r="B96" s="15" t="str">
        <f>IMAGE("https://i.imgur.com/BZPFele.png")</f>
        <v/>
      </c>
      <c r="C96" s="17" t="str">
        <f>HYPERLINK("https://imgur.com/a/XmuKCNI","Yes")</f>
        <v>Yes</v>
      </c>
      <c r="D96" s="15" t="s">
        <v>28</v>
      </c>
      <c r="E96" s="13">
        <v>1800.0</v>
      </c>
      <c r="F96" s="13">
        <v>450.0</v>
      </c>
      <c r="G96" s="15">
        <v>8189.0</v>
      </c>
      <c r="H96" s="15" t="s">
        <v>208</v>
      </c>
      <c r="I96" s="15" t="s">
        <v>82</v>
      </c>
      <c r="J96" s="15" t="s">
        <v>38</v>
      </c>
      <c r="K96" s="15" t="s">
        <v>43</v>
      </c>
      <c r="L96" s="15" t="s">
        <v>2749</v>
      </c>
      <c r="M96" s="15" t="s">
        <v>2764</v>
      </c>
      <c r="N96" s="15" t="s">
        <v>384</v>
      </c>
    </row>
    <row r="97" ht="56.25" customHeight="1">
      <c r="A97" s="13" t="s">
        <v>3513</v>
      </c>
      <c r="B97" s="15" t="str">
        <f>IMAGE("https://i.imgur.com/A07GaiB.png")</f>
        <v/>
      </c>
      <c r="C97" s="15" t="s">
        <v>40</v>
      </c>
      <c r="D97" s="15" t="s">
        <v>28</v>
      </c>
      <c r="E97" s="13">
        <v>1280.0</v>
      </c>
      <c r="F97" s="13">
        <v>320.0</v>
      </c>
      <c r="G97" s="15">
        <v>5287.0</v>
      </c>
      <c r="H97" s="15" t="s">
        <v>208</v>
      </c>
      <c r="I97" s="15" t="s">
        <v>521</v>
      </c>
      <c r="J97" s="15" t="s">
        <v>38</v>
      </c>
      <c r="K97" s="15" t="s">
        <v>43</v>
      </c>
      <c r="L97" s="15" t="s">
        <v>2749</v>
      </c>
      <c r="M97" s="15" t="s">
        <v>2751</v>
      </c>
      <c r="N97" s="15" t="s">
        <v>2793</v>
      </c>
    </row>
    <row r="98" ht="56.25" customHeight="1">
      <c r="A98" s="13" t="s">
        <v>3514</v>
      </c>
      <c r="B98" s="15" t="str">
        <f>IMAGE("https://i.imgur.com/3MlOINm.png")</f>
        <v/>
      </c>
      <c r="C98" s="17" t="str">
        <f>HYPERLINK("https://imgur.com/a/dnR4Xdy","Yes")</f>
        <v>Yes</v>
      </c>
      <c r="D98" s="15" t="s">
        <v>28</v>
      </c>
      <c r="E98" s="13">
        <v>1600.0</v>
      </c>
      <c r="F98" s="13">
        <v>400.0</v>
      </c>
      <c r="G98" s="15">
        <v>4579.0</v>
      </c>
      <c r="H98" s="15" t="s">
        <v>1614</v>
      </c>
      <c r="I98" s="15" t="s">
        <v>107</v>
      </c>
      <c r="J98" s="15" t="s">
        <v>38</v>
      </c>
      <c r="K98" s="15" t="s">
        <v>43</v>
      </c>
      <c r="L98" s="15" t="s">
        <v>2749</v>
      </c>
      <c r="M98" s="15" t="s">
        <v>2764</v>
      </c>
      <c r="N98" s="15" t="s">
        <v>384</v>
      </c>
    </row>
    <row r="99" ht="56.25" customHeight="1">
      <c r="A99" s="13" t="s">
        <v>3515</v>
      </c>
      <c r="B99" s="15" t="str">
        <f>IMAGE("https://i.imgur.com/Crszzm0.png")</f>
        <v/>
      </c>
      <c r="C99" s="17" t="str">
        <f>HYPERLINK("https://imgur.com/a/uBUjGLQ","Yes")</f>
        <v>Yes</v>
      </c>
      <c r="D99" s="15" t="s">
        <v>28</v>
      </c>
      <c r="E99" s="13">
        <v>2640.0</v>
      </c>
      <c r="F99" s="13">
        <v>660.0</v>
      </c>
      <c r="G99" s="15">
        <v>5831.0</v>
      </c>
      <c r="H99" s="15" t="s">
        <v>82</v>
      </c>
      <c r="I99" s="15" t="s">
        <v>208</v>
      </c>
      <c r="J99" s="15" t="s">
        <v>38</v>
      </c>
      <c r="K99" s="15" t="s">
        <v>43</v>
      </c>
      <c r="L99" s="15" t="s">
        <v>2749</v>
      </c>
      <c r="M99" s="15" t="s">
        <v>2764</v>
      </c>
      <c r="N99" s="15" t="s">
        <v>2793</v>
      </c>
    </row>
    <row r="100" ht="56.25" customHeight="1">
      <c r="A100" s="13" t="s">
        <v>3516</v>
      </c>
      <c r="B100" s="15" t="str">
        <f>IMAGE("https://i.imgur.com/KZJlo9t.png")</f>
        <v/>
      </c>
      <c r="C100" s="15" t="s">
        <v>40</v>
      </c>
      <c r="D100" s="15" t="s">
        <v>28</v>
      </c>
      <c r="E100" s="13">
        <v>5200.0</v>
      </c>
      <c r="F100" s="13">
        <v>1300.0</v>
      </c>
      <c r="G100" s="15">
        <v>4648.0</v>
      </c>
      <c r="H100" s="15" t="s">
        <v>1614</v>
      </c>
      <c r="I100" s="15" t="s">
        <v>1614</v>
      </c>
      <c r="J100" s="15" t="s">
        <v>38</v>
      </c>
      <c r="K100" s="15" t="s">
        <v>43</v>
      </c>
      <c r="L100" s="15" t="s">
        <v>2749</v>
      </c>
      <c r="M100" s="15" t="s">
        <v>2751</v>
      </c>
      <c r="N100" s="15" t="s">
        <v>852</v>
      </c>
    </row>
    <row r="101" ht="56.25" customHeight="1">
      <c r="A101" s="13" t="s">
        <v>3519</v>
      </c>
      <c r="B101" s="15" t="str">
        <f>IMAGE("https://i.imgur.com/IlGYFtJ.png")</f>
        <v/>
      </c>
      <c r="C101" s="17" t="str">
        <f>HYPERLINK("https://imgur.com/a/wfz5zrs","Yes")</f>
        <v>Yes</v>
      </c>
      <c r="D101" s="15" t="s">
        <v>28</v>
      </c>
      <c r="E101" s="13">
        <v>2240.0</v>
      </c>
      <c r="F101" s="13">
        <v>560.0</v>
      </c>
      <c r="G101" s="15">
        <v>4711.0</v>
      </c>
      <c r="H101" s="15" t="s">
        <v>99</v>
      </c>
      <c r="I101" s="15" t="s">
        <v>99</v>
      </c>
      <c r="J101" s="15" t="s">
        <v>38</v>
      </c>
      <c r="K101" s="15" t="s">
        <v>43</v>
      </c>
      <c r="L101" s="15" t="s">
        <v>2749</v>
      </c>
      <c r="M101" s="15" t="s">
        <v>2751</v>
      </c>
      <c r="N101" s="15" t="s">
        <v>2756</v>
      </c>
    </row>
    <row r="102" ht="56.25" customHeight="1">
      <c r="A102" s="13" t="s">
        <v>3520</v>
      </c>
      <c r="B102" s="15" t="str">
        <f>IMAGE("https://i.imgur.com/WMuq4Lv.png")</f>
        <v/>
      </c>
      <c r="C102" s="17" t="str">
        <f>HYPERLINK("https://imgur.com/a/BXs8Sz9","Yes")</f>
        <v>Yes</v>
      </c>
      <c r="D102" s="15" t="s">
        <v>28</v>
      </c>
      <c r="E102" s="13">
        <v>2280.0</v>
      </c>
      <c r="F102" s="13">
        <v>570.0</v>
      </c>
      <c r="G102" s="15">
        <v>5387.0</v>
      </c>
      <c r="H102" s="15" t="s">
        <v>464</v>
      </c>
      <c r="I102" s="15" t="s">
        <v>99</v>
      </c>
      <c r="J102" s="15" t="s">
        <v>38</v>
      </c>
      <c r="K102" s="15" t="s">
        <v>43</v>
      </c>
      <c r="L102" s="15" t="s">
        <v>2749</v>
      </c>
      <c r="M102" s="15" t="s">
        <v>2751</v>
      </c>
      <c r="N102" s="15" t="s">
        <v>2793</v>
      </c>
    </row>
    <row r="103" ht="56.25" customHeight="1">
      <c r="A103" s="13" t="s">
        <v>3521</v>
      </c>
      <c r="B103" s="15" t="str">
        <f>IMAGE("https://i.imgur.com/sXn2oIn.png")</f>
        <v/>
      </c>
      <c r="C103" s="15" t="s">
        <v>40</v>
      </c>
      <c r="D103" s="25" t="s">
        <v>50</v>
      </c>
      <c r="E103" s="24" t="s">
        <v>51</v>
      </c>
      <c r="F103" s="13">
        <v>6000.0</v>
      </c>
      <c r="G103" s="15">
        <v>4588.0</v>
      </c>
      <c r="H103" s="15" t="s">
        <v>94</v>
      </c>
      <c r="I103" s="15" t="s">
        <v>94</v>
      </c>
      <c r="J103" s="15" t="s">
        <v>38</v>
      </c>
      <c r="K103" s="15" t="s">
        <v>54</v>
      </c>
      <c r="L103" s="15" t="s">
        <v>55</v>
      </c>
      <c r="M103" s="15"/>
      <c r="N103" s="15" t="s">
        <v>2756</v>
      </c>
    </row>
    <row r="104" ht="56.25" customHeight="1">
      <c r="A104" s="13" t="s">
        <v>3523</v>
      </c>
      <c r="B104" s="15" t="str">
        <f>IMAGE("https://i.imgur.com/mHavgCX.png")</f>
        <v/>
      </c>
      <c r="C104" s="17" t="str">
        <f>HYPERLINK("https://imgur.com/a/pZGKjgK","Yes")</f>
        <v>Yes</v>
      </c>
      <c r="D104" s="15" t="s">
        <v>28</v>
      </c>
      <c r="E104" s="13">
        <v>2240.0</v>
      </c>
      <c r="F104" s="13">
        <v>560.0</v>
      </c>
      <c r="G104" s="15">
        <v>3450.0</v>
      </c>
      <c r="H104" s="15" t="s">
        <v>464</v>
      </c>
      <c r="I104" s="15" t="s">
        <v>211</v>
      </c>
      <c r="J104" s="15" t="s">
        <v>38</v>
      </c>
      <c r="K104" s="15" t="s">
        <v>43</v>
      </c>
      <c r="L104" s="15" t="s">
        <v>2749</v>
      </c>
      <c r="M104" s="15" t="s">
        <v>2751</v>
      </c>
      <c r="N104" s="15" t="s">
        <v>2793</v>
      </c>
    </row>
    <row r="105" ht="56.25" customHeight="1">
      <c r="A105" s="13" t="s">
        <v>3525</v>
      </c>
      <c r="B105" s="15" t="str">
        <f>IMAGE("https://i.imgur.com/VBfqILD.png")</f>
        <v/>
      </c>
      <c r="C105" s="17" t="str">
        <f>HYPERLINK("https://imgur.com/a/hvjbwEs","Yes")</f>
        <v>Yes</v>
      </c>
      <c r="D105" s="15" t="s">
        <v>28</v>
      </c>
      <c r="E105" s="13">
        <v>1820.0</v>
      </c>
      <c r="F105" s="13">
        <v>455.0</v>
      </c>
      <c r="G105" s="15">
        <v>3452.0</v>
      </c>
      <c r="H105" s="15" t="s">
        <v>112</v>
      </c>
      <c r="I105" s="15" t="s">
        <v>112</v>
      </c>
      <c r="J105" s="15" t="s">
        <v>38</v>
      </c>
      <c r="K105" s="15" t="s">
        <v>43</v>
      </c>
      <c r="L105" s="15" t="s">
        <v>2749</v>
      </c>
      <c r="M105" s="15" t="s">
        <v>2751</v>
      </c>
      <c r="N105" s="15" t="s">
        <v>2744</v>
      </c>
    </row>
    <row r="106" ht="56.25" customHeight="1">
      <c r="A106" s="13" t="s">
        <v>3527</v>
      </c>
      <c r="B106" s="15" t="str">
        <f>IMAGE("https://i.imgur.com/lAlE2wj.png")</f>
        <v/>
      </c>
      <c r="C106" s="17" t="str">
        <f>HYPERLINK("https://imgur.com/a/Bt3x0qD","Yes")</f>
        <v>Yes</v>
      </c>
      <c r="D106" s="15" t="s">
        <v>28</v>
      </c>
      <c r="E106" s="13">
        <v>1920.0</v>
      </c>
      <c r="F106" s="13">
        <v>480.0</v>
      </c>
      <c r="G106" s="15">
        <v>3409.0</v>
      </c>
      <c r="H106" s="15" t="s">
        <v>107</v>
      </c>
      <c r="I106" s="15" t="s">
        <v>112</v>
      </c>
      <c r="J106" s="15" t="s">
        <v>38</v>
      </c>
      <c r="K106" s="15" t="s">
        <v>43</v>
      </c>
      <c r="L106" s="15" t="s">
        <v>2749</v>
      </c>
      <c r="M106" s="15" t="s">
        <v>2751</v>
      </c>
      <c r="N106" s="15" t="s">
        <v>2793</v>
      </c>
    </row>
    <row r="107" ht="56.25" customHeight="1">
      <c r="A107" s="13" t="s">
        <v>3529</v>
      </c>
      <c r="B107" s="15" t="str">
        <f>IMAGE("https://i.imgur.com/AEd9vir.png")</f>
        <v/>
      </c>
      <c r="C107" s="17" t="str">
        <f>HYPERLINK("https://imgur.com/a/6yxW6Wp","Yes")</f>
        <v>Yes</v>
      </c>
      <c r="D107" s="15" t="s">
        <v>28</v>
      </c>
      <c r="E107" s="13">
        <v>1760.0</v>
      </c>
      <c r="F107" s="13">
        <v>440.0</v>
      </c>
      <c r="G107" s="15">
        <v>4249.0</v>
      </c>
      <c r="H107" s="15" t="s">
        <v>82</v>
      </c>
      <c r="I107" s="15" t="s">
        <v>99</v>
      </c>
      <c r="J107" s="15" t="s">
        <v>38</v>
      </c>
      <c r="K107" s="15" t="s">
        <v>43</v>
      </c>
      <c r="L107" s="15" t="s">
        <v>2749</v>
      </c>
      <c r="M107" s="15" t="s">
        <v>2751</v>
      </c>
      <c r="N107" s="15" t="s">
        <v>2793</v>
      </c>
    </row>
    <row r="108" ht="56.25" customHeight="1">
      <c r="A108" s="13" t="s">
        <v>3530</v>
      </c>
      <c r="B108" s="15" t="str">
        <f>IMAGE("https://i.imgur.com/1ggJdXm.png")</f>
        <v/>
      </c>
      <c r="C108" s="17" t="str">
        <f>HYPERLINK("https://imgur.com/a/fDtNm3N","Yes")</f>
        <v>Yes</v>
      </c>
      <c r="D108" s="15" t="s">
        <v>28</v>
      </c>
      <c r="E108" s="13">
        <v>1050.0</v>
      </c>
      <c r="F108" s="13">
        <v>262.0</v>
      </c>
      <c r="G108" s="15">
        <v>3448.0</v>
      </c>
      <c r="H108" s="15" t="s">
        <v>521</v>
      </c>
      <c r="I108" s="15" t="s">
        <v>521</v>
      </c>
      <c r="J108" s="15" t="s">
        <v>38</v>
      </c>
      <c r="K108" s="15" t="s">
        <v>43</v>
      </c>
      <c r="L108" s="15" t="s">
        <v>2749</v>
      </c>
      <c r="M108" s="15" t="s">
        <v>2764</v>
      </c>
      <c r="N108" s="15" t="s">
        <v>2793</v>
      </c>
    </row>
    <row r="109" ht="56.25" customHeight="1">
      <c r="A109" s="13" t="s">
        <v>3533</v>
      </c>
      <c r="B109" s="15" t="str">
        <f>IMAGE("https://i.imgur.com/36H8G1D.png")</f>
        <v/>
      </c>
      <c r="C109" s="15" t="s">
        <v>40</v>
      </c>
      <c r="D109" s="25" t="s">
        <v>28</v>
      </c>
      <c r="E109" s="13">
        <v>7000.0</v>
      </c>
      <c r="F109" s="13">
        <v>1750.0</v>
      </c>
      <c r="G109" s="15">
        <v>9833.0</v>
      </c>
      <c r="H109" s="15" t="s">
        <v>208</v>
      </c>
      <c r="I109" s="15" t="s">
        <v>369</v>
      </c>
      <c r="J109" s="15" t="s">
        <v>38</v>
      </c>
      <c r="K109" s="15" t="s">
        <v>43</v>
      </c>
      <c r="L109" s="15" t="s">
        <v>2749</v>
      </c>
      <c r="M109" s="15" t="s">
        <v>2751</v>
      </c>
      <c r="N109" s="15" t="s">
        <v>852</v>
      </c>
    </row>
    <row r="110" ht="56.25" customHeight="1">
      <c r="A110" s="13" t="s">
        <v>3534</v>
      </c>
      <c r="B110" s="15" t="str">
        <f>IMAGE("https://i.imgur.com/Lw82HDB.png")</f>
        <v/>
      </c>
      <c r="C110" s="17" t="str">
        <f>HYPERLINK("https://imgur.com/a/UbHSLUA","Yes")</f>
        <v>Yes</v>
      </c>
      <c r="D110" s="15" t="s">
        <v>28</v>
      </c>
      <c r="E110" s="13">
        <v>2400.0</v>
      </c>
      <c r="F110" s="13">
        <v>600.0</v>
      </c>
      <c r="G110" s="15">
        <v>6024.0</v>
      </c>
      <c r="H110" s="15" t="s">
        <v>464</v>
      </c>
      <c r="I110" s="15" t="s">
        <v>1608</v>
      </c>
      <c r="J110" s="15" t="s">
        <v>38</v>
      </c>
      <c r="K110" s="15" t="s">
        <v>43</v>
      </c>
      <c r="L110" s="15" t="s">
        <v>2749</v>
      </c>
      <c r="M110" s="15" t="s">
        <v>2751</v>
      </c>
      <c r="N110" s="15" t="s">
        <v>2863</v>
      </c>
    </row>
    <row r="111" ht="56.25" customHeight="1">
      <c r="A111" s="13" t="s">
        <v>3535</v>
      </c>
      <c r="B111" s="15" t="str">
        <f>IMAGE("https://i.imgur.com/rlAZi2X.png")</f>
        <v/>
      </c>
      <c r="C111" s="17" t="str">
        <f>HYPERLINK("https://imgur.com/a/LY55t1U","Yes")</f>
        <v>Yes</v>
      </c>
      <c r="D111" s="15" t="s">
        <v>28</v>
      </c>
      <c r="E111" s="13">
        <v>2520.0</v>
      </c>
      <c r="F111" s="13">
        <v>630.0</v>
      </c>
      <c r="G111" s="15">
        <v>9770.0</v>
      </c>
      <c r="H111" s="15" t="s">
        <v>82</v>
      </c>
      <c r="I111" s="15" t="s">
        <v>82</v>
      </c>
      <c r="J111" s="15" t="s">
        <v>38</v>
      </c>
      <c r="K111" s="15" t="s">
        <v>43</v>
      </c>
      <c r="L111" s="15" t="s">
        <v>2749</v>
      </c>
      <c r="M111" s="15" t="s">
        <v>2751</v>
      </c>
      <c r="N111" s="15" t="s">
        <v>2744</v>
      </c>
    </row>
    <row r="112" ht="56.25" customHeight="1">
      <c r="A112" s="13" t="s">
        <v>3536</v>
      </c>
      <c r="B112" s="15" t="str">
        <f>IMAGE("https://i.imgur.com/vfkgUhK.png")</f>
        <v/>
      </c>
      <c r="C112" s="17" t="str">
        <f>HYPERLINK("https://imgur.com/a/g4JYbZM","Yes")</f>
        <v>Yes</v>
      </c>
      <c r="D112" s="15" t="s">
        <v>28</v>
      </c>
      <c r="E112" s="13">
        <v>1700.0</v>
      </c>
      <c r="F112" s="13">
        <v>425.0</v>
      </c>
      <c r="G112" s="15">
        <v>3424.0</v>
      </c>
      <c r="H112" s="15" t="s">
        <v>369</v>
      </c>
      <c r="I112" s="15" t="s">
        <v>82</v>
      </c>
      <c r="J112" s="15" t="s">
        <v>38</v>
      </c>
      <c r="K112" s="15" t="s">
        <v>43</v>
      </c>
      <c r="L112" s="15" t="s">
        <v>2749</v>
      </c>
      <c r="M112" s="15" t="s">
        <v>2751</v>
      </c>
      <c r="N112" s="15" t="s">
        <v>384</v>
      </c>
    </row>
    <row r="113" ht="56.25" customHeight="1">
      <c r="A113" s="13" t="s">
        <v>3537</v>
      </c>
      <c r="B113" s="15" t="str">
        <f>IMAGE("https://i.imgur.com/IFhPYjV.png")</f>
        <v/>
      </c>
      <c r="C113" s="15" t="s">
        <v>40</v>
      </c>
      <c r="D113" s="15" t="s">
        <v>28</v>
      </c>
      <c r="E113" s="13">
        <v>1500.0</v>
      </c>
      <c r="F113" s="13">
        <v>375.0</v>
      </c>
      <c r="G113" s="15">
        <v>3289.0</v>
      </c>
      <c r="H113" s="15" t="s">
        <v>369</v>
      </c>
      <c r="I113" s="15" t="s">
        <v>118</v>
      </c>
      <c r="J113" s="15" t="s">
        <v>38</v>
      </c>
      <c r="K113" s="15" t="s">
        <v>43</v>
      </c>
      <c r="L113" s="15" t="s">
        <v>2749</v>
      </c>
      <c r="M113" s="15" t="s">
        <v>2764</v>
      </c>
      <c r="N113" s="15" t="s">
        <v>384</v>
      </c>
    </row>
    <row r="114" ht="56.25" customHeight="1">
      <c r="A114" s="13" t="s">
        <v>3538</v>
      </c>
      <c r="B114" s="15" t="str">
        <f>IMAGE("https://i.imgur.com/s6fBgEO.png")</f>
        <v/>
      </c>
      <c r="C114" s="17" t="str">
        <f>HYPERLINK("https://imgur.com/a/KMfOucA","Yes")</f>
        <v>Yes</v>
      </c>
      <c r="D114" s="15" t="s">
        <v>28</v>
      </c>
      <c r="E114" s="13">
        <v>3400.0</v>
      </c>
      <c r="F114" s="13">
        <v>850.0</v>
      </c>
      <c r="G114" s="15">
        <v>9877.0</v>
      </c>
      <c r="H114" s="15" t="s">
        <v>464</v>
      </c>
      <c r="I114" s="15" t="s">
        <v>99</v>
      </c>
      <c r="J114" s="15" t="s">
        <v>38</v>
      </c>
      <c r="K114" s="15" t="s">
        <v>43</v>
      </c>
      <c r="L114" s="15" t="s">
        <v>3134</v>
      </c>
      <c r="M114" s="15"/>
      <c r="N114" s="15" t="s">
        <v>2863</v>
      </c>
    </row>
    <row r="115" ht="56.25" customHeight="1">
      <c r="A115" s="13" t="s">
        <v>3539</v>
      </c>
      <c r="B115" s="15" t="str">
        <f>IMAGE("https://i.imgur.com/QeHALHY.png")</f>
        <v/>
      </c>
      <c r="C115" s="17" t="str">
        <f>HYPERLINK("https://imgur.com/a/fW3RqGP","Yes")</f>
        <v>Yes</v>
      </c>
      <c r="D115" s="15" t="s">
        <v>28</v>
      </c>
      <c r="E115" s="13">
        <v>2500.0</v>
      </c>
      <c r="F115" s="13">
        <v>625.0</v>
      </c>
      <c r="G115" s="15">
        <v>3070.0</v>
      </c>
      <c r="H115" s="15" t="s">
        <v>107</v>
      </c>
      <c r="I115" s="15" t="s">
        <v>82</v>
      </c>
      <c r="J115" s="15" t="s">
        <v>38</v>
      </c>
      <c r="K115" s="15" t="s">
        <v>43</v>
      </c>
      <c r="L115" s="15" t="s">
        <v>2749</v>
      </c>
      <c r="M115" s="15" t="s">
        <v>2751</v>
      </c>
      <c r="N115" s="15" t="s">
        <v>384</v>
      </c>
    </row>
    <row r="116" ht="56.25" customHeight="1">
      <c r="A116" s="13" t="s">
        <v>3541</v>
      </c>
      <c r="B116" s="15" t="str">
        <f>IMAGE("https://i.imgur.com/fmOFudN.png")</f>
        <v/>
      </c>
      <c r="C116" s="17" t="str">
        <f>HYPERLINK("https://imgur.com/a/F0YsAKk","Yes")</f>
        <v>Yes</v>
      </c>
      <c r="D116" s="15" t="s">
        <v>28</v>
      </c>
      <c r="E116" s="13">
        <v>1520.0</v>
      </c>
      <c r="F116" s="13">
        <v>380.0</v>
      </c>
      <c r="G116" s="15">
        <v>4737.0</v>
      </c>
      <c r="H116" s="15" t="s">
        <v>82</v>
      </c>
      <c r="I116" s="15" t="s">
        <v>82</v>
      </c>
      <c r="J116" s="15" t="s">
        <v>38</v>
      </c>
      <c r="K116" s="15" t="s">
        <v>43</v>
      </c>
      <c r="L116" s="15" t="s">
        <v>2749</v>
      </c>
      <c r="M116" s="15" t="s">
        <v>2764</v>
      </c>
      <c r="N116" s="15" t="s">
        <v>384</v>
      </c>
    </row>
    <row r="117" ht="56.25" customHeight="1">
      <c r="A117" s="13" t="s">
        <v>3542</v>
      </c>
      <c r="B117" s="15" t="str">
        <f>IMAGE("https://i.imgur.com/4e7C70c.png")</f>
        <v/>
      </c>
      <c r="C117" s="17" t="str">
        <f>HYPERLINK("https://imgur.com/a/jhnULFm","Yes")</f>
        <v>Yes</v>
      </c>
      <c r="D117" s="15" t="s">
        <v>28</v>
      </c>
      <c r="E117" s="13">
        <v>1200.0</v>
      </c>
      <c r="F117" s="13">
        <v>300.0</v>
      </c>
      <c r="G117" s="15">
        <v>4466.0</v>
      </c>
      <c r="H117" s="15" t="s">
        <v>369</v>
      </c>
      <c r="I117" s="15" t="s">
        <v>82</v>
      </c>
      <c r="J117" s="15" t="s">
        <v>38</v>
      </c>
      <c r="K117" s="15" t="s">
        <v>43</v>
      </c>
      <c r="L117" s="15" t="s">
        <v>2749</v>
      </c>
      <c r="M117" s="15" t="s">
        <v>2764</v>
      </c>
      <c r="N117" s="15" t="s">
        <v>2744</v>
      </c>
    </row>
    <row r="118" ht="56.25" customHeight="1">
      <c r="A118" s="13" t="s">
        <v>3544</v>
      </c>
      <c r="B118" s="15" t="str">
        <f>IMage("https://i.imgur.com/CPzIp9M.png")</f>
        <v/>
      </c>
      <c r="C118" s="17" t="str">
        <f>HYPERLINK("https://imgur.com/a/6CPquq7","Yes")</f>
        <v>Yes</v>
      </c>
      <c r="D118" s="15" t="s">
        <v>28</v>
      </c>
      <c r="E118" s="13">
        <v>1200.0</v>
      </c>
      <c r="F118" s="13">
        <v>300.0</v>
      </c>
      <c r="G118" s="15">
        <v>2704.0</v>
      </c>
      <c r="H118" s="15" t="s">
        <v>208</v>
      </c>
      <c r="I118" s="15" t="s">
        <v>82</v>
      </c>
      <c r="J118" s="15" t="s">
        <v>38</v>
      </c>
      <c r="K118" s="15" t="s">
        <v>43</v>
      </c>
      <c r="L118" s="15" t="s">
        <v>2749</v>
      </c>
      <c r="M118" s="15" t="s">
        <v>2764</v>
      </c>
      <c r="N118" s="15" t="s">
        <v>2744</v>
      </c>
    </row>
    <row r="119" ht="56.25" customHeight="1">
      <c r="A119" s="13" t="s">
        <v>3545</v>
      </c>
      <c r="B119" s="15" t="str">
        <f>IMAGE("https://imgur.com/IdRx0hc.png")</f>
        <v/>
      </c>
      <c r="C119" s="15" t="s">
        <v>40</v>
      </c>
      <c r="D119" s="25" t="s">
        <v>50</v>
      </c>
      <c r="E119" s="24" t="s">
        <v>51</v>
      </c>
      <c r="F119" s="24">
        <v>1200.0</v>
      </c>
      <c r="G119" s="15"/>
      <c r="H119" s="15"/>
      <c r="I119" s="15"/>
      <c r="J119" s="15" t="s">
        <v>38</v>
      </c>
      <c r="K119" s="15" t="s">
        <v>54</v>
      </c>
      <c r="L119" s="15" t="s">
        <v>55</v>
      </c>
      <c r="M119" s="15"/>
      <c r="N119" s="15"/>
    </row>
    <row r="120" ht="56.25" customHeight="1">
      <c r="A120" s="13" t="s">
        <v>3547</v>
      </c>
      <c r="B120" s="15" t="str">
        <f>IMAGE("https://i.imgur.com/4gaxMFw.png")</f>
        <v/>
      </c>
      <c r="C120" s="17" t="str">
        <f>HYPERLINK("https://imgur.com/a/ayo1rba","Yes")</f>
        <v>Yes</v>
      </c>
      <c r="D120" s="15" t="s">
        <v>28</v>
      </c>
      <c r="E120" s="13">
        <v>1600.0</v>
      </c>
      <c r="F120" s="13">
        <v>400.0</v>
      </c>
      <c r="G120" s="15">
        <v>4265.0</v>
      </c>
      <c r="H120" s="15" t="s">
        <v>99</v>
      </c>
      <c r="I120" s="15" t="s">
        <v>99</v>
      </c>
      <c r="J120" s="15" t="s">
        <v>38</v>
      </c>
      <c r="K120" s="15" t="s">
        <v>43</v>
      </c>
      <c r="L120" s="15" t="s">
        <v>2749</v>
      </c>
      <c r="M120" s="15" t="s">
        <v>2764</v>
      </c>
      <c r="N120" s="15" t="s">
        <v>2744</v>
      </c>
    </row>
    <row r="121" ht="56.25" customHeight="1">
      <c r="A121" s="13" t="s">
        <v>3548</v>
      </c>
      <c r="B121" s="15" t="str">
        <f>IMAGE("https://i.imgur.com/J5wr7KI.png")</f>
        <v/>
      </c>
      <c r="C121" s="15" t="s">
        <v>40</v>
      </c>
      <c r="D121" s="15" t="s">
        <v>28</v>
      </c>
      <c r="E121" s="13">
        <v>1800.0</v>
      </c>
      <c r="F121" s="13">
        <v>450.0</v>
      </c>
      <c r="G121" s="15">
        <v>9504.0</v>
      </c>
      <c r="H121" s="15" t="s">
        <v>369</v>
      </c>
      <c r="I121" s="15" t="s">
        <v>211</v>
      </c>
      <c r="J121" s="15" t="s">
        <v>38</v>
      </c>
      <c r="K121" s="15" t="s">
        <v>43</v>
      </c>
      <c r="L121" s="15" t="s">
        <v>2749</v>
      </c>
      <c r="M121" s="15" t="s">
        <v>2764</v>
      </c>
      <c r="N121" s="15" t="s">
        <v>384</v>
      </c>
    </row>
    <row r="122" ht="56.25" customHeight="1">
      <c r="A122" s="13" t="s">
        <v>3549</v>
      </c>
      <c r="B122" s="15" t="str">
        <f>IMAGE("https://i.imgur.com/SYvplLg.png")</f>
        <v/>
      </c>
      <c r="C122" s="17" t="str">
        <f>HYPERLINK("https://imgur.com/a/Ewg9SaA","Yes")</f>
        <v>Yes</v>
      </c>
      <c r="D122" s="15" t="s">
        <v>28</v>
      </c>
      <c r="E122" s="13">
        <v>2000.0</v>
      </c>
      <c r="F122" s="13">
        <v>500.0</v>
      </c>
      <c r="G122" s="15">
        <v>4674.0</v>
      </c>
      <c r="H122" s="15" t="s">
        <v>211</v>
      </c>
      <c r="I122" s="15" t="s">
        <v>208</v>
      </c>
      <c r="J122" s="15" t="s">
        <v>38</v>
      </c>
      <c r="K122" s="15" t="s">
        <v>43</v>
      </c>
      <c r="L122" s="15" t="s">
        <v>2749</v>
      </c>
      <c r="M122" s="15" t="s">
        <v>2764</v>
      </c>
      <c r="N122" s="15" t="s">
        <v>2744</v>
      </c>
    </row>
    <row r="123" ht="56.25" customHeight="1">
      <c r="A123" s="13" t="s">
        <v>3550</v>
      </c>
      <c r="B123" s="15" t="str">
        <f>IMAGE("https://i.imgur.com/GxrkAjo.png")</f>
        <v/>
      </c>
      <c r="C123" s="17" t="str">
        <f>HYPERLINK("https://imgur.com/a/KufJTv8","Yes")</f>
        <v>Yes</v>
      </c>
      <c r="D123" s="15" t="s">
        <v>28</v>
      </c>
      <c r="E123" s="13">
        <v>2000.0</v>
      </c>
      <c r="F123" s="13">
        <v>500.0</v>
      </c>
      <c r="G123" s="15">
        <v>4555.0</v>
      </c>
      <c r="H123" s="15" t="s">
        <v>112</v>
      </c>
      <c r="I123" s="15" t="s">
        <v>94</v>
      </c>
      <c r="J123" s="15" t="s">
        <v>38</v>
      </c>
      <c r="K123" s="15" t="s">
        <v>43</v>
      </c>
      <c r="L123" s="15" t="s">
        <v>2749</v>
      </c>
      <c r="M123" s="15" t="s">
        <v>2764</v>
      </c>
      <c r="N123" s="15" t="s">
        <v>2744</v>
      </c>
    </row>
    <row r="124" ht="56.25" customHeight="1">
      <c r="A124" s="13" t="s">
        <v>3551</v>
      </c>
      <c r="B124" s="15" t="str">
        <f>IMAGE("https://i.imgur.com/ScuEHAR.png")</f>
        <v/>
      </c>
      <c r="C124" s="17" t="str">
        <f>HYPERLINK("https://imgur.com/a/N34nTdv","Yes")</f>
        <v>Yes</v>
      </c>
      <c r="D124" s="15" t="s">
        <v>28</v>
      </c>
      <c r="E124" s="13">
        <v>1900.0</v>
      </c>
      <c r="F124" s="13">
        <v>475.0</v>
      </c>
      <c r="G124" s="15">
        <v>4589.0</v>
      </c>
      <c r="H124" s="15" t="s">
        <v>99</v>
      </c>
      <c r="I124" s="15" t="s">
        <v>99</v>
      </c>
      <c r="J124" s="15" t="s">
        <v>38</v>
      </c>
      <c r="K124" s="15" t="s">
        <v>43</v>
      </c>
      <c r="L124" s="15" t="s">
        <v>2749</v>
      </c>
      <c r="M124" s="15" t="s">
        <v>2764</v>
      </c>
      <c r="N124" s="15" t="s">
        <v>2744</v>
      </c>
    </row>
    <row r="125" ht="56.25" customHeight="1">
      <c r="A125" s="13" t="s">
        <v>3552</v>
      </c>
      <c r="B125" s="15" t="str">
        <f>IMAGE("https://i.imgur.com/RHxuRyU.png")</f>
        <v/>
      </c>
      <c r="C125" s="17" t="str">
        <f>HYPERLINK("https://imgur.com/a/irldBo5","Yes")</f>
        <v>Yes</v>
      </c>
      <c r="D125" s="15" t="s">
        <v>28</v>
      </c>
      <c r="E125" s="13">
        <v>1840.0</v>
      </c>
      <c r="F125" s="13">
        <v>460.0</v>
      </c>
      <c r="G125" s="15">
        <v>4360.0</v>
      </c>
      <c r="H125" s="15" t="s">
        <v>99</v>
      </c>
      <c r="I125" s="15" t="s">
        <v>99</v>
      </c>
      <c r="J125" s="15" t="s">
        <v>38</v>
      </c>
      <c r="K125" s="15" t="s">
        <v>43</v>
      </c>
      <c r="L125" s="15" t="s">
        <v>2749</v>
      </c>
      <c r="M125" s="15" t="s">
        <v>2764</v>
      </c>
      <c r="N125" s="15" t="s">
        <v>2756</v>
      </c>
    </row>
    <row r="126" ht="56.25" customHeight="1">
      <c r="A126" s="13" t="s">
        <v>3553</v>
      </c>
      <c r="B126" s="15" t="str">
        <f>IMAGE("https://i.imgur.com/DxbD3g6.png")</f>
        <v/>
      </c>
      <c r="C126" s="17" t="str">
        <f>HYPERLINK("https://imgur.com/a/dQzF2f0","Yes")</f>
        <v>Yes</v>
      </c>
      <c r="D126" s="15" t="s">
        <v>28</v>
      </c>
      <c r="E126" s="13">
        <v>1800.0</v>
      </c>
      <c r="F126" s="13">
        <v>450.0</v>
      </c>
      <c r="G126" s="15">
        <v>4396.0</v>
      </c>
      <c r="H126" s="15" t="s">
        <v>208</v>
      </c>
      <c r="I126" s="15" t="s">
        <v>99</v>
      </c>
      <c r="J126" s="15" t="s">
        <v>38</v>
      </c>
      <c r="K126" s="15" t="s">
        <v>43</v>
      </c>
      <c r="L126" s="15" t="s">
        <v>2749</v>
      </c>
      <c r="M126" s="15" t="s">
        <v>2764</v>
      </c>
      <c r="N126" s="15" t="s">
        <v>2863</v>
      </c>
    </row>
    <row r="127" ht="56.25" customHeight="1">
      <c r="A127" s="13" t="s">
        <v>3555</v>
      </c>
      <c r="B127" s="15" t="str">
        <f>IMAGE("https://i.imgur.com/y1kGouK.png")</f>
        <v/>
      </c>
      <c r="C127" s="17" t="str">
        <f>HYPERLINK("https://imgur.com/a/0TEbr0J","Yes")</f>
        <v>Yes</v>
      </c>
      <c r="D127" s="15" t="s">
        <v>28</v>
      </c>
      <c r="E127" s="13">
        <v>4000.0</v>
      </c>
      <c r="F127" s="13">
        <v>1000.0</v>
      </c>
      <c r="G127" s="15">
        <v>3492.0</v>
      </c>
      <c r="H127" s="15" t="s">
        <v>99</v>
      </c>
      <c r="I127" s="15" t="s">
        <v>464</v>
      </c>
      <c r="J127" s="15" t="s">
        <v>38</v>
      </c>
      <c r="K127" s="15" t="s">
        <v>43</v>
      </c>
      <c r="L127" s="15" t="s">
        <v>2749</v>
      </c>
      <c r="M127" s="15" t="s">
        <v>2751</v>
      </c>
      <c r="N127" s="15" t="s">
        <v>2756</v>
      </c>
    </row>
    <row r="128" ht="56.25" customHeight="1">
      <c r="A128" s="13" t="s">
        <v>3556</v>
      </c>
      <c r="B128" s="15" t="str">
        <f>IMAGE("https://i.imgur.com/RwYonR2.png")</f>
        <v/>
      </c>
      <c r="C128" s="17" t="str">
        <f>HYPERLINK("https://imgur.com/a/Sxywlq8","Yes")</f>
        <v>Yes</v>
      </c>
      <c r="D128" s="15" t="s">
        <v>28</v>
      </c>
      <c r="E128" s="13">
        <v>3180.0</v>
      </c>
      <c r="F128" s="13">
        <v>795.0</v>
      </c>
      <c r="G128" s="15">
        <v>4332.0</v>
      </c>
      <c r="H128" s="15" t="s">
        <v>107</v>
      </c>
      <c r="I128" s="15" t="s">
        <v>82</v>
      </c>
      <c r="J128" s="15" t="s">
        <v>38</v>
      </c>
      <c r="K128" s="15" t="s">
        <v>43</v>
      </c>
      <c r="L128" s="15" t="s">
        <v>2749</v>
      </c>
      <c r="M128" s="15" t="s">
        <v>2751</v>
      </c>
      <c r="N128" s="15" t="s">
        <v>384</v>
      </c>
    </row>
    <row r="129" ht="56.25" customHeight="1">
      <c r="A129" s="13" t="s">
        <v>3557</v>
      </c>
      <c r="B129" s="15" t="str">
        <f>IMAGE("https://i.imgur.com/byAdyxZ.png")</f>
        <v/>
      </c>
      <c r="C129" s="17" t="str">
        <f>HYPERLINK("https://imgur.com/a/DBHTTUy","Yes")</f>
        <v>Yes</v>
      </c>
      <c r="D129" s="15" t="s">
        <v>28</v>
      </c>
      <c r="E129" s="13">
        <v>2320.0</v>
      </c>
      <c r="F129" s="13">
        <v>580.0</v>
      </c>
      <c r="G129" s="15">
        <v>3138.0</v>
      </c>
      <c r="H129" s="15" t="s">
        <v>99</v>
      </c>
      <c r="I129" s="15" t="s">
        <v>82</v>
      </c>
      <c r="J129" s="15" t="s">
        <v>38</v>
      </c>
      <c r="K129" s="15" t="s">
        <v>43</v>
      </c>
      <c r="L129" s="15" t="s">
        <v>2749</v>
      </c>
      <c r="M129" s="15" t="s">
        <v>2751</v>
      </c>
      <c r="N129" s="15" t="s">
        <v>384</v>
      </c>
    </row>
    <row r="130" ht="56.25" customHeight="1">
      <c r="A130" s="13" t="s">
        <v>3559</v>
      </c>
      <c r="B130" s="15" t="str">
        <f>IMAGE("https://i.imgur.com/qT8a9r5.png")</f>
        <v/>
      </c>
      <c r="C130" s="17" t="str">
        <f>HYPERLINK("https://imgur.com/a/kCcTL1B","Yes")</f>
        <v>Yes</v>
      </c>
      <c r="D130" s="15" t="s">
        <v>28</v>
      </c>
      <c r="E130" s="13">
        <v>1500.0</v>
      </c>
      <c r="F130" s="13">
        <v>375.0</v>
      </c>
      <c r="G130" s="15">
        <v>8187.0</v>
      </c>
      <c r="H130" s="15" t="s">
        <v>99</v>
      </c>
      <c r="I130" s="15" t="s">
        <v>258</v>
      </c>
      <c r="J130" s="15" t="s">
        <v>38</v>
      </c>
      <c r="K130" s="15" t="s">
        <v>43</v>
      </c>
      <c r="L130" s="15" t="s">
        <v>2749</v>
      </c>
      <c r="M130" s="15" t="s">
        <v>2764</v>
      </c>
      <c r="N130" s="15" t="s">
        <v>2793</v>
      </c>
    </row>
    <row r="131" ht="56.25" customHeight="1">
      <c r="A131" s="13" t="s">
        <v>3560</v>
      </c>
      <c r="B131" s="15" t="str">
        <f>IMAGE("https://i.imgur.com/bB4Le8D.png")</f>
        <v/>
      </c>
      <c r="C131" s="17" t="str">
        <f>HYPERLINK("https://imgur.com/a/HFYF038","Yes")</f>
        <v>Yes</v>
      </c>
      <c r="D131" s="15" t="s">
        <v>28</v>
      </c>
      <c r="E131" s="13">
        <v>1500.0</v>
      </c>
      <c r="F131" s="13">
        <v>375.0</v>
      </c>
      <c r="G131" s="15">
        <v>4655.0</v>
      </c>
      <c r="H131" s="15" t="s">
        <v>112</v>
      </c>
      <c r="I131" s="15" t="s">
        <v>1614</v>
      </c>
      <c r="J131" s="15" t="s">
        <v>38</v>
      </c>
      <c r="K131" s="15" t="s">
        <v>43</v>
      </c>
      <c r="L131" s="15" t="s">
        <v>2749</v>
      </c>
      <c r="M131" s="15" t="s">
        <v>2764</v>
      </c>
      <c r="N131" s="15" t="s">
        <v>2863</v>
      </c>
    </row>
    <row r="132" ht="56.25" customHeight="1">
      <c r="A132" s="13" t="s">
        <v>3561</v>
      </c>
      <c r="B132" s="15" t="str">
        <f>IMAGE("https://i.imgur.com/SGs4G33.png")</f>
        <v/>
      </c>
      <c r="C132" s="17" t="str">
        <f>HYPERLINK("https://imgur.com/a/C39lqsn","Yes")</f>
        <v>Yes</v>
      </c>
      <c r="D132" s="15" t="s">
        <v>28</v>
      </c>
      <c r="E132" s="13">
        <v>2520.0</v>
      </c>
      <c r="F132" s="13">
        <v>630.0</v>
      </c>
      <c r="G132" s="15">
        <v>4653.0</v>
      </c>
      <c r="H132" s="15" t="s">
        <v>112</v>
      </c>
      <c r="I132" s="15" t="s">
        <v>208</v>
      </c>
      <c r="J132" s="15" t="s">
        <v>38</v>
      </c>
      <c r="K132" s="15" t="s">
        <v>43</v>
      </c>
      <c r="L132" s="15" t="s">
        <v>2749</v>
      </c>
      <c r="M132" s="15" t="s">
        <v>2751</v>
      </c>
      <c r="N132" s="15" t="s">
        <v>2863</v>
      </c>
    </row>
    <row r="133" ht="56.25" customHeight="1">
      <c r="A133" s="13" t="s">
        <v>3563</v>
      </c>
      <c r="B133" s="15" t="str">
        <f>IMAGE("https://i.imgur.com/aLphaO2.png")</f>
        <v/>
      </c>
      <c r="C133" s="17" t="str">
        <f>HYPERLINK("https://imgur.com/a/y6Kvx22","Yes")</f>
        <v>Yes</v>
      </c>
      <c r="D133" s="15" t="s">
        <v>28</v>
      </c>
      <c r="E133" s="13">
        <v>2000.0</v>
      </c>
      <c r="F133" s="13">
        <v>500.0</v>
      </c>
      <c r="G133" s="15">
        <v>4520.0</v>
      </c>
      <c r="H133" s="15" t="s">
        <v>211</v>
      </c>
      <c r="I133" s="15" t="s">
        <v>464</v>
      </c>
      <c r="J133" s="15" t="s">
        <v>38</v>
      </c>
      <c r="K133" s="15" t="s">
        <v>43</v>
      </c>
      <c r="L133" s="15" t="s">
        <v>2749</v>
      </c>
      <c r="M133" s="15" t="s">
        <v>2764</v>
      </c>
      <c r="N133" s="15" t="s">
        <v>2744</v>
      </c>
    </row>
    <row r="134" ht="56.25" customHeight="1">
      <c r="A134" s="13" t="s">
        <v>3565</v>
      </c>
      <c r="B134" s="15" t="str">
        <f>IMAGE("https://i.imgur.com/XV8fG7L.png")</f>
        <v/>
      </c>
      <c r="C134" s="17" t="str">
        <f>HYPERLINK("https://imgur.com/a/Vtj0uKE","Yes")</f>
        <v>Yes</v>
      </c>
      <c r="D134" s="15" t="s">
        <v>28</v>
      </c>
      <c r="E134" s="13">
        <v>2240.0</v>
      </c>
      <c r="F134" s="13">
        <v>560.0</v>
      </c>
      <c r="G134" s="15">
        <v>4292.0</v>
      </c>
      <c r="H134" s="15" t="s">
        <v>208</v>
      </c>
      <c r="I134" s="15" t="s">
        <v>82</v>
      </c>
      <c r="J134" s="15" t="s">
        <v>38</v>
      </c>
      <c r="K134" s="15" t="s">
        <v>43</v>
      </c>
      <c r="L134" s="15" t="s">
        <v>2749</v>
      </c>
      <c r="M134" s="15" t="s">
        <v>2751</v>
      </c>
      <c r="N134" s="15" t="s">
        <v>2863</v>
      </c>
    </row>
    <row r="135" ht="56.25" customHeight="1">
      <c r="A135" s="13" t="s">
        <v>3566</v>
      </c>
      <c r="B135" s="15" t="str">
        <f>IMAGE("https://i.imgur.com/jEDXDhc.png")</f>
        <v/>
      </c>
      <c r="C135" s="17" t="str">
        <f>HYPERLINK("https://imgur.com/a/MCExvud","Yes")</f>
        <v>Yes</v>
      </c>
      <c r="D135" s="15" t="s">
        <v>28</v>
      </c>
      <c r="E135" s="13">
        <v>2520.0</v>
      </c>
      <c r="F135" s="13">
        <v>630.0</v>
      </c>
      <c r="G135" s="15">
        <v>3614.0</v>
      </c>
      <c r="H135" s="15" t="s">
        <v>99</v>
      </c>
      <c r="I135" s="15" t="s">
        <v>208</v>
      </c>
      <c r="J135" s="15" t="s">
        <v>38</v>
      </c>
      <c r="K135" s="15" t="s">
        <v>43</v>
      </c>
      <c r="L135" s="15" t="s">
        <v>2749</v>
      </c>
      <c r="M135" s="15" t="s">
        <v>2751</v>
      </c>
      <c r="N135" s="15" t="s">
        <v>2863</v>
      </c>
    </row>
    <row r="136" ht="56.25" customHeight="1">
      <c r="A136" s="13" t="s">
        <v>3568</v>
      </c>
      <c r="B136" s="15" t="str">
        <f>IMAGE("https://i.imgur.com/ZZ8uBI6.png")</f>
        <v/>
      </c>
      <c r="C136" s="15" t="s">
        <v>40</v>
      </c>
      <c r="D136" s="25" t="s">
        <v>28</v>
      </c>
      <c r="E136" s="24" t="s">
        <v>51</v>
      </c>
      <c r="F136" s="13">
        <v>10.0</v>
      </c>
      <c r="G136" s="15">
        <v>3576.0</v>
      </c>
      <c r="H136" s="15" t="s">
        <v>1608</v>
      </c>
      <c r="I136" s="15" t="s">
        <v>1608</v>
      </c>
      <c r="J136" s="15" t="s">
        <v>38</v>
      </c>
      <c r="K136" s="15" t="s">
        <v>54</v>
      </c>
      <c r="L136" s="15" t="s">
        <v>2797</v>
      </c>
      <c r="M136" s="15"/>
      <c r="N136" s="15" t="s">
        <v>2744</v>
      </c>
    </row>
    <row r="137" ht="56.25" customHeight="1">
      <c r="A137" s="13" t="s">
        <v>3569</v>
      </c>
      <c r="B137" s="15" t="str">
        <f>IMAGE("https://i.imgur.com/lbI0BNX.png")</f>
        <v/>
      </c>
      <c r="C137" s="17" t="str">
        <f>HYPERLINK("https://imgur.com/a/8N0Wwlk","Yes")</f>
        <v>Yes</v>
      </c>
      <c r="D137" s="15" t="s">
        <v>28</v>
      </c>
      <c r="E137" s="13">
        <v>2280.0</v>
      </c>
      <c r="F137" s="13">
        <v>570.0</v>
      </c>
      <c r="G137" s="15">
        <v>5823.0</v>
      </c>
      <c r="H137" s="15" t="s">
        <v>1614</v>
      </c>
      <c r="I137" s="15" t="s">
        <v>211</v>
      </c>
      <c r="J137" s="15" t="s">
        <v>38</v>
      </c>
      <c r="K137" s="15" t="s">
        <v>43</v>
      </c>
      <c r="L137" s="15" t="s">
        <v>2749</v>
      </c>
      <c r="M137" s="15" t="s">
        <v>2764</v>
      </c>
      <c r="N137" s="15" t="s">
        <v>2863</v>
      </c>
    </row>
    <row r="138" ht="56.25" customHeight="1">
      <c r="A138" s="13" t="s">
        <v>3571</v>
      </c>
      <c r="B138" s="15" t="str">
        <f>IMAGE("https://i.imgur.com/YsoQyM2.png")</f>
        <v/>
      </c>
      <c r="C138" s="15" t="s">
        <v>40</v>
      </c>
      <c r="D138" s="15" t="s">
        <v>28</v>
      </c>
      <c r="E138" s="13">
        <v>700.0</v>
      </c>
      <c r="F138" s="13">
        <v>175.0</v>
      </c>
      <c r="G138" s="15">
        <v>3607.0</v>
      </c>
      <c r="H138" s="15" t="s">
        <v>82</v>
      </c>
      <c r="I138" s="15" t="s">
        <v>82</v>
      </c>
      <c r="J138" s="15" t="s">
        <v>38</v>
      </c>
      <c r="K138" s="15" t="s">
        <v>43</v>
      </c>
      <c r="L138" s="15" t="s">
        <v>2749</v>
      </c>
      <c r="M138" s="15" t="s">
        <v>2751</v>
      </c>
      <c r="N138" s="15" t="s">
        <v>2756</v>
      </c>
    </row>
    <row r="139" ht="56.25" customHeight="1">
      <c r="A139" s="13" t="s">
        <v>3573</v>
      </c>
      <c r="B139" s="15" t="str">
        <f>IMAGE("https://i.imgur.com/k7K2i28.png")</f>
        <v/>
      </c>
      <c r="C139" s="17" t="str">
        <f>HYPERLINK("https://imgur.com/a/0hhJMOx","Yes")</f>
        <v>Yes</v>
      </c>
      <c r="D139" s="15" t="s">
        <v>28</v>
      </c>
      <c r="E139" s="13">
        <v>3120.0</v>
      </c>
      <c r="F139" s="13">
        <v>780.0</v>
      </c>
      <c r="G139" s="15">
        <v>3573.0</v>
      </c>
      <c r="H139" s="15" t="s">
        <v>464</v>
      </c>
      <c r="I139" s="15" t="s">
        <v>464</v>
      </c>
      <c r="J139" s="15" t="s">
        <v>38</v>
      </c>
      <c r="K139" s="15" t="s">
        <v>43</v>
      </c>
      <c r="L139" s="15" t="s">
        <v>2749</v>
      </c>
      <c r="M139" s="15" t="s">
        <v>2764</v>
      </c>
      <c r="N139" s="15" t="s">
        <v>2756</v>
      </c>
    </row>
    <row r="140" ht="56.25" customHeight="1">
      <c r="A140" s="13" t="s">
        <v>3574</v>
      </c>
      <c r="B140" s="15" t="str">
        <f>IMAGE("https://i.imgur.com/HPUWe7t.png")</f>
        <v/>
      </c>
      <c r="C140" s="17" t="str">
        <f>HYPERLINK("https://imgur.com/a/qeOVIGb","Yes")</f>
        <v>Yes</v>
      </c>
      <c r="D140" s="15" t="s">
        <v>28</v>
      </c>
      <c r="E140" s="13">
        <v>2100.0</v>
      </c>
      <c r="F140" s="13">
        <v>525.0</v>
      </c>
      <c r="G140" s="15">
        <v>4248.0</v>
      </c>
      <c r="H140" s="15" t="s">
        <v>1614</v>
      </c>
      <c r="I140" s="15" t="s">
        <v>1614</v>
      </c>
      <c r="J140" s="15" t="s">
        <v>38</v>
      </c>
      <c r="K140" s="15" t="s">
        <v>43</v>
      </c>
      <c r="L140" s="15" t="s">
        <v>2749</v>
      </c>
      <c r="M140" s="15" t="s">
        <v>2751</v>
      </c>
      <c r="N140" s="15" t="s">
        <v>2863</v>
      </c>
    </row>
    <row r="141" ht="56.25" customHeight="1">
      <c r="A141" s="13" t="s">
        <v>3575</v>
      </c>
      <c r="B141" s="15" t="str">
        <f>IMAGE("https://i.imgur.com/Prv9i3u.png")</f>
        <v/>
      </c>
      <c r="C141" s="17" t="str">
        <f>HYPERLINK("https://imgur.com/a/9RPfDaE","Yes")</f>
        <v>Yes</v>
      </c>
      <c r="D141" s="15" t="s">
        <v>28</v>
      </c>
      <c r="E141" s="13">
        <v>2240.0</v>
      </c>
      <c r="F141" s="13">
        <v>560.0</v>
      </c>
      <c r="G141" s="15">
        <v>3460.0</v>
      </c>
      <c r="H141" s="15" t="s">
        <v>112</v>
      </c>
      <c r="I141" s="15" t="s">
        <v>94</v>
      </c>
      <c r="J141" s="15" t="s">
        <v>38</v>
      </c>
      <c r="K141" s="15" t="s">
        <v>43</v>
      </c>
      <c r="L141" s="15" t="s">
        <v>2749</v>
      </c>
      <c r="M141" s="15" t="s">
        <v>2751</v>
      </c>
      <c r="N141" s="15" t="s">
        <v>2793</v>
      </c>
    </row>
    <row r="142" ht="56.25" customHeight="1">
      <c r="A142" s="13" t="s">
        <v>3577</v>
      </c>
      <c r="B142" s="15" t="str">
        <f>IMAGE("https://i.imgur.com/4GQnXwY.png")</f>
        <v/>
      </c>
      <c r="C142" s="17" t="str">
        <f>HYPERLINK("https://imgur.com/a/rkLNra5","Yes")</f>
        <v>Yes</v>
      </c>
      <c r="D142" s="25" t="s">
        <v>28</v>
      </c>
      <c r="E142" s="13">
        <v>5200.0</v>
      </c>
      <c r="F142" s="13">
        <v>1300.0</v>
      </c>
      <c r="G142" s="15">
        <v>5798.0</v>
      </c>
      <c r="H142" s="15" t="s">
        <v>369</v>
      </c>
      <c r="I142" s="15" t="s">
        <v>82</v>
      </c>
      <c r="J142" s="15" t="s">
        <v>38</v>
      </c>
      <c r="K142" s="15" t="s">
        <v>43</v>
      </c>
      <c r="L142" s="15" t="s">
        <v>2749</v>
      </c>
      <c r="M142" s="15" t="s">
        <v>2751</v>
      </c>
      <c r="N142" s="15" t="s">
        <v>852</v>
      </c>
    </row>
    <row r="143" ht="56.25" customHeight="1">
      <c r="A143" s="13" t="s">
        <v>3579</v>
      </c>
      <c r="B143" s="15" t="str">
        <f>IMAGE("https://i.imgur.com/mnFSI1f.png")</f>
        <v/>
      </c>
      <c r="C143" s="17" t="str">
        <f>HYPERLINK("https://imgur.com/a/8pkJavN","Yes")</f>
        <v>Yes</v>
      </c>
      <c r="D143" s="15" t="s">
        <v>28</v>
      </c>
      <c r="E143" s="13">
        <v>2760.0</v>
      </c>
      <c r="F143" s="13">
        <v>690.0</v>
      </c>
      <c r="G143" s="15">
        <v>3159.0</v>
      </c>
      <c r="H143" s="15" t="s">
        <v>107</v>
      </c>
      <c r="I143" s="15" t="s">
        <v>82</v>
      </c>
      <c r="J143" s="15" t="s">
        <v>38</v>
      </c>
      <c r="K143" s="15" t="s">
        <v>43</v>
      </c>
      <c r="L143" s="15" t="s">
        <v>2749</v>
      </c>
      <c r="M143" s="15" t="s">
        <v>2751</v>
      </c>
      <c r="N143" s="15" t="s">
        <v>2793</v>
      </c>
    </row>
    <row r="144" ht="56.25" customHeight="1">
      <c r="A144" s="13" t="s">
        <v>3581</v>
      </c>
      <c r="B144" s="15" t="str">
        <f>IMAGE("https://i.imgur.com/XloFoyo.png")</f>
        <v/>
      </c>
      <c r="C144" s="17" t="str">
        <f>HYPERLINK("https://imgur.com/a/5Hk6vJp","Yes")</f>
        <v>Yes</v>
      </c>
      <c r="D144" s="15" t="s">
        <v>28</v>
      </c>
      <c r="E144" s="13">
        <v>2200.0</v>
      </c>
      <c r="F144" s="13">
        <v>550.0</v>
      </c>
      <c r="G144" s="15">
        <v>3347.0</v>
      </c>
      <c r="H144" s="15" t="s">
        <v>107</v>
      </c>
      <c r="I144" s="15" t="s">
        <v>107</v>
      </c>
      <c r="J144" s="15" t="s">
        <v>38</v>
      </c>
      <c r="K144" s="15" t="s">
        <v>43</v>
      </c>
      <c r="L144" s="15" t="s">
        <v>2749</v>
      </c>
      <c r="M144" s="15" t="s">
        <v>2751</v>
      </c>
      <c r="N144" s="15" t="s">
        <v>2744</v>
      </c>
    </row>
    <row r="145" ht="56.25" customHeight="1">
      <c r="A145" s="13" t="s">
        <v>3582</v>
      </c>
      <c r="B145" s="15" t="str">
        <f>IMAGE("https://i.imgur.com/3eK7pDv.png")</f>
        <v/>
      </c>
      <c r="C145" s="17" t="str">
        <f>HYPERLINK("https://imgur.com/a/IG7qSSP","Yes")</f>
        <v>Yes</v>
      </c>
      <c r="D145" s="15" t="s">
        <v>28</v>
      </c>
      <c r="E145" s="13">
        <v>1600.0</v>
      </c>
      <c r="F145" s="13">
        <v>400.0</v>
      </c>
      <c r="G145" s="15">
        <v>4336.0</v>
      </c>
      <c r="H145" s="15" t="s">
        <v>112</v>
      </c>
      <c r="I145" s="15" t="s">
        <v>82</v>
      </c>
      <c r="J145" s="15" t="s">
        <v>38</v>
      </c>
      <c r="K145" s="15" t="s">
        <v>43</v>
      </c>
      <c r="L145" s="15" t="s">
        <v>2749</v>
      </c>
      <c r="M145" s="15" t="s">
        <v>2751</v>
      </c>
      <c r="N145" s="15" t="s">
        <v>2744</v>
      </c>
    </row>
    <row r="146" ht="56.25" customHeight="1">
      <c r="A146" s="13" t="s">
        <v>3583</v>
      </c>
      <c r="B146" s="15" t="str">
        <f>IMAGE("https://i.imgur.com/6VaWIQm.png")</f>
        <v/>
      </c>
      <c r="C146" s="17" t="str">
        <f>HYPERLINK("https://imgur.com/a/08CyCw6","Yes")</f>
        <v>Yes</v>
      </c>
      <c r="D146" s="15" t="s">
        <v>28</v>
      </c>
      <c r="E146" s="13">
        <v>1920.0</v>
      </c>
      <c r="F146" s="13">
        <v>480.0</v>
      </c>
      <c r="G146" s="15">
        <v>5801.0</v>
      </c>
      <c r="H146" s="15" t="s">
        <v>211</v>
      </c>
      <c r="I146" s="15" t="s">
        <v>208</v>
      </c>
      <c r="J146" s="15" t="s">
        <v>38</v>
      </c>
      <c r="K146" s="15" t="s">
        <v>43</v>
      </c>
      <c r="L146" s="15" t="s">
        <v>2749</v>
      </c>
      <c r="M146" s="15" t="s">
        <v>2764</v>
      </c>
      <c r="N146" s="15" t="s">
        <v>2744</v>
      </c>
    </row>
    <row r="147" ht="56.25" customHeight="1">
      <c r="A147" s="13" t="s">
        <v>3586</v>
      </c>
      <c r="B147" s="15" t="str">
        <f>IMAGE("https://i.imgur.com/HSxwYoU.png")</f>
        <v/>
      </c>
      <c r="C147" s="15" t="s">
        <v>40</v>
      </c>
      <c r="D147" s="25" t="s">
        <v>50</v>
      </c>
      <c r="E147" s="24" t="s">
        <v>51</v>
      </c>
      <c r="F147" s="13">
        <v>1600.0</v>
      </c>
      <c r="G147" s="15">
        <v>3288.0</v>
      </c>
      <c r="H147" s="15" t="s">
        <v>521</v>
      </c>
      <c r="I147" s="15" t="s">
        <v>211</v>
      </c>
      <c r="J147" s="15" t="s">
        <v>38</v>
      </c>
      <c r="K147" s="15" t="s">
        <v>54</v>
      </c>
      <c r="L147" s="15" t="s">
        <v>55</v>
      </c>
      <c r="M147" s="15"/>
      <c r="N147" s="15" t="s">
        <v>384</v>
      </c>
    </row>
    <row r="148" ht="56.25" customHeight="1">
      <c r="A148" s="13" t="s">
        <v>3587</v>
      </c>
      <c r="B148" s="15" t="str">
        <f>IMAGE("https://i.imgur.com/pvSFfzb.png")</f>
        <v/>
      </c>
      <c r="C148" s="17" t="str">
        <f>HYPERLINK("https://imgur.com/a/9gJZOya","Yes")</f>
        <v>Yes</v>
      </c>
      <c r="D148" s="15" t="s">
        <v>28</v>
      </c>
      <c r="E148" s="13">
        <v>2000.0</v>
      </c>
      <c r="F148" s="13">
        <v>500.0</v>
      </c>
      <c r="G148" s="15">
        <v>3059.0</v>
      </c>
      <c r="H148" s="15" t="s">
        <v>112</v>
      </c>
      <c r="I148" s="15" t="s">
        <v>208</v>
      </c>
      <c r="J148" s="15" t="s">
        <v>38</v>
      </c>
      <c r="K148" s="15" t="s">
        <v>43</v>
      </c>
      <c r="L148" s="15" t="s">
        <v>2749</v>
      </c>
      <c r="M148" s="15" t="s">
        <v>2764</v>
      </c>
      <c r="N148" s="15" t="s">
        <v>2793</v>
      </c>
    </row>
    <row r="149" ht="56.25" customHeight="1">
      <c r="A149" s="13" t="s">
        <v>3589</v>
      </c>
      <c r="B149" s="15" t="str">
        <f>IMAGE("https://i.imgur.com/iUJHMNT.png")</f>
        <v/>
      </c>
      <c r="C149" s="17" t="str">
        <f>HYPERLINK("https://imgur.com/a/cLqDQwk","Yes")</f>
        <v>Yes</v>
      </c>
      <c r="D149" s="15" t="s">
        <v>28</v>
      </c>
      <c r="E149" s="13">
        <v>1800.0</v>
      </c>
      <c r="F149" s="13">
        <v>450.0</v>
      </c>
      <c r="G149" s="15">
        <v>4556.0</v>
      </c>
      <c r="H149" s="15" t="s">
        <v>107</v>
      </c>
      <c r="I149" s="15" t="s">
        <v>521</v>
      </c>
      <c r="J149" s="15" t="s">
        <v>38</v>
      </c>
      <c r="K149" s="15" t="s">
        <v>43</v>
      </c>
      <c r="L149" s="15" t="s">
        <v>2749</v>
      </c>
      <c r="M149" s="15" t="s">
        <v>2764</v>
      </c>
      <c r="N149" s="15" t="s">
        <v>384</v>
      </c>
    </row>
    <row r="150" ht="56.25" customHeight="1">
      <c r="A150" s="13" t="s">
        <v>3590</v>
      </c>
      <c r="B150" s="15" t="str">
        <f>IMAGE("https://i.imgur.com/MD5302v.png")</f>
        <v/>
      </c>
      <c r="C150" s="17" t="str">
        <f>HYPERLINK("https://imgur.com/a/RMrPzIL","Yes")</f>
        <v>Yes</v>
      </c>
      <c r="D150" s="15" t="s">
        <v>28</v>
      </c>
      <c r="E150" s="13">
        <v>1500.0</v>
      </c>
      <c r="F150" s="13">
        <v>375.0</v>
      </c>
      <c r="G150" s="15">
        <v>4424.0</v>
      </c>
      <c r="H150" s="15" t="s">
        <v>208</v>
      </c>
      <c r="I150" s="15" t="s">
        <v>112</v>
      </c>
      <c r="J150" s="15" t="s">
        <v>38</v>
      </c>
      <c r="K150" s="15" t="s">
        <v>43</v>
      </c>
      <c r="L150" s="15" t="s">
        <v>2749</v>
      </c>
      <c r="M150" s="15" t="s">
        <v>2751</v>
      </c>
      <c r="N150" s="15" t="s">
        <v>2793</v>
      </c>
    </row>
    <row r="151" ht="56.25" customHeight="1">
      <c r="A151" s="13" t="s">
        <v>3592</v>
      </c>
      <c r="B151" s="15" t="str">
        <f>IMAGE("https://i.imgur.com/WmJH0KS.png")</f>
        <v/>
      </c>
      <c r="C151" s="17" t="str">
        <f>HYPERLINK("https://imgur.com/a/YMjCFIh","Yes")</f>
        <v>Yes</v>
      </c>
      <c r="D151" s="15" t="s">
        <v>28</v>
      </c>
      <c r="E151" s="13">
        <v>1600.0</v>
      </c>
      <c r="F151" s="13">
        <v>400.0</v>
      </c>
      <c r="G151" s="15">
        <v>10910.0</v>
      </c>
      <c r="H151" s="15" t="s">
        <v>1608</v>
      </c>
      <c r="I151" s="15" t="s">
        <v>258</v>
      </c>
      <c r="J151" s="15" t="s">
        <v>38</v>
      </c>
      <c r="K151" s="15" t="s">
        <v>43</v>
      </c>
      <c r="L151" s="15" t="s">
        <v>2749</v>
      </c>
      <c r="M151" s="15" t="s">
        <v>2764</v>
      </c>
      <c r="N151" s="15" t="s">
        <v>2793</v>
      </c>
    </row>
    <row r="152" ht="56.25" customHeight="1">
      <c r="A152" s="13" t="s">
        <v>3593</v>
      </c>
      <c r="B152" s="15" t="str">
        <f>IMAGE("https://i.imgur.com/trG1Gfw.png")</f>
        <v/>
      </c>
      <c r="C152" s="17" t="str">
        <f>HYPERLINK("https://imgur.com/a/AFAPMfu","Yes")</f>
        <v>Yes</v>
      </c>
      <c r="D152" s="15" t="s">
        <v>28</v>
      </c>
      <c r="E152" s="13">
        <v>1200.0</v>
      </c>
      <c r="F152" s="13">
        <v>300.0</v>
      </c>
      <c r="G152" s="15">
        <v>11096.0</v>
      </c>
      <c r="H152" s="15" t="s">
        <v>112</v>
      </c>
      <c r="I152" s="15" t="s">
        <v>82</v>
      </c>
      <c r="J152" s="15" t="s">
        <v>38</v>
      </c>
      <c r="K152" s="15" t="s">
        <v>43</v>
      </c>
      <c r="L152" s="15" t="s">
        <v>2749</v>
      </c>
      <c r="M152" s="15" t="s">
        <v>2764</v>
      </c>
      <c r="N152" s="15" t="s">
        <v>2744</v>
      </c>
    </row>
    <row r="153" ht="56.25" customHeight="1">
      <c r="A153" s="13" t="s">
        <v>3595</v>
      </c>
      <c r="B153" s="15" t="str">
        <f>IMAGE("https://i.imgur.com/jexPWGw.png")</f>
        <v/>
      </c>
      <c r="C153" s="15" t="s">
        <v>40</v>
      </c>
      <c r="D153" s="15" t="s">
        <v>28</v>
      </c>
      <c r="E153" s="13">
        <v>2520.0</v>
      </c>
      <c r="F153" s="13">
        <v>630.0</v>
      </c>
      <c r="G153" s="15">
        <v>3441.0</v>
      </c>
      <c r="H153" s="15" t="s">
        <v>82</v>
      </c>
      <c r="I153" s="15" t="s">
        <v>258</v>
      </c>
      <c r="J153" s="15" t="s">
        <v>38</v>
      </c>
      <c r="K153" s="15" t="s">
        <v>43</v>
      </c>
      <c r="L153" s="15" t="s">
        <v>2749</v>
      </c>
      <c r="M153" s="15" t="s">
        <v>2751</v>
      </c>
      <c r="N153" s="15" t="s">
        <v>852</v>
      </c>
    </row>
    <row r="154" ht="56.25" customHeight="1">
      <c r="A154" s="13" t="s">
        <v>3596</v>
      </c>
      <c r="B154" s="15" t="str">
        <f>IMAGE("https://i.imgur.com/M8fOFYH.png")</f>
        <v/>
      </c>
      <c r="C154" s="17" t="str">
        <f>HYPERLINK("https://imgur.com/a/DszstkC","Yes")</f>
        <v>Yes</v>
      </c>
      <c r="D154" s="15" t="s">
        <v>28</v>
      </c>
      <c r="E154" s="13">
        <v>1600.0</v>
      </c>
      <c r="F154" s="13">
        <v>400.0</v>
      </c>
      <c r="G154" s="15">
        <v>4468.0</v>
      </c>
      <c r="H154" s="15" t="s">
        <v>99</v>
      </c>
      <c r="I154" s="15" t="s">
        <v>369</v>
      </c>
      <c r="J154" s="15" t="s">
        <v>38</v>
      </c>
      <c r="K154" s="15" t="s">
        <v>43</v>
      </c>
      <c r="L154" s="15" t="s">
        <v>2749</v>
      </c>
      <c r="M154" s="15" t="s">
        <v>2764</v>
      </c>
      <c r="N154" s="15" t="s">
        <v>2756</v>
      </c>
    </row>
    <row r="155" ht="56.25" customHeight="1">
      <c r="A155" s="13" t="s">
        <v>3598</v>
      </c>
      <c r="B155" s="15" t="str">
        <f>IMAGE("https://i.imgur.com/IiZkVK2.png")</f>
        <v/>
      </c>
      <c r="C155" s="17" t="str">
        <f>HYPERLINK("https://imgur.com/a/m47GAew","Yes")</f>
        <v>Yes</v>
      </c>
      <c r="D155" s="15" t="s">
        <v>28</v>
      </c>
      <c r="E155" s="13">
        <v>1600.0</v>
      </c>
      <c r="F155" s="13">
        <v>400.0</v>
      </c>
      <c r="G155" s="15">
        <v>3226.0</v>
      </c>
      <c r="H155" s="15" t="s">
        <v>211</v>
      </c>
      <c r="I155" s="15" t="s">
        <v>211</v>
      </c>
      <c r="J155" s="15" t="s">
        <v>38</v>
      </c>
      <c r="K155" s="15" t="s">
        <v>43</v>
      </c>
      <c r="L155" s="15" t="s">
        <v>2749</v>
      </c>
      <c r="M155" s="15" t="s">
        <v>2764</v>
      </c>
      <c r="N155" s="15" t="s">
        <v>2793</v>
      </c>
    </row>
    <row r="156" ht="56.25" customHeight="1">
      <c r="A156" s="13" t="s">
        <v>3599</v>
      </c>
      <c r="B156" s="15" t="str">
        <f>IMAGE("https://i.imgur.com/ekaBRdF.png")</f>
        <v/>
      </c>
      <c r="C156" s="15" t="s">
        <v>40</v>
      </c>
      <c r="D156" s="25" t="s">
        <v>50</v>
      </c>
      <c r="E156" s="24" t="s">
        <v>51</v>
      </c>
      <c r="F156" s="13">
        <v>1600.0</v>
      </c>
      <c r="G156" s="15">
        <v>9839.0</v>
      </c>
      <c r="H156" s="15" t="s">
        <v>107</v>
      </c>
      <c r="I156" s="15" t="s">
        <v>369</v>
      </c>
      <c r="J156" s="15" t="s">
        <v>38</v>
      </c>
      <c r="K156" s="15" t="s">
        <v>54</v>
      </c>
      <c r="L156" s="15" t="s">
        <v>55</v>
      </c>
      <c r="M156" s="15"/>
      <c r="N156" s="15" t="s">
        <v>384</v>
      </c>
    </row>
    <row r="157" ht="56.25" customHeight="1">
      <c r="A157" s="13" t="s">
        <v>3600</v>
      </c>
      <c r="B157" s="15" t="str">
        <f>IMAGE("https://i.imgur.com/JRuyHOE.png")</f>
        <v/>
      </c>
      <c r="C157" s="17" t="str">
        <f>HYPERLINK("https://imgur.com/a/rlaQRbR","Yes")</f>
        <v>Yes</v>
      </c>
      <c r="D157" s="15" t="s">
        <v>28</v>
      </c>
      <c r="E157" s="13">
        <v>2400.0</v>
      </c>
      <c r="F157" s="13">
        <v>600.0</v>
      </c>
      <c r="G157" s="15">
        <v>4594.0</v>
      </c>
      <c r="H157" s="15" t="s">
        <v>112</v>
      </c>
      <c r="I157" s="15" t="s">
        <v>94</v>
      </c>
      <c r="J157" s="15" t="s">
        <v>38</v>
      </c>
      <c r="K157" s="15" t="s">
        <v>43</v>
      </c>
      <c r="L157" s="15" t="s">
        <v>2749</v>
      </c>
      <c r="M157" s="15" t="s">
        <v>2751</v>
      </c>
      <c r="N157" s="15" t="s">
        <v>384</v>
      </c>
    </row>
    <row r="158" ht="56.25" customHeight="1">
      <c r="A158" s="13" t="s">
        <v>3602</v>
      </c>
      <c r="B158" s="15" t="str">
        <f>IMAGE("https://i.imgur.com/j86MDtL.png")</f>
        <v/>
      </c>
      <c r="C158" s="15" t="s">
        <v>40</v>
      </c>
      <c r="D158" s="25" t="s">
        <v>50</v>
      </c>
      <c r="E158" s="24" t="s">
        <v>51</v>
      </c>
      <c r="F158" s="13">
        <v>1600.0</v>
      </c>
      <c r="G158" s="15">
        <v>9837.0</v>
      </c>
      <c r="H158" s="15" t="s">
        <v>211</v>
      </c>
      <c r="I158" s="15" t="s">
        <v>369</v>
      </c>
      <c r="J158" s="15" t="s">
        <v>38</v>
      </c>
      <c r="K158" s="15" t="s">
        <v>54</v>
      </c>
      <c r="L158" s="15" t="s">
        <v>55</v>
      </c>
      <c r="M158" s="15"/>
      <c r="N158" s="15" t="s">
        <v>384</v>
      </c>
    </row>
    <row r="159" ht="56.25" customHeight="1">
      <c r="A159" s="13" t="s">
        <v>3603</v>
      </c>
      <c r="B159" s="15" t="str">
        <f>IMAGE("https://i.imgur.com/KLvrx75.png")</f>
        <v/>
      </c>
      <c r="C159" s="15" t="s">
        <v>40</v>
      </c>
      <c r="D159" s="15" t="s">
        <v>28</v>
      </c>
      <c r="E159" s="13">
        <v>2520.0</v>
      </c>
      <c r="F159" s="13">
        <v>630.0</v>
      </c>
      <c r="G159" s="15">
        <v>3577.0</v>
      </c>
      <c r="H159" s="15" t="s">
        <v>82</v>
      </c>
      <c r="I159" s="15" t="s">
        <v>258</v>
      </c>
      <c r="J159" s="15" t="s">
        <v>38</v>
      </c>
      <c r="K159" s="15" t="s">
        <v>43</v>
      </c>
      <c r="L159" s="15" t="s">
        <v>2749</v>
      </c>
      <c r="M159" s="15" t="s">
        <v>2751</v>
      </c>
      <c r="N159" s="15" t="s">
        <v>852</v>
      </c>
    </row>
    <row r="160" ht="56.25" customHeight="1">
      <c r="A160" s="13" t="s">
        <v>3605</v>
      </c>
      <c r="B160" s="15" t="str">
        <f>IMAGE("https://i.imgur.com/U8K04Nu.png")</f>
        <v/>
      </c>
      <c r="C160" s="17" t="str">
        <f>HYPERLINK("https://imgur.com/a/MfxEUyz","Yes")</f>
        <v>Yes</v>
      </c>
      <c r="D160" s="15" t="s">
        <v>28</v>
      </c>
      <c r="E160" s="13">
        <v>2240.0</v>
      </c>
      <c r="F160" s="13">
        <v>560.0</v>
      </c>
      <c r="G160" s="15">
        <v>3612.0</v>
      </c>
      <c r="H160" s="15" t="s">
        <v>112</v>
      </c>
      <c r="I160" s="15" t="s">
        <v>211</v>
      </c>
      <c r="J160" s="15" t="s">
        <v>38</v>
      </c>
      <c r="K160" s="15" t="s">
        <v>43</v>
      </c>
      <c r="L160" s="15" t="s">
        <v>2749</v>
      </c>
      <c r="M160" s="15" t="s">
        <v>2751</v>
      </c>
      <c r="N160" s="15" t="s">
        <v>2793</v>
      </c>
    </row>
    <row r="161" ht="56.25" customHeight="1">
      <c r="A161" s="24" t="s">
        <v>3606</v>
      </c>
      <c r="B161" s="15" t="str">
        <f>IMAGE("https://i.imgur.com/fwedrQ0.png")</f>
        <v/>
      </c>
      <c r="C161" s="17" t="str">
        <f>HYPERLINK("https://imgur.com/a/FkV3MkG","Yes")</f>
        <v>Yes</v>
      </c>
      <c r="D161" s="25" t="s">
        <v>28</v>
      </c>
      <c r="E161" s="13">
        <v>1600.0</v>
      </c>
      <c r="F161" s="13">
        <v>400.0</v>
      </c>
      <c r="G161" s="15">
        <v>3536.0</v>
      </c>
      <c r="H161" s="15" t="s">
        <v>112</v>
      </c>
      <c r="I161" s="15" t="s">
        <v>82</v>
      </c>
      <c r="J161" s="15" t="s">
        <v>38</v>
      </c>
      <c r="K161" s="15" t="s">
        <v>43</v>
      </c>
      <c r="L161" s="15" t="s">
        <v>2749</v>
      </c>
      <c r="M161" s="15" t="s">
        <v>2751</v>
      </c>
      <c r="N161" s="15" t="s">
        <v>2744</v>
      </c>
    </row>
    <row r="162" ht="56.25" customHeight="1">
      <c r="A162" s="13" t="s">
        <v>3608</v>
      </c>
      <c r="B162" s="15" t="str">
        <f>image("https://i.imgur.com/CKd1Xvq.png")</f>
        <v/>
      </c>
      <c r="C162" s="15" t="s">
        <v>40</v>
      </c>
      <c r="D162" s="15" t="s">
        <v>28</v>
      </c>
      <c r="E162" s="13">
        <v>1500.0</v>
      </c>
      <c r="F162" s="13">
        <v>375.0</v>
      </c>
      <c r="G162" s="15">
        <v>3293.0</v>
      </c>
      <c r="H162" s="15" t="s">
        <v>211</v>
      </c>
      <c r="I162" s="15" t="s">
        <v>369</v>
      </c>
      <c r="J162" s="15" t="s">
        <v>38</v>
      </c>
      <c r="K162" s="15" t="s">
        <v>43</v>
      </c>
      <c r="L162" s="15" t="s">
        <v>2749</v>
      </c>
      <c r="M162" s="15" t="s">
        <v>2764</v>
      </c>
      <c r="N162" s="15" t="s">
        <v>384</v>
      </c>
    </row>
    <row r="163" ht="56.25" customHeight="1">
      <c r="A163" s="13" t="s">
        <v>3609</v>
      </c>
      <c r="B163" s="15" t="str">
        <f>IMAGE("https://i.imgur.com/cuPFRQP.png")</f>
        <v/>
      </c>
      <c r="C163" s="17" t="str">
        <f>HYPERLINK("https://imgur.com/a/0KC8qvf","Yes")</f>
        <v>Yes</v>
      </c>
      <c r="D163" s="15" t="s">
        <v>28</v>
      </c>
      <c r="E163" s="13">
        <v>1600.0</v>
      </c>
      <c r="F163" s="13">
        <v>400.0</v>
      </c>
      <c r="G163" s="15">
        <v>4506.0</v>
      </c>
      <c r="H163" s="15" t="s">
        <v>107</v>
      </c>
      <c r="I163" s="15" t="s">
        <v>107</v>
      </c>
      <c r="J163" s="15" t="s">
        <v>38</v>
      </c>
      <c r="K163" s="15" t="s">
        <v>43</v>
      </c>
      <c r="L163" s="15" t="s">
        <v>2749</v>
      </c>
      <c r="M163" s="15" t="s">
        <v>2764</v>
      </c>
      <c r="N163" s="15" t="s">
        <v>384</v>
      </c>
    </row>
    <row r="164" ht="56.25" customHeight="1">
      <c r="A164" s="13" t="s">
        <v>3610</v>
      </c>
      <c r="B164" s="15" t="str">
        <f>IMAGE("https://i.imgur.com/6hgbW7F.png")</f>
        <v/>
      </c>
      <c r="C164" s="17" t="str">
        <f>HYPERLINK("https://imgur.com/a/Yc2d0Vj","Yes")</f>
        <v>Yes</v>
      </c>
      <c r="D164" s="15" t="s">
        <v>28</v>
      </c>
      <c r="E164" s="13">
        <v>1050.0</v>
      </c>
      <c r="F164" s="13">
        <v>262.0</v>
      </c>
      <c r="G164" s="15">
        <v>3354.0</v>
      </c>
      <c r="H164" s="15" t="s">
        <v>1614</v>
      </c>
      <c r="I164" s="15" t="s">
        <v>82</v>
      </c>
      <c r="J164" s="15" t="s">
        <v>38</v>
      </c>
      <c r="K164" s="15" t="s">
        <v>43</v>
      </c>
      <c r="L164" s="15" t="s">
        <v>2749</v>
      </c>
      <c r="M164" s="15" t="s">
        <v>2764</v>
      </c>
      <c r="N164" s="15" t="s">
        <v>2744</v>
      </c>
    </row>
    <row r="165" ht="56.25" customHeight="1">
      <c r="A165" s="13" t="s">
        <v>3611</v>
      </c>
      <c r="B165" s="15" t="str">
        <f>IMAGE("https://i.imgur.com/AnHx45D.png")</f>
        <v/>
      </c>
      <c r="C165" s="17" t="str">
        <f>HYPERLINK("https://imgur.com/a/osVEJie","Yes")</f>
        <v>Yes</v>
      </c>
      <c r="D165" s="15" t="s">
        <v>28</v>
      </c>
      <c r="E165" s="13">
        <v>2000.0</v>
      </c>
      <c r="F165" s="13">
        <v>500.0</v>
      </c>
      <c r="G165" s="15">
        <v>4399.0</v>
      </c>
      <c r="H165" s="15" t="s">
        <v>1614</v>
      </c>
      <c r="I165" s="15" t="s">
        <v>208</v>
      </c>
      <c r="J165" s="15" t="s">
        <v>38</v>
      </c>
      <c r="K165" s="15" t="s">
        <v>43</v>
      </c>
      <c r="L165" s="15" t="s">
        <v>2749</v>
      </c>
      <c r="M165" s="15" t="s">
        <v>2764</v>
      </c>
      <c r="N165" s="15" t="s">
        <v>384</v>
      </c>
    </row>
    <row r="166" ht="56.25" customHeight="1">
      <c r="A166" s="13" t="s">
        <v>3614</v>
      </c>
      <c r="B166" s="15" t="str">
        <f>IMAGE("https://i.imgur.com/gJYExIM.png")</f>
        <v/>
      </c>
      <c r="C166" s="17" t="str">
        <f>HYPERLINK("https://imgur.com/a/1ghypfk","Yes")</f>
        <v>Yes</v>
      </c>
      <c r="D166" s="15" t="s">
        <v>28</v>
      </c>
      <c r="E166" s="13">
        <v>1600.0</v>
      </c>
      <c r="F166" s="13">
        <v>400.0</v>
      </c>
      <c r="G166" s="15">
        <v>3128.0</v>
      </c>
      <c r="H166" s="15" t="s">
        <v>118</v>
      </c>
      <c r="I166" s="15" t="s">
        <v>99</v>
      </c>
      <c r="J166" s="15" t="s">
        <v>38</v>
      </c>
      <c r="K166" s="15" t="s">
        <v>43</v>
      </c>
      <c r="L166" s="15" t="s">
        <v>2749</v>
      </c>
      <c r="M166" s="15" t="s">
        <v>2764</v>
      </c>
      <c r="N166" s="15" t="s">
        <v>2863</v>
      </c>
    </row>
    <row r="167" ht="56.25" customHeight="1">
      <c r="A167" s="13" t="s">
        <v>3615</v>
      </c>
      <c r="B167" s="15" t="str">
        <f>IMAGE("https://i.imgur.com/TFj0IDC.png")</f>
        <v/>
      </c>
      <c r="C167" s="17" t="str">
        <f>HYPERLINK("https://imgur.com/a/sLUqazd","Yes")</f>
        <v>Yes</v>
      </c>
      <c r="D167" s="15" t="s">
        <v>28</v>
      </c>
      <c r="E167" s="13">
        <v>3780.0</v>
      </c>
      <c r="F167" s="13">
        <v>945.0</v>
      </c>
      <c r="G167" s="15">
        <v>5424.0</v>
      </c>
      <c r="H167" s="15" t="s">
        <v>208</v>
      </c>
      <c r="I167" s="15" t="s">
        <v>94</v>
      </c>
      <c r="J167" s="15" t="s">
        <v>38</v>
      </c>
      <c r="K167" s="15" t="s">
        <v>43</v>
      </c>
      <c r="L167" s="15" t="s">
        <v>2749</v>
      </c>
      <c r="M167" s="15" t="s">
        <v>2751</v>
      </c>
      <c r="N167" s="15" t="s">
        <v>2793</v>
      </c>
    </row>
    <row r="168" ht="56.25" customHeight="1">
      <c r="A168" s="13" t="s">
        <v>3616</v>
      </c>
      <c r="B168" s="15" t="str">
        <f>IMAGE("https://i.imgur.com/ApWfxX6.png")</f>
        <v/>
      </c>
      <c r="C168" s="17" t="str">
        <f>HYPERLINK("https://imgur.com/a/U1Baq5g","Yes")</f>
        <v>Yes</v>
      </c>
      <c r="D168" s="15" t="s">
        <v>28</v>
      </c>
      <c r="E168" s="13">
        <v>1920.0</v>
      </c>
      <c r="F168" s="13">
        <v>480.0</v>
      </c>
      <c r="G168" s="15">
        <v>2784.0</v>
      </c>
      <c r="H168" s="15" t="s">
        <v>1614</v>
      </c>
      <c r="I168" s="15" t="s">
        <v>112</v>
      </c>
      <c r="J168" s="15" t="s">
        <v>38</v>
      </c>
      <c r="K168" s="15" t="s">
        <v>43</v>
      </c>
      <c r="L168" s="15" t="s">
        <v>2749</v>
      </c>
      <c r="M168" s="15" t="s">
        <v>2751</v>
      </c>
      <c r="N168" s="15" t="s">
        <v>2863</v>
      </c>
    </row>
    <row r="169" ht="56.25" customHeight="1">
      <c r="A169" s="13" t="s">
        <v>3617</v>
      </c>
      <c r="B169" s="15" t="str">
        <f>IMAGE("https://i.imgur.com/s0oTa07.png")</f>
        <v/>
      </c>
      <c r="C169" s="17" t="str">
        <f>HYPERLINK("https://imgur.com/a/pdexVA1","Yes")</f>
        <v>Yes</v>
      </c>
      <c r="D169" s="25" t="s">
        <v>28</v>
      </c>
      <c r="E169" s="13">
        <v>5500.0</v>
      </c>
      <c r="F169" s="13">
        <v>1375.0</v>
      </c>
      <c r="G169" s="15">
        <v>3260.0</v>
      </c>
      <c r="H169" s="15" t="s">
        <v>1614</v>
      </c>
      <c r="I169" s="15" t="s">
        <v>112</v>
      </c>
      <c r="J169" s="15" t="s">
        <v>38</v>
      </c>
      <c r="K169" s="15" t="s">
        <v>43</v>
      </c>
      <c r="L169" s="15" t="s">
        <v>2749</v>
      </c>
      <c r="M169" s="15" t="s">
        <v>2751</v>
      </c>
      <c r="N169" s="15" t="s">
        <v>2863</v>
      </c>
    </row>
    <row r="170" ht="56.25" customHeight="1">
      <c r="A170" s="13" t="s">
        <v>3618</v>
      </c>
      <c r="B170" s="15" t="str">
        <f>IMAGE("https://i.imgur.com/OOc8rDk.png")</f>
        <v/>
      </c>
      <c r="C170" s="17" t="str">
        <f>HYPERLINK("https://imgur.com/a/BlUxExO","Yes")</f>
        <v>Yes</v>
      </c>
      <c r="D170" s="15" t="s">
        <v>28</v>
      </c>
      <c r="E170" s="13">
        <v>2450.0</v>
      </c>
      <c r="F170" s="13">
        <v>612.0</v>
      </c>
      <c r="G170" s="15">
        <v>3655.0</v>
      </c>
      <c r="H170" s="15" t="s">
        <v>208</v>
      </c>
      <c r="I170" s="15" t="s">
        <v>82</v>
      </c>
      <c r="J170" s="15" t="s">
        <v>38</v>
      </c>
      <c r="K170" s="15" t="s">
        <v>43</v>
      </c>
      <c r="L170" s="15" t="s">
        <v>2749</v>
      </c>
      <c r="M170" s="15" t="s">
        <v>2751</v>
      </c>
      <c r="N170" s="15" t="s">
        <v>2793</v>
      </c>
    </row>
    <row r="171" ht="56.25" customHeight="1">
      <c r="A171" s="13" t="s">
        <v>3619</v>
      </c>
      <c r="B171" s="15" t="str">
        <f>IMAGE("https://i.imgur.com/0yc0djd.png")</f>
        <v/>
      </c>
      <c r="C171" s="17" t="str">
        <f>HYPERLINK("https://imgur.com/a/DaUkBX0","Yes")</f>
        <v>Yes</v>
      </c>
      <c r="D171" s="15" t="s">
        <v>28</v>
      </c>
      <c r="E171" s="13">
        <v>2240.0</v>
      </c>
      <c r="F171" s="13">
        <v>560.0</v>
      </c>
      <c r="G171" s="15">
        <v>3134.0</v>
      </c>
      <c r="H171" s="15" t="s">
        <v>208</v>
      </c>
      <c r="I171" s="15" t="s">
        <v>99</v>
      </c>
      <c r="J171" s="15" t="s">
        <v>38</v>
      </c>
      <c r="K171" s="15" t="s">
        <v>43</v>
      </c>
      <c r="L171" s="15" t="s">
        <v>2749</v>
      </c>
      <c r="M171" s="15" t="s">
        <v>2751</v>
      </c>
      <c r="N171" s="15" t="s">
        <v>852</v>
      </c>
    </row>
    <row r="172" ht="56.25" customHeight="1">
      <c r="A172" s="13" t="s">
        <v>3620</v>
      </c>
      <c r="B172" s="15" t="str">
        <f>IMAGE("https://i.imgur.com/QHoAN4W.png")</f>
        <v/>
      </c>
      <c r="C172" s="17" t="str">
        <f>HYPERLINK("https://imgur.com/a/s8y4Ojz","Yes")</f>
        <v>Yes</v>
      </c>
      <c r="D172" s="25" t="s">
        <v>28</v>
      </c>
      <c r="E172" s="13">
        <v>6000.0</v>
      </c>
      <c r="F172" s="13">
        <v>1500.0</v>
      </c>
      <c r="G172" s="15">
        <v>5432.0</v>
      </c>
      <c r="H172" s="15" t="s">
        <v>208</v>
      </c>
      <c r="I172" s="15" t="s">
        <v>1608</v>
      </c>
      <c r="J172" s="15" t="s">
        <v>38</v>
      </c>
      <c r="K172" s="15" t="s">
        <v>43</v>
      </c>
      <c r="L172" s="15" t="s">
        <v>2749</v>
      </c>
      <c r="M172" s="15" t="s">
        <v>2751</v>
      </c>
      <c r="N172" s="15" t="s">
        <v>852</v>
      </c>
    </row>
    <row r="173" ht="56.25" customHeight="1">
      <c r="A173" s="13" t="s">
        <v>3622</v>
      </c>
      <c r="B173" s="15" t="str">
        <f>IMAGE("https://i.imgur.com/ouaiRoj.png")</f>
        <v/>
      </c>
      <c r="C173" s="17" t="str">
        <f>HYPERLINK("https://imgur.com/a/1V06gIj","Yes")</f>
        <v>Yes</v>
      </c>
      <c r="D173" s="15" t="s">
        <v>28</v>
      </c>
      <c r="E173" s="13">
        <v>2550.0</v>
      </c>
      <c r="F173" s="13">
        <v>637.0</v>
      </c>
      <c r="G173" s="15">
        <v>4557.0</v>
      </c>
      <c r="H173" s="15" t="s">
        <v>521</v>
      </c>
      <c r="I173" s="15" t="s">
        <v>107</v>
      </c>
      <c r="J173" s="15" t="s">
        <v>38</v>
      </c>
      <c r="K173" s="15" t="s">
        <v>43</v>
      </c>
      <c r="L173" s="15" t="s">
        <v>2749</v>
      </c>
      <c r="M173" s="15" t="s">
        <v>2751</v>
      </c>
      <c r="N173" s="15" t="s">
        <v>384</v>
      </c>
    </row>
    <row r="174" ht="56.25" customHeight="1">
      <c r="A174" s="13" t="s">
        <v>3624</v>
      </c>
      <c r="B174" s="15" t="str">
        <f>IMAGE("https://i.imgur.com/DtBcw4C.png")</f>
        <v/>
      </c>
      <c r="C174" s="17" t="str">
        <f>HYPERLINK("https://imgur.com/a/Glez8E3","Yes")</f>
        <v>Yes</v>
      </c>
      <c r="D174" s="15" t="s">
        <v>28</v>
      </c>
      <c r="E174" s="13">
        <v>2550.0</v>
      </c>
      <c r="F174" s="13">
        <v>637.0</v>
      </c>
      <c r="G174" s="15">
        <v>2706.0</v>
      </c>
      <c r="H174" s="15" t="s">
        <v>369</v>
      </c>
      <c r="I174" s="15" t="s">
        <v>82</v>
      </c>
      <c r="J174" s="15" t="s">
        <v>38</v>
      </c>
      <c r="K174" s="15" t="s">
        <v>43</v>
      </c>
      <c r="L174" s="15" t="s">
        <v>2749</v>
      </c>
      <c r="M174" s="15" t="s">
        <v>2751</v>
      </c>
      <c r="N174" s="15" t="s">
        <v>2863</v>
      </c>
    </row>
    <row r="175" ht="56.25" customHeight="1">
      <c r="A175" s="13" t="s">
        <v>3625</v>
      </c>
      <c r="B175" s="15" t="str">
        <f>IMAGE("https://i.imgur.com/KOPNtSI.png")</f>
        <v/>
      </c>
      <c r="C175" s="17" t="str">
        <f>HYPERLINK("https://imgur.com/a/paTjviD","Yes")</f>
        <v>Yes</v>
      </c>
      <c r="D175" s="15" t="s">
        <v>28</v>
      </c>
      <c r="E175" s="13">
        <v>1600.0</v>
      </c>
      <c r="F175" s="13">
        <v>400.0</v>
      </c>
      <c r="G175" s="15">
        <v>4300.0</v>
      </c>
      <c r="H175" s="15" t="s">
        <v>211</v>
      </c>
      <c r="I175" s="15" t="s">
        <v>211</v>
      </c>
      <c r="J175" s="15" t="s">
        <v>38</v>
      </c>
      <c r="K175" s="15" t="s">
        <v>43</v>
      </c>
      <c r="L175" s="15" t="s">
        <v>2749</v>
      </c>
      <c r="M175" s="15" t="s">
        <v>2751</v>
      </c>
      <c r="N175" s="15" t="s">
        <v>2863</v>
      </c>
    </row>
    <row r="176" ht="56.25" customHeight="1">
      <c r="A176" s="13" t="s">
        <v>3626</v>
      </c>
      <c r="B176" s="15" t="str">
        <f>IMAGE("https://i.imgur.com/jLwNuiH.png")</f>
        <v/>
      </c>
      <c r="C176" s="17" t="str">
        <f>HYPERLINK("https://imgur.com/a/4M6QhBO","Yes")</f>
        <v>Yes</v>
      </c>
      <c r="D176" s="15" t="s">
        <v>28</v>
      </c>
      <c r="E176" s="13">
        <v>4240.0</v>
      </c>
      <c r="F176" s="13">
        <v>1060.0</v>
      </c>
      <c r="G176" s="15">
        <v>3385.0</v>
      </c>
      <c r="H176" s="15" t="s">
        <v>464</v>
      </c>
      <c r="I176" s="15" t="s">
        <v>464</v>
      </c>
      <c r="J176" s="15" t="s">
        <v>38</v>
      </c>
      <c r="K176" s="15" t="s">
        <v>43</v>
      </c>
      <c r="L176" s="15" t="s">
        <v>2749</v>
      </c>
      <c r="M176" s="15" t="s">
        <v>2751</v>
      </c>
      <c r="N176" s="15" t="s">
        <v>384</v>
      </c>
    </row>
    <row r="177" ht="56.25" customHeight="1">
      <c r="A177" s="13" t="s">
        <v>3627</v>
      </c>
      <c r="B177" s="15" t="str">
        <f>IMAGE("https://i.imgur.com/B08kR7p.png")</f>
        <v/>
      </c>
      <c r="C177" s="17" t="str">
        <f>HYPERLINK("https://imgur.com/a/JfEMohO","Yes")</f>
        <v>Yes</v>
      </c>
      <c r="D177" s="15" t="s">
        <v>28</v>
      </c>
      <c r="E177" s="13">
        <v>1760.0</v>
      </c>
      <c r="F177" s="13">
        <v>440.0</v>
      </c>
      <c r="G177" s="15">
        <v>4586.0</v>
      </c>
      <c r="H177" s="15" t="s">
        <v>82</v>
      </c>
      <c r="I177" s="15" t="s">
        <v>208</v>
      </c>
      <c r="J177" s="15" t="s">
        <v>38</v>
      </c>
      <c r="K177" s="15" t="s">
        <v>43</v>
      </c>
      <c r="L177" s="15" t="s">
        <v>2749</v>
      </c>
      <c r="M177" s="15" t="s">
        <v>2751</v>
      </c>
      <c r="N177" s="15" t="s">
        <v>2793</v>
      </c>
    </row>
    <row r="178" ht="56.25" customHeight="1">
      <c r="A178" s="13" t="s">
        <v>3629</v>
      </c>
      <c r="B178" s="15" t="str">
        <f>IMAGE("https://i.imgur.com/Ci1gBvC.png")</f>
        <v/>
      </c>
      <c r="C178" s="17" t="str">
        <f>HYPERLINK("https://imgur.com/a/hPhhnk5","Yes")</f>
        <v>Yes</v>
      </c>
      <c r="D178" s="15" t="s">
        <v>28</v>
      </c>
      <c r="E178" s="13">
        <v>2600.0</v>
      </c>
      <c r="F178" s="13">
        <v>650.0</v>
      </c>
      <c r="G178" s="15">
        <v>5610.0</v>
      </c>
      <c r="H178" s="15" t="s">
        <v>208</v>
      </c>
      <c r="I178" s="15" t="s">
        <v>211</v>
      </c>
      <c r="J178" s="15" t="s">
        <v>38</v>
      </c>
      <c r="K178" s="15" t="s">
        <v>43</v>
      </c>
      <c r="L178" s="15" t="s">
        <v>2749</v>
      </c>
      <c r="M178" s="15" t="s">
        <v>2751</v>
      </c>
      <c r="N178" s="15" t="s">
        <v>2863</v>
      </c>
    </row>
    <row r="179" ht="56.25" customHeight="1">
      <c r="A179" s="13" t="s">
        <v>3630</v>
      </c>
      <c r="B179" s="15" t="str">
        <f>IMAGE("https://i.imgur.com/aa087Bx.png")</f>
        <v/>
      </c>
      <c r="C179" s="17" t="str">
        <f>HYPERLINK("https://imgur.com/a/g9k5kSm","Yes")</f>
        <v>Yes</v>
      </c>
      <c r="D179" s="15" t="s">
        <v>28</v>
      </c>
      <c r="E179" s="13">
        <v>2600.0</v>
      </c>
      <c r="F179" s="13">
        <v>650.0</v>
      </c>
      <c r="G179" s="15">
        <v>5645.0</v>
      </c>
      <c r="H179" s="15" t="s">
        <v>208</v>
      </c>
      <c r="I179" s="15" t="s">
        <v>99</v>
      </c>
      <c r="J179" s="15" t="s">
        <v>38</v>
      </c>
      <c r="K179" s="15" t="s">
        <v>43</v>
      </c>
      <c r="L179" s="15" t="s">
        <v>2749</v>
      </c>
      <c r="M179" s="15" t="s">
        <v>2751</v>
      </c>
      <c r="N179" s="15" t="s">
        <v>2863</v>
      </c>
    </row>
    <row r="180" ht="56.25" customHeight="1">
      <c r="A180" s="13" t="s">
        <v>3631</v>
      </c>
      <c r="B180" s="15" t="str">
        <f>IMAGE("https://i.imgur.com/W09ZnGe.png")</f>
        <v/>
      </c>
      <c r="C180" s="17" t="str">
        <f>HYPERLINK("https://imgur.com/a/u6rh6b5","Yes")</f>
        <v>Yes</v>
      </c>
      <c r="D180" s="15" t="s">
        <v>28</v>
      </c>
      <c r="E180" s="13">
        <v>1920.0</v>
      </c>
      <c r="F180" s="13">
        <v>480.0</v>
      </c>
      <c r="G180" s="15">
        <v>3673.0</v>
      </c>
      <c r="H180" s="15" t="s">
        <v>82</v>
      </c>
      <c r="I180" s="15" t="s">
        <v>112</v>
      </c>
      <c r="J180" s="15" t="s">
        <v>38</v>
      </c>
      <c r="K180" s="15" t="s">
        <v>43</v>
      </c>
      <c r="L180" s="15" t="s">
        <v>2749</v>
      </c>
      <c r="M180" s="15" t="s">
        <v>2751</v>
      </c>
      <c r="N180" s="15" t="s">
        <v>384</v>
      </c>
    </row>
    <row r="181" ht="56.25" customHeight="1">
      <c r="A181" s="13" t="s">
        <v>3633</v>
      </c>
      <c r="B181" s="15" t="str">
        <f>IMAGE("https://i.imgur.com/55lZNk1.png")</f>
        <v/>
      </c>
      <c r="C181" s="17" t="str">
        <f>HYPERLINK("https://imgur.com/a/frQuu3f","Yes")</f>
        <v>Yes</v>
      </c>
      <c r="D181" s="15" t="s">
        <v>28</v>
      </c>
      <c r="E181" s="13">
        <v>2520.0</v>
      </c>
      <c r="F181" s="13">
        <v>630.0</v>
      </c>
      <c r="G181" s="15">
        <v>3685.0</v>
      </c>
      <c r="H181" s="15" t="s">
        <v>208</v>
      </c>
      <c r="I181" s="15" t="s">
        <v>208</v>
      </c>
      <c r="J181" s="15" t="s">
        <v>38</v>
      </c>
      <c r="K181" s="15" t="s">
        <v>43</v>
      </c>
      <c r="L181" s="15" t="s">
        <v>2749</v>
      </c>
      <c r="M181" s="15" t="s">
        <v>2751</v>
      </c>
      <c r="N181" s="15" t="s">
        <v>2863</v>
      </c>
    </row>
    <row r="182" ht="56.25" customHeight="1">
      <c r="A182" s="13" t="s">
        <v>3634</v>
      </c>
      <c r="B182" s="15" t="str">
        <f>IMAGE("https://i.imgur.com/A8inRDZ.png")</f>
        <v/>
      </c>
      <c r="C182" s="17" t="str">
        <f>HYPERLINK("https://imgur.com/a/YxBpFK7","Yes")</f>
        <v>Yes</v>
      </c>
      <c r="D182" s="15" t="s">
        <v>28</v>
      </c>
      <c r="E182" s="13">
        <v>1600.0</v>
      </c>
      <c r="F182" s="13">
        <v>400.0</v>
      </c>
      <c r="G182" s="15">
        <v>2599.0</v>
      </c>
      <c r="H182" s="15" t="s">
        <v>369</v>
      </c>
      <c r="I182" s="15" t="s">
        <v>369</v>
      </c>
      <c r="J182" s="15" t="s">
        <v>38</v>
      </c>
      <c r="K182" s="15" t="s">
        <v>43</v>
      </c>
      <c r="L182" s="15" t="s">
        <v>2749</v>
      </c>
      <c r="M182" s="15" t="s">
        <v>2751</v>
      </c>
      <c r="N182" s="15" t="s">
        <v>852</v>
      </c>
    </row>
    <row r="183" ht="56.25" customHeight="1">
      <c r="A183" s="13" t="s">
        <v>3636</v>
      </c>
      <c r="B183" s="15" t="str">
        <f>IMAGE("https://i.imgur.com/g1y4iKb.png")</f>
        <v/>
      </c>
      <c r="C183" s="15" t="s">
        <v>40</v>
      </c>
      <c r="D183" s="15" t="s">
        <v>28</v>
      </c>
      <c r="E183" s="13">
        <v>2000.0</v>
      </c>
      <c r="F183" s="13">
        <v>500.0</v>
      </c>
      <c r="G183" s="15">
        <v>5567.0</v>
      </c>
      <c r="H183" s="15" t="s">
        <v>112</v>
      </c>
      <c r="I183" s="15" t="s">
        <v>82</v>
      </c>
      <c r="J183" s="15" t="s">
        <v>38</v>
      </c>
      <c r="K183" s="15" t="s">
        <v>43</v>
      </c>
      <c r="L183" s="15" t="s">
        <v>2749</v>
      </c>
      <c r="M183" s="15" t="s">
        <v>2751</v>
      </c>
      <c r="N183" s="15" t="s">
        <v>2744</v>
      </c>
    </row>
    <row r="184" ht="56.25" customHeight="1">
      <c r="A184" s="13" t="s">
        <v>3637</v>
      </c>
      <c r="B184" s="15" t="str">
        <f>IMAGE("https://i.imgur.com/GRk31Z5.png")</f>
        <v/>
      </c>
      <c r="C184" s="15" t="s">
        <v>40</v>
      </c>
      <c r="D184" s="15" t="s">
        <v>28</v>
      </c>
      <c r="E184" s="13">
        <v>2240.0</v>
      </c>
      <c r="F184" s="13">
        <v>560.0</v>
      </c>
      <c r="G184" s="15">
        <v>3565.0</v>
      </c>
      <c r="H184" s="15" t="s">
        <v>112</v>
      </c>
      <c r="I184" s="15" t="s">
        <v>1614</v>
      </c>
      <c r="J184" s="15" t="s">
        <v>38</v>
      </c>
      <c r="K184" s="15" t="s">
        <v>43</v>
      </c>
      <c r="L184" s="15" t="s">
        <v>2749</v>
      </c>
      <c r="M184" s="15" t="s">
        <v>2751</v>
      </c>
      <c r="N184" s="15" t="s">
        <v>2793</v>
      </c>
    </row>
    <row r="185" ht="56.25" customHeight="1">
      <c r="A185" s="13" t="s">
        <v>3638</v>
      </c>
      <c r="B185" s="15" t="str">
        <f>IMAGE("https://i.imgur.com/0sHWlIy.png")</f>
        <v/>
      </c>
      <c r="C185" s="17" t="str">
        <f>HYPERLINK("https://imgur.com/a/621lTcY","Yes")</f>
        <v>Yes</v>
      </c>
      <c r="D185" s="15" t="s">
        <v>28</v>
      </c>
      <c r="E185" s="13">
        <v>2000.0</v>
      </c>
      <c r="F185" s="13">
        <v>500.0</v>
      </c>
      <c r="G185" s="15">
        <v>4489.0</v>
      </c>
      <c r="H185" s="15" t="s">
        <v>99</v>
      </c>
      <c r="I185" s="15" t="s">
        <v>94</v>
      </c>
      <c r="J185" s="15" t="s">
        <v>38</v>
      </c>
      <c r="K185" s="15" t="s">
        <v>43</v>
      </c>
      <c r="L185" s="15" t="s">
        <v>2749</v>
      </c>
      <c r="M185" s="15" t="s">
        <v>2764</v>
      </c>
      <c r="N185" s="15" t="s">
        <v>2863</v>
      </c>
    </row>
    <row r="186" ht="56.25" customHeight="1">
      <c r="A186" s="13" t="s">
        <v>3639</v>
      </c>
      <c r="B186" s="15" t="str">
        <f>IMAGE("https://i.imgur.com/7hwwxFd.png")</f>
        <v/>
      </c>
      <c r="C186" s="17" t="str">
        <f>HYPERLINK("https://imgur.com/a/LT1KXJV","Yes")</f>
        <v>Yes</v>
      </c>
      <c r="D186" s="15" t="s">
        <v>28</v>
      </c>
      <c r="E186" s="13">
        <v>1700.0</v>
      </c>
      <c r="F186" s="13">
        <v>425.0</v>
      </c>
      <c r="G186" s="15">
        <v>4431.0</v>
      </c>
      <c r="H186" s="15" t="s">
        <v>82</v>
      </c>
      <c r="I186" s="15" t="s">
        <v>107</v>
      </c>
      <c r="J186" s="15" t="s">
        <v>38</v>
      </c>
      <c r="K186" s="15" t="s">
        <v>43</v>
      </c>
      <c r="L186" s="15" t="s">
        <v>2749</v>
      </c>
      <c r="M186" s="15" t="s">
        <v>2751</v>
      </c>
      <c r="N186" s="15" t="s">
        <v>384</v>
      </c>
    </row>
    <row r="187" ht="56.25" customHeight="1">
      <c r="A187" s="13" t="s">
        <v>3641</v>
      </c>
      <c r="B187" s="15" t="str">
        <f>IMAGE("https://i.imgur.com/qD2Xmx7.png")</f>
        <v/>
      </c>
      <c r="C187" s="17" t="str">
        <f>HYPERLINK("https://imgur.com/a/U0CkwB9","Yes")</f>
        <v>Yes</v>
      </c>
      <c r="D187" s="15" t="s">
        <v>28</v>
      </c>
      <c r="E187" s="13">
        <v>3500.0</v>
      </c>
      <c r="F187" s="13">
        <v>875.0</v>
      </c>
      <c r="G187" s="15">
        <v>4657.0</v>
      </c>
      <c r="H187" s="15" t="s">
        <v>107</v>
      </c>
      <c r="I187" s="15" t="s">
        <v>82</v>
      </c>
      <c r="J187" s="15" t="s">
        <v>38</v>
      </c>
      <c r="K187" s="15" t="s">
        <v>43</v>
      </c>
      <c r="L187" s="15" t="s">
        <v>2749</v>
      </c>
      <c r="M187" s="15" t="s">
        <v>2751</v>
      </c>
      <c r="N187" s="15" t="s">
        <v>852</v>
      </c>
    </row>
    <row r="188" ht="56.25" customHeight="1">
      <c r="A188" s="13" t="s">
        <v>3643</v>
      </c>
      <c r="B188" s="15" t="str">
        <f>IMAGE("https://i.imgur.com/m2zdYO5.png")</f>
        <v/>
      </c>
      <c r="C188" s="17" t="str">
        <f>HYPERLINK("https://imgur.com/a/xzTTGHj","Yes")</f>
        <v>Yes</v>
      </c>
      <c r="D188" s="15" t="s">
        <v>28</v>
      </c>
      <c r="E188" s="13">
        <v>1600.0</v>
      </c>
      <c r="F188" s="13">
        <v>400.0</v>
      </c>
      <c r="G188" s="15">
        <v>3386.0</v>
      </c>
      <c r="H188" s="15" t="s">
        <v>112</v>
      </c>
      <c r="I188" s="15" t="s">
        <v>112</v>
      </c>
      <c r="J188" s="15" t="s">
        <v>38</v>
      </c>
      <c r="K188" s="15" t="s">
        <v>43</v>
      </c>
      <c r="L188" s="15" t="s">
        <v>2749</v>
      </c>
      <c r="M188" s="15" t="s">
        <v>2764</v>
      </c>
      <c r="N188" s="15" t="s">
        <v>2744</v>
      </c>
    </row>
    <row r="189" ht="56.25" customHeight="1">
      <c r="A189" s="13" t="s">
        <v>3644</v>
      </c>
      <c r="B189" s="15" t="str">
        <f>IMAGE("https://i.imgur.com/kgJj0oK.png")</f>
        <v/>
      </c>
      <c r="C189" s="17" t="str">
        <f>HYPERLINK("https://imgur.com/a/pV8bwZ9","Yes")</f>
        <v>Yes</v>
      </c>
      <c r="D189" s="15" t="s">
        <v>28</v>
      </c>
      <c r="E189" s="13">
        <v>1680.0</v>
      </c>
      <c r="F189" s="13">
        <v>420.0</v>
      </c>
      <c r="G189" s="15">
        <v>4617.0</v>
      </c>
      <c r="H189" s="15" t="s">
        <v>118</v>
      </c>
      <c r="I189" s="15" t="s">
        <v>118</v>
      </c>
      <c r="J189" s="15" t="s">
        <v>38</v>
      </c>
      <c r="K189" s="15" t="s">
        <v>43</v>
      </c>
      <c r="L189" s="15" t="s">
        <v>2749</v>
      </c>
      <c r="M189" s="15" t="s">
        <v>2764</v>
      </c>
      <c r="N189" s="15" t="s">
        <v>2863</v>
      </c>
    </row>
    <row r="190" ht="56.25" customHeight="1">
      <c r="A190" s="13" t="s">
        <v>3645</v>
      </c>
      <c r="B190" s="15" t="str">
        <f>IMAGE("https://i.imgur.com/A4TacAv.png")</f>
        <v/>
      </c>
      <c r="C190" s="17" t="str">
        <f>HYPERLINK("https://imgur.com/a/HDIvjC0","Yes")</f>
        <v>Yes</v>
      </c>
      <c r="D190" s="15" t="s">
        <v>28</v>
      </c>
      <c r="E190" s="13">
        <v>1200.0</v>
      </c>
      <c r="F190" s="13">
        <v>300.0</v>
      </c>
      <c r="G190" s="15">
        <v>8509.0</v>
      </c>
      <c r="H190" s="15" t="s">
        <v>107</v>
      </c>
      <c r="I190" s="15" t="s">
        <v>107</v>
      </c>
      <c r="J190" s="15" t="s">
        <v>38</v>
      </c>
      <c r="K190" s="15" t="s">
        <v>43</v>
      </c>
      <c r="L190" s="15" t="s">
        <v>2749</v>
      </c>
      <c r="M190" s="15" t="s">
        <v>2764</v>
      </c>
      <c r="N190" s="15" t="s">
        <v>2744</v>
      </c>
    </row>
    <row r="191" ht="56.25" customHeight="1">
      <c r="A191" s="13" t="s">
        <v>3646</v>
      </c>
      <c r="B191" s="15" t="str">
        <f>image("https://i.imgur.com/meuBsHF.png")</f>
        <v/>
      </c>
      <c r="C191" s="17" t="str">
        <f>HYPERLINK("https://imgur.com/a/rhWUxVJ","Yes")</f>
        <v>Yes</v>
      </c>
      <c r="D191" s="15" t="s">
        <v>28</v>
      </c>
      <c r="E191" s="13">
        <v>2480.0</v>
      </c>
      <c r="F191" s="13">
        <v>620.0</v>
      </c>
      <c r="G191" s="15">
        <v>6026.0</v>
      </c>
      <c r="H191" s="15" t="s">
        <v>369</v>
      </c>
      <c r="I191" s="15" t="s">
        <v>107</v>
      </c>
      <c r="J191" s="15" t="s">
        <v>38</v>
      </c>
      <c r="K191" s="15" t="s">
        <v>43</v>
      </c>
      <c r="L191" s="15" t="s">
        <v>2749</v>
      </c>
      <c r="M191" s="15" t="s">
        <v>2764</v>
      </c>
      <c r="N191" s="15" t="s">
        <v>2863</v>
      </c>
    </row>
    <row r="192" ht="56.25" customHeight="1">
      <c r="A192" s="13" t="s">
        <v>3648</v>
      </c>
      <c r="B192" s="15" t="str">
        <f>IMAGE("https://i.imgur.com/7qEJ8Q0.png")</f>
        <v/>
      </c>
      <c r="C192" s="17" t="str">
        <f>HYPERLINK("https://imgur.com/a/OuHQp7g","Yes")</f>
        <v>Yes</v>
      </c>
      <c r="D192" s="15" t="s">
        <v>28</v>
      </c>
      <c r="E192" s="13">
        <v>1200.0</v>
      </c>
      <c r="F192" s="13">
        <v>300.0</v>
      </c>
      <c r="G192" s="15">
        <v>8188.0</v>
      </c>
      <c r="H192" s="15" t="s">
        <v>208</v>
      </c>
      <c r="I192" s="15" t="s">
        <v>82</v>
      </c>
      <c r="J192" s="15" t="s">
        <v>38</v>
      </c>
      <c r="K192" s="15" t="s">
        <v>43</v>
      </c>
      <c r="L192" s="15" t="s">
        <v>2749</v>
      </c>
      <c r="M192" s="15" t="s">
        <v>2764</v>
      </c>
      <c r="N192" s="15" t="s">
        <v>2744</v>
      </c>
    </row>
    <row r="193" ht="56.25" customHeight="1">
      <c r="A193" s="13" t="s">
        <v>3649</v>
      </c>
      <c r="B193" s="15" t="str">
        <f>IMAGE("https://i.imgur.com/XIw9WtK.png")</f>
        <v/>
      </c>
      <c r="C193" s="17" t="str">
        <f>HYPERLINK("https://imgur.com/a/c3qatMM","Yes")</f>
        <v>Yes</v>
      </c>
      <c r="D193" s="15" t="s">
        <v>28</v>
      </c>
      <c r="E193" s="13">
        <v>1600.0</v>
      </c>
      <c r="F193" s="13">
        <v>400.0</v>
      </c>
      <c r="G193" s="15">
        <v>3660.0</v>
      </c>
      <c r="H193" s="15" t="s">
        <v>208</v>
      </c>
      <c r="I193" s="15" t="s">
        <v>82</v>
      </c>
      <c r="J193" s="15" t="s">
        <v>38</v>
      </c>
      <c r="K193" s="15" t="s">
        <v>43</v>
      </c>
      <c r="L193" s="15" t="s">
        <v>2749</v>
      </c>
      <c r="M193" s="15" t="s">
        <v>2764</v>
      </c>
      <c r="N193" s="15" t="s">
        <v>384</v>
      </c>
    </row>
    <row r="194" ht="56.25" customHeight="1">
      <c r="A194" s="13" t="s">
        <v>3651</v>
      </c>
      <c r="B194" s="15" t="str">
        <f>IMAGE("https://imgur.com/hFlxEfh.png")</f>
        <v/>
      </c>
      <c r="C194" s="15" t="s">
        <v>40</v>
      </c>
      <c r="D194" s="25" t="s">
        <v>50</v>
      </c>
      <c r="E194" s="24" t="s">
        <v>51</v>
      </c>
      <c r="F194" s="24">
        <v>1200.0</v>
      </c>
      <c r="G194" s="15"/>
      <c r="H194" s="15"/>
      <c r="I194" s="15"/>
      <c r="J194" s="15" t="s">
        <v>38</v>
      </c>
      <c r="K194" s="15" t="s">
        <v>54</v>
      </c>
      <c r="L194" s="15" t="s">
        <v>55</v>
      </c>
      <c r="M194" s="15"/>
      <c r="N194" s="15"/>
    </row>
    <row r="195" ht="56.25" customHeight="1">
      <c r="A195" s="13" t="s">
        <v>3652</v>
      </c>
      <c r="B195" s="15" t="str">
        <f>IMAGE("https://i.imgur.com/CWFP4nq.png")</f>
        <v/>
      </c>
      <c r="C195" s="17" t="str">
        <f>HYPERLINK("https://imgur.com/a/5C5egfE","Yes")</f>
        <v>Yes</v>
      </c>
      <c r="D195" s="15" t="s">
        <v>28</v>
      </c>
      <c r="E195" s="13">
        <v>1600.0</v>
      </c>
      <c r="F195" s="13">
        <v>400.0</v>
      </c>
      <c r="G195" s="15">
        <v>3387.0</v>
      </c>
      <c r="H195" s="15" t="s">
        <v>112</v>
      </c>
      <c r="I195" s="15" t="s">
        <v>112</v>
      </c>
      <c r="J195" s="15" t="s">
        <v>38</v>
      </c>
      <c r="K195" s="15" t="s">
        <v>43</v>
      </c>
      <c r="L195" s="15" t="s">
        <v>2749</v>
      </c>
      <c r="M195" s="15" t="s">
        <v>2764</v>
      </c>
      <c r="N195" s="15" t="s">
        <v>2744</v>
      </c>
    </row>
    <row r="196" ht="56.25" customHeight="1">
      <c r="A196" s="13" t="s">
        <v>3653</v>
      </c>
      <c r="B196" s="15" t="str">
        <f>IMAGE("https://i.imgur.com/sBg53IC.png")</f>
        <v/>
      </c>
      <c r="C196" s="17" t="str">
        <f>HYPERLINK("https://imgur.com/a/T15phj2","Yes")</f>
        <v>Yes</v>
      </c>
      <c r="D196" s="15" t="s">
        <v>28</v>
      </c>
      <c r="E196" s="13">
        <v>1600.0</v>
      </c>
      <c r="F196" s="13">
        <v>400.0</v>
      </c>
      <c r="G196" s="15">
        <v>3261.0</v>
      </c>
      <c r="H196" s="15" t="s">
        <v>94</v>
      </c>
      <c r="I196" s="15" t="s">
        <v>94</v>
      </c>
      <c r="J196" s="15" t="s">
        <v>38</v>
      </c>
      <c r="K196" s="15" t="s">
        <v>43</v>
      </c>
      <c r="L196" s="15" t="s">
        <v>2749</v>
      </c>
      <c r="M196" s="15" t="s">
        <v>2764</v>
      </c>
      <c r="N196" s="15" t="s">
        <v>2793</v>
      </c>
    </row>
    <row r="197" ht="56.25" customHeight="1">
      <c r="A197" s="13" t="s">
        <v>3655</v>
      </c>
      <c r="B197" s="15" t="str">
        <f>IMAGE("https://i.imgur.com/jdW2DxJ.png")</f>
        <v/>
      </c>
      <c r="C197" s="15" t="s">
        <v>40</v>
      </c>
      <c r="D197" s="15" t="s">
        <v>28</v>
      </c>
      <c r="E197" s="13">
        <v>5000.0</v>
      </c>
      <c r="F197" s="13">
        <v>1250.0</v>
      </c>
      <c r="G197" s="15">
        <v>3636.0</v>
      </c>
      <c r="H197" s="15" t="s">
        <v>82</v>
      </c>
      <c r="I197" s="15" t="s">
        <v>208</v>
      </c>
      <c r="J197" s="15" t="s">
        <v>38</v>
      </c>
      <c r="K197" s="15" t="s">
        <v>43</v>
      </c>
      <c r="L197" s="15" t="s">
        <v>2749</v>
      </c>
      <c r="M197" s="15" t="s">
        <v>2751</v>
      </c>
      <c r="N197" s="15" t="s">
        <v>2756</v>
      </c>
    </row>
    <row r="198" ht="56.25" customHeight="1">
      <c r="A198" s="13" t="s">
        <v>3656</v>
      </c>
      <c r="B198" s="15" t="str">
        <f>IMAGE("https://i.imgur.com/TCkAtOM.png")</f>
        <v/>
      </c>
      <c r="C198" s="17" t="str">
        <f>HYPERLINK("https://imgur.com/a/EtxDl4l","Yes")</f>
        <v>Yes</v>
      </c>
      <c r="D198" s="15" t="s">
        <v>28</v>
      </c>
      <c r="E198" s="13">
        <v>2500.0</v>
      </c>
      <c r="F198" s="13">
        <v>625.0</v>
      </c>
      <c r="G198" s="15">
        <v>4171.0</v>
      </c>
      <c r="H198" s="15" t="s">
        <v>369</v>
      </c>
      <c r="I198" s="15" t="s">
        <v>118</v>
      </c>
      <c r="J198" s="15" t="s">
        <v>38</v>
      </c>
      <c r="K198" s="15" t="s">
        <v>43</v>
      </c>
      <c r="L198" s="15" t="s">
        <v>2749</v>
      </c>
      <c r="M198" s="15" t="s">
        <v>2751</v>
      </c>
      <c r="N198" s="15" t="s">
        <v>384</v>
      </c>
    </row>
    <row r="199" ht="56.25" customHeight="1">
      <c r="A199" s="13" t="s">
        <v>3658</v>
      </c>
      <c r="B199" s="15" t="str">
        <f>IMAGE("https://i.imgur.com/avznqwg.png")</f>
        <v/>
      </c>
      <c r="C199" s="17" t="str">
        <f>HYPERLINK("https://imgur.com/a/6cSCl5e","Yes")</f>
        <v>Yes</v>
      </c>
      <c r="D199" s="15" t="s">
        <v>28</v>
      </c>
      <c r="E199" s="13">
        <v>2800.0</v>
      </c>
      <c r="F199" s="13">
        <v>700.0</v>
      </c>
      <c r="G199" s="15">
        <v>4449.0</v>
      </c>
      <c r="H199" s="15" t="s">
        <v>82</v>
      </c>
      <c r="I199" s="15" t="s">
        <v>208</v>
      </c>
      <c r="J199" s="15" t="s">
        <v>38</v>
      </c>
      <c r="K199" s="15" t="s">
        <v>43</v>
      </c>
      <c r="L199" s="15" t="s">
        <v>2749</v>
      </c>
      <c r="M199" s="15" t="s">
        <v>2751</v>
      </c>
      <c r="N199" s="15" t="s">
        <v>852</v>
      </c>
    </row>
    <row r="200" ht="56.25" customHeight="1">
      <c r="A200" s="13" t="s">
        <v>3659</v>
      </c>
      <c r="B200" s="15" t="str">
        <f>IMAGE("https://i.imgur.com/dmu8vo3.png")</f>
        <v/>
      </c>
      <c r="C200" s="17" t="str">
        <f>HYPERLINK("https://imgur.com/a/wttOxXx","Yes")</f>
        <v>Yes</v>
      </c>
      <c r="D200" s="15" t="s">
        <v>28</v>
      </c>
      <c r="E200" s="13">
        <v>2240.0</v>
      </c>
      <c r="F200" s="13">
        <v>560.0</v>
      </c>
      <c r="G200" s="15">
        <v>5825.0</v>
      </c>
      <c r="H200" s="15" t="s">
        <v>118</v>
      </c>
      <c r="I200" s="15" t="s">
        <v>208</v>
      </c>
      <c r="J200" s="15" t="s">
        <v>38</v>
      </c>
      <c r="K200" s="15" t="s">
        <v>43</v>
      </c>
      <c r="L200" s="15" t="s">
        <v>2749</v>
      </c>
      <c r="M200" s="15" t="s">
        <v>2751</v>
      </c>
      <c r="N200" s="15" t="s">
        <v>2756</v>
      </c>
    </row>
    <row r="201" ht="56.25" customHeight="1">
      <c r="A201" s="13" t="s">
        <v>3662</v>
      </c>
      <c r="B201" s="15" t="str">
        <f>IMAGE("https://i.imgur.com/XgfIyKg.png")</f>
        <v/>
      </c>
      <c r="C201" s="17" t="str">
        <f>HYPERLINK("https://imgur.com/a/9uo0O0t","Yes")</f>
        <v>Yes</v>
      </c>
      <c r="D201" s="15" t="s">
        <v>28</v>
      </c>
      <c r="E201" s="13">
        <v>1600.0</v>
      </c>
      <c r="F201" s="13">
        <v>400.0</v>
      </c>
      <c r="G201" s="15">
        <v>5799.0</v>
      </c>
      <c r="H201" s="15" t="s">
        <v>369</v>
      </c>
      <c r="I201" s="15" t="s">
        <v>521</v>
      </c>
      <c r="J201" s="15" t="s">
        <v>38</v>
      </c>
      <c r="K201" s="15" t="s">
        <v>43</v>
      </c>
      <c r="L201" s="15" t="s">
        <v>2749</v>
      </c>
      <c r="M201" s="15" t="s">
        <v>2751</v>
      </c>
      <c r="N201" s="15" t="s">
        <v>2793</v>
      </c>
    </row>
    <row r="202" ht="56.25" customHeight="1">
      <c r="A202" s="13" t="s">
        <v>3663</v>
      </c>
      <c r="B202" s="15" t="str">
        <f>IMAGE("https://imgur.com/pooq7ZP.png")</f>
        <v/>
      </c>
      <c r="C202" s="15" t="s">
        <v>40</v>
      </c>
      <c r="D202" s="25" t="s">
        <v>50</v>
      </c>
      <c r="E202" s="24" t="s">
        <v>51</v>
      </c>
      <c r="F202" s="24">
        <v>1200.0</v>
      </c>
      <c r="G202" s="15"/>
      <c r="H202" s="15"/>
      <c r="I202" s="15"/>
      <c r="J202" s="15" t="s">
        <v>38</v>
      </c>
      <c r="K202" s="15" t="s">
        <v>54</v>
      </c>
      <c r="L202" s="15" t="s">
        <v>55</v>
      </c>
      <c r="M202" s="15"/>
      <c r="N202" s="15"/>
    </row>
    <row r="203" ht="56.25" customHeight="1">
      <c r="A203" s="13" t="s">
        <v>3665</v>
      </c>
      <c r="B203" s="15" t="str">
        <f>IMAGE("https://i.imgur.com/WUb0cMr.png")</f>
        <v/>
      </c>
      <c r="C203" s="15" t="s">
        <v>40</v>
      </c>
      <c r="D203" s="15" t="s">
        <v>28</v>
      </c>
      <c r="E203" s="13">
        <v>1800.0</v>
      </c>
      <c r="F203" s="13">
        <v>450.0</v>
      </c>
      <c r="G203" s="15">
        <v>3286.0</v>
      </c>
      <c r="H203" s="15" t="s">
        <v>107</v>
      </c>
      <c r="I203" s="15" t="s">
        <v>369</v>
      </c>
      <c r="J203" s="15" t="s">
        <v>38</v>
      </c>
      <c r="K203" s="15" t="s">
        <v>43</v>
      </c>
      <c r="L203" s="15" t="s">
        <v>2749</v>
      </c>
      <c r="M203" s="15" t="s">
        <v>2764</v>
      </c>
      <c r="N203" s="15" t="s">
        <v>384</v>
      </c>
    </row>
    <row r="204" ht="56.25" customHeight="1">
      <c r="A204" s="13" t="s">
        <v>3666</v>
      </c>
      <c r="B204" s="15" t="str">
        <f>IMAGE("https://i.imgur.com/AFB5hD0.png")</f>
        <v/>
      </c>
      <c r="C204" s="17" t="str">
        <f>HYPERLINK("https://imgur.com/a/OutrVgP","Yes")</f>
        <v>Yes</v>
      </c>
      <c r="D204" s="15" t="s">
        <v>28</v>
      </c>
      <c r="E204" s="13">
        <v>1600.0</v>
      </c>
      <c r="F204" s="13">
        <v>400.0</v>
      </c>
      <c r="G204" s="15">
        <v>4262.0</v>
      </c>
      <c r="H204" s="15" t="s">
        <v>99</v>
      </c>
      <c r="I204" s="15" t="s">
        <v>82</v>
      </c>
      <c r="J204" s="15" t="s">
        <v>38</v>
      </c>
      <c r="K204" s="15" t="s">
        <v>43</v>
      </c>
      <c r="L204" s="15" t="s">
        <v>2749</v>
      </c>
      <c r="M204" s="15" t="s">
        <v>2764</v>
      </c>
      <c r="N204" s="15" t="s">
        <v>2744</v>
      </c>
    </row>
    <row r="205" ht="56.25" customHeight="1">
      <c r="A205" s="13" t="s">
        <v>3667</v>
      </c>
      <c r="B205" s="15" t="str">
        <f>IMAGE("https://i.imgur.com/isZWaN4.png")</f>
        <v/>
      </c>
      <c r="C205" s="17" t="str">
        <f>HYPERLINK("https://imgur.com/a/QOWU7HN","Yes")</f>
        <v>Yes</v>
      </c>
      <c r="D205" s="15" t="s">
        <v>28</v>
      </c>
      <c r="E205" s="13">
        <v>1500.0</v>
      </c>
      <c r="F205" s="13">
        <v>375.0</v>
      </c>
      <c r="G205" s="15">
        <v>4290.0</v>
      </c>
      <c r="H205" s="15" t="s">
        <v>107</v>
      </c>
      <c r="I205" s="15" t="s">
        <v>82</v>
      </c>
      <c r="J205" s="15" t="s">
        <v>38</v>
      </c>
      <c r="K205" s="15" t="s">
        <v>43</v>
      </c>
      <c r="L205" s="15" t="s">
        <v>2749</v>
      </c>
      <c r="M205" s="15" t="s">
        <v>2764</v>
      </c>
      <c r="N205" s="15" t="s">
        <v>2863</v>
      </c>
    </row>
    <row r="206" ht="56.25" customHeight="1">
      <c r="A206" s="13" t="s">
        <v>3669</v>
      </c>
      <c r="B206" s="15" t="str">
        <f>IMAGE("https://i.imgur.com/HSz2YrZ.png")</f>
        <v/>
      </c>
      <c r="C206" s="17" t="str">
        <f>HYPERLINK("https://imgur.com/a/8LyCpcR","Yes")</f>
        <v>Yes</v>
      </c>
      <c r="D206" s="15" t="s">
        <v>28</v>
      </c>
      <c r="E206" s="13">
        <v>1400.0</v>
      </c>
      <c r="F206" s="13">
        <v>350.0</v>
      </c>
      <c r="G206" s="15">
        <v>4729.0</v>
      </c>
      <c r="H206" s="15" t="s">
        <v>208</v>
      </c>
      <c r="I206" s="15" t="s">
        <v>1614</v>
      </c>
      <c r="J206" s="15" t="s">
        <v>38</v>
      </c>
      <c r="K206" s="15" t="s">
        <v>43</v>
      </c>
      <c r="L206" s="15" t="s">
        <v>2749</v>
      </c>
      <c r="M206" s="15" t="s">
        <v>2764</v>
      </c>
      <c r="N206" s="15" t="s">
        <v>2863</v>
      </c>
    </row>
    <row r="207" ht="56.25" customHeight="1">
      <c r="A207" s="13" t="s">
        <v>3671</v>
      </c>
      <c r="B207" s="15" t="str">
        <f>IMAGE("https://i.imgur.com/dF4Hntz.png")</f>
        <v/>
      </c>
      <c r="C207" s="17" t="str">
        <f>HYPERLINK("https://imgur.com/a/vTOhu6y","Yes")</f>
        <v>Yes</v>
      </c>
      <c r="D207" s="15" t="s">
        <v>28</v>
      </c>
      <c r="E207" s="13">
        <v>2100.0</v>
      </c>
      <c r="F207" s="13">
        <v>525.0</v>
      </c>
      <c r="G207" s="15">
        <v>5350.0</v>
      </c>
      <c r="H207" s="15" t="s">
        <v>99</v>
      </c>
      <c r="I207" s="15" t="s">
        <v>82</v>
      </c>
      <c r="J207" s="15" t="s">
        <v>38</v>
      </c>
      <c r="K207" s="15" t="s">
        <v>43</v>
      </c>
      <c r="L207" s="15" t="s">
        <v>2749</v>
      </c>
      <c r="M207" s="15" t="s">
        <v>2764</v>
      </c>
      <c r="N207" s="15" t="s">
        <v>2863</v>
      </c>
    </row>
    <row r="208" ht="56.25" customHeight="1">
      <c r="A208" s="13" t="s">
        <v>3672</v>
      </c>
      <c r="B208" s="15" t="str">
        <f>IMAGE("https://i.imgur.com/GIcqMKs.png")</f>
        <v/>
      </c>
      <c r="C208" s="17" t="str">
        <f>HYPERLINK("https://imgur.com/a/NBdXizF","Yes")</f>
        <v>Yes</v>
      </c>
      <c r="D208" s="15" t="s">
        <v>28</v>
      </c>
      <c r="E208" s="13">
        <v>2520.0</v>
      </c>
      <c r="F208" s="13">
        <v>630.0</v>
      </c>
      <c r="G208" s="15">
        <v>3613.0</v>
      </c>
      <c r="H208" s="15" t="s">
        <v>99</v>
      </c>
      <c r="I208" s="15" t="s">
        <v>211</v>
      </c>
      <c r="J208" s="15" t="s">
        <v>38</v>
      </c>
      <c r="K208" s="15" t="s">
        <v>43</v>
      </c>
      <c r="L208" s="15" t="s">
        <v>2749</v>
      </c>
      <c r="M208" s="15" t="s">
        <v>2751</v>
      </c>
      <c r="N208" s="15" t="s">
        <v>2793</v>
      </c>
    </row>
    <row r="209" ht="56.25" customHeight="1">
      <c r="A209" s="13" t="s">
        <v>3673</v>
      </c>
      <c r="B209" s="15" t="str">
        <f>IMAGE("https://i.imgur.com/RfX89fH.png")</f>
        <v/>
      </c>
      <c r="C209" s="17" t="str">
        <f>HYPERLINK("https://imgur.com/a/ZUvJDPU","Yes")</f>
        <v>Yes</v>
      </c>
      <c r="D209" s="15" t="s">
        <v>28</v>
      </c>
      <c r="E209" s="13">
        <v>1800.0</v>
      </c>
      <c r="F209" s="13">
        <v>450.0</v>
      </c>
      <c r="G209" s="15">
        <v>5653.0</v>
      </c>
      <c r="H209" s="15" t="s">
        <v>99</v>
      </c>
      <c r="I209" s="15" t="s">
        <v>99</v>
      </c>
      <c r="J209" s="15" t="s">
        <v>38</v>
      </c>
      <c r="K209" s="15" t="s">
        <v>43</v>
      </c>
      <c r="L209" s="15" t="s">
        <v>2749</v>
      </c>
      <c r="M209" s="15" t="s">
        <v>2751</v>
      </c>
      <c r="N209" s="15" t="s">
        <v>2756</v>
      </c>
    </row>
    <row r="210" ht="56.25" customHeight="1">
      <c r="A210" s="13" t="s">
        <v>3674</v>
      </c>
      <c r="B210" s="15" t="str">
        <f>IMAGE("https://i.imgur.com/YWReV0y.png")</f>
        <v/>
      </c>
      <c r="C210" s="17" t="str">
        <f>HYPERLINK("https://imgur.com/a/EuQIe3A","Yes")</f>
        <v>Yes</v>
      </c>
      <c r="D210" s="15" t="s">
        <v>28</v>
      </c>
      <c r="E210" s="13">
        <v>1500.0</v>
      </c>
      <c r="F210" s="13">
        <v>375.0</v>
      </c>
      <c r="G210" s="15">
        <v>4432.0</v>
      </c>
      <c r="H210" s="15" t="s">
        <v>82</v>
      </c>
      <c r="I210" s="15" t="s">
        <v>211</v>
      </c>
      <c r="J210" s="15" t="s">
        <v>38</v>
      </c>
      <c r="K210" s="15" t="s">
        <v>43</v>
      </c>
      <c r="L210" s="15" t="s">
        <v>2749</v>
      </c>
      <c r="M210" s="15" t="s">
        <v>2764</v>
      </c>
      <c r="N210" s="15" t="s">
        <v>384</v>
      </c>
    </row>
    <row r="211" ht="56.25" customHeight="1">
      <c r="A211" s="13" t="s">
        <v>3676</v>
      </c>
      <c r="B211" s="15" t="str">
        <f>IMAGE("https://i.imgur.com/yy56RiW.png")</f>
        <v/>
      </c>
      <c r="C211" s="17" t="str">
        <f>HYPERLINK("https://imgur.com/a/VEzP1hp","Yes")</f>
        <v>Yes</v>
      </c>
      <c r="D211" s="15" t="s">
        <v>28</v>
      </c>
      <c r="E211" s="13">
        <v>3640.0</v>
      </c>
      <c r="F211" s="13">
        <v>910.0</v>
      </c>
      <c r="G211" s="15">
        <v>4475.0</v>
      </c>
      <c r="H211" s="15" t="s">
        <v>112</v>
      </c>
      <c r="I211" s="15" t="s">
        <v>208</v>
      </c>
      <c r="J211" s="15" t="s">
        <v>38</v>
      </c>
      <c r="K211" s="15" t="s">
        <v>43</v>
      </c>
      <c r="L211" s="15" t="s">
        <v>2749</v>
      </c>
      <c r="M211" s="15" t="s">
        <v>2751</v>
      </c>
      <c r="N211" s="15" t="s">
        <v>2793</v>
      </c>
    </row>
    <row r="212" ht="56.25" customHeight="1">
      <c r="A212" s="13" t="s">
        <v>3677</v>
      </c>
      <c r="B212" s="15" t="str">
        <f>IMAGE("https://i.imgur.com/Lcll1kz.png")</f>
        <v/>
      </c>
      <c r="C212" s="17" t="str">
        <f>HYPERLINK("https://imgur.com/a/yvKy0Qg","Yes")</f>
        <v>Yes</v>
      </c>
      <c r="D212" s="15" t="s">
        <v>28</v>
      </c>
      <c r="E212" s="13">
        <v>1900.0</v>
      </c>
      <c r="F212" s="13">
        <v>475.0</v>
      </c>
      <c r="G212" s="15">
        <v>3707.0</v>
      </c>
      <c r="H212" s="15" t="s">
        <v>112</v>
      </c>
      <c r="I212" s="15" t="s">
        <v>1608</v>
      </c>
      <c r="J212" s="15" t="s">
        <v>38</v>
      </c>
      <c r="K212" s="15" t="s">
        <v>43</v>
      </c>
      <c r="L212" s="15" t="s">
        <v>2749</v>
      </c>
      <c r="M212" s="15" t="s">
        <v>2764</v>
      </c>
      <c r="N212" s="15" t="s">
        <v>2863</v>
      </c>
    </row>
    <row r="213" ht="56.25" customHeight="1">
      <c r="A213" s="13" t="s">
        <v>3679</v>
      </c>
      <c r="B213" s="15" t="str">
        <f>IMAGE("https://i.imgur.com/rvyMd0i.png")</f>
        <v/>
      </c>
      <c r="C213" s="17" t="str">
        <f>HYPERLINK("https://imgur.com/a/t2A44K6","Yes")</f>
        <v>Yes</v>
      </c>
      <c r="D213" s="15" t="s">
        <v>28</v>
      </c>
      <c r="E213" s="13">
        <v>1470.0</v>
      </c>
      <c r="F213" s="13">
        <v>367.0</v>
      </c>
      <c r="G213" s="15">
        <v>3234.0</v>
      </c>
      <c r="H213" s="15" t="s">
        <v>369</v>
      </c>
      <c r="I213" s="15" t="s">
        <v>369</v>
      </c>
      <c r="J213" s="15" t="s">
        <v>38</v>
      </c>
      <c r="K213" s="15" t="s">
        <v>43</v>
      </c>
      <c r="L213" s="15" t="s">
        <v>2749</v>
      </c>
      <c r="M213" s="15" t="s">
        <v>2764</v>
      </c>
      <c r="N213" s="15" t="s">
        <v>2744</v>
      </c>
    </row>
    <row r="214" ht="56.25" customHeight="1">
      <c r="A214" s="13" t="s">
        <v>3681</v>
      </c>
      <c r="B214" s="15" t="str">
        <f>IMAGE("https://i.imgur.com/ZW0gWlO.png")</f>
        <v/>
      </c>
      <c r="C214" s="17" t="str">
        <f>HYPERLINK("https://imgur.com/a/k5tQ5kg","Yes")</f>
        <v>Yes</v>
      </c>
      <c r="D214" s="15" t="s">
        <v>28</v>
      </c>
      <c r="E214" s="13">
        <v>2700.0</v>
      </c>
      <c r="F214" s="13">
        <v>675.0</v>
      </c>
      <c r="G214" s="15">
        <v>4686.0</v>
      </c>
      <c r="H214" s="15" t="s">
        <v>82</v>
      </c>
      <c r="I214" s="15" t="s">
        <v>82</v>
      </c>
      <c r="J214" s="15" t="s">
        <v>38</v>
      </c>
      <c r="K214" s="15" t="s">
        <v>43</v>
      </c>
      <c r="L214" s="15" t="s">
        <v>2749</v>
      </c>
      <c r="M214" s="15" t="s">
        <v>2751</v>
      </c>
      <c r="N214" s="15" t="s">
        <v>2744</v>
      </c>
    </row>
    <row r="215" ht="56.25" customHeight="1">
      <c r="A215" s="13" t="s">
        <v>3682</v>
      </c>
      <c r="B215" s="15" t="str">
        <f>IMAGE("https://i.imgur.com/VBvV3S0.png")</f>
        <v/>
      </c>
      <c r="C215" s="17" t="str">
        <f>HYPERLINK("https://imgur.com/a/rZo4STb","Yes")</f>
        <v>Yes</v>
      </c>
      <c r="D215" s="15" t="s">
        <v>28</v>
      </c>
      <c r="E215" s="13">
        <v>1600.0</v>
      </c>
      <c r="F215" s="13">
        <v>400.0</v>
      </c>
      <c r="G215" s="15">
        <v>3696.0</v>
      </c>
      <c r="H215" s="15" t="s">
        <v>112</v>
      </c>
      <c r="I215" s="15" t="s">
        <v>99</v>
      </c>
      <c r="J215" s="15" t="s">
        <v>38</v>
      </c>
      <c r="K215" s="15" t="s">
        <v>43</v>
      </c>
      <c r="L215" s="15" t="s">
        <v>2749</v>
      </c>
      <c r="M215" s="15" t="s">
        <v>2764</v>
      </c>
      <c r="N215" s="15" t="s">
        <v>2744</v>
      </c>
    </row>
    <row r="216" ht="56.25" customHeight="1">
      <c r="A216" s="13" t="s">
        <v>3684</v>
      </c>
      <c r="B216" s="15" t="str">
        <f>IMAGE("https://i.imgur.com/aVX2FXm.png")</f>
        <v/>
      </c>
      <c r="C216" s="17" t="str">
        <f>HYPERLINK("https://imgur.com/a/dT8XTHd","Yes")</f>
        <v>Yes</v>
      </c>
      <c r="D216" s="15" t="s">
        <v>28</v>
      </c>
      <c r="E216" s="13">
        <v>2600.0</v>
      </c>
      <c r="F216" s="13">
        <v>650.0</v>
      </c>
      <c r="G216" s="15">
        <v>5815.0</v>
      </c>
      <c r="H216" s="15" t="s">
        <v>208</v>
      </c>
      <c r="I216" s="15" t="s">
        <v>208</v>
      </c>
      <c r="J216" s="15" t="s">
        <v>38</v>
      </c>
      <c r="K216" s="15" t="s">
        <v>43</v>
      </c>
      <c r="L216" s="15" t="s">
        <v>2749</v>
      </c>
      <c r="M216" s="15" t="s">
        <v>2751</v>
      </c>
      <c r="N216" s="15" t="s">
        <v>852</v>
      </c>
    </row>
    <row r="217" ht="56.25" customHeight="1">
      <c r="A217" s="13" t="s">
        <v>3686</v>
      </c>
      <c r="B217" s="15" t="str">
        <f>IMAGE("https://i.imgur.com/vTRUoil.png")</f>
        <v/>
      </c>
      <c r="C217" s="17" t="str">
        <f>HYPERLINK("https://imgur.com/a/NK9pf83","Yes")</f>
        <v>Yes</v>
      </c>
      <c r="D217" s="15" t="s">
        <v>28</v>
      </c>
      <c r="E217" s="13">
        <v>1500.0</v>
      </c>
      <c r="F217" s="13">
        <v>375.0</v>
      </c>
      <c r="G217" s="15">
        <v>4559.0</v>
      </c>
      <c r="H217" s="15" t="s">
        <v>99</v>
      </c>
      <c r="I217" s="15" t="s">
        <v>82</v>
      </c>
      <c r="J217" s="15" t="s">
        <v>38</v>
      </c>
      <c r="K217" s="15" t="s">
        <v>43</v>
      </c>
      <c r="L217" s="15" t="s">
        <v>2749</v>
      </c>
      <c r="M217" s="15" t="s">
        <v>2764</v>
      </c>
      <c r="N217" s="15" t="s">
        <v>2744</v>
      </c>
    </row>
    <row r="218" ht="56.25" customHeight="1">
      <c r="A218" s="13" t="s">
        <v>3687</v>
      </c>
      <c r="B218" s="15" t="str">
        <f>IMAGE("https://i.imgur.com/qdnrkRr.png")</f>
        <v/>
      </c>
      <c r="C218" s="17" t="str">
        <f>HYPERLINK("https://imgur.com/a/qzwPhlr","Yes")</f>
        <v>Yes</v>
      </c>
      <c r="D218" s="15" t="s">
        <v>28</v>
      </c>
      <c r="E218" s="13">
        <v>1200.0</v>
      </c>
      <c r="F218" s="13">
        <v>300.0</v>
      </c>
      <c r="G218" s="15">
        <v>4467.0</v>
      </c>
      <c r="H218" s="15" t="s">
        <v>521</v>
      </c>
      <c r="I218" s="15" t="s">
        <v>99</v>
      </c>
      <c r="J218" s="15" t="s">
        <v>38</v>
      </c>
      <c r="K218" s="15" t="s">
        <v>43</v>
      </c>
      <c r="L218" s="15" t="s">
        <v>2749</v>
      </c>
      <c r="M218" s="15" t="s">
        <v>2764</v>
      </c>
      <c r="N218" s="15" t="s">
        <v>852</v>
      </c>
    </row>
    <row r="219" ht="56.25" customHeight="1">
      <c r="A219" s="13" t="s">
        <v>3689</v>
      </c>
      <c r="B219" s="15" t="str">
        <f>IMAGE("https://i.imgur.com/Ojv4KOt.png")</f>
        <v/>
      </c>
      <c r="C219" s="17" t="str">
        <f>HYPERLINK("https://imgur.com/a/qz1I7d9","Yes")</f>
        <v>Yes</v>
      </c>
      <c r="D219" s="15" t="s">
        <v>28</v>
      </c>
      <c r="E219" s="13">
        <v>1920.0</v>
      </c>
      <c r="F219" s="13">
        <v>480.0</v>
      </c>
      <c r="G219" s="15">
        <v>4471.0</v>
      </c>
      <c r="H219" s="15" t="s">
        <v>99</v>
      </c>
      <c r="I219" s="15" t="s">
        <v>99</v>
      </c>
      <c r="J219" s="15" t="s">
        <v>38</v>
      </c>
      <c r="K219" s="15" t="s">
        <v>43</v>
      </c>
      <c r="L219" s="15" t="s">
        <v>2749</v>
      </c>
      <c r="M219" s="15" t="s">
        <v>2751</v>
      </c>
      <c r="N219" s="15" t="s">
        <v>2756</v>
      </c>
    </row>
    <row r="220" ht="56.25" customHeight="1">
      <c r="A220" s="13" t="s">
        <v>3691</v>
      </c>
      <c r="B220" s="15" t="str">
        <f>IMAGE("https://i.imgur.com/z9iq41C.png")</f>
        <v/>
      </c>
      <c r="C220" s="17" t="str">
        <f>HYPERLINK("https://imgur.com/a/wID2roo","Yes")</f>
        <v>Yes</v>
      </c>
      <c r="D220" s="15" t="s">
        <v>28</v>
      </c>
      <c r="E220" s="13">
        <v>2520.0</v>
      </c>
      <c r="F220" s="13">
        <v>630.0</v>
      </c>
      <c r="G220" s="15">
        <v>3570.0</v>
      </c>
      <c r="H220" s="15" t="s">
        <v>208</v>
      </c>
      <c r="I220" s="15" t="s">
        <v>82</v>
      </c>
      <c r="J220" s="15" t="s">
        <v>38</v>
      </c>
      <c r="K220" s="15" t="s">
        <v>43</v>
      </c>
      <c r="L220" s="15" t="s">
        <v>2749</v>
      </c>
      <c r="M220" s="15" t="s">
        <v>2751</v>
      </c>
      <c r="N220" s="15" t="s">
        <v>2863</v>
      </c>
    </row>
    <row r="221" ht="56.25" customHeight="1">
      <c r="A221" s="13" t="s">
        <v>3692</v>
      </c>
      <c r="B221" s="15" t="str">
        <f>IMAGE("https://i.imgur.com/0oJuynd.png")</f>
        <v/>
      </c>
      <c r="C221" s="17" t="str">
        <f>HYPERLINK("https://imgur.com/a/cB7rYbB","Yes")</f>
        <v>Yes</v>
      </c>
      <c r="D221" s="15" t="s">
        <v>28</v>
      </c>
      <c r="E221" s="13">
        <v>1800.0</v>
      </c>
      <c r="F221" s="13">
        <v>450.0</v>
      </c>
      <c r="G221" s="15">
        <v>2687.0</v>
      </c>
      <c r="H221" s="15" t="s">
        <v>369</v>
      </c>
      <c r="I221" s="15" t="s">
        <v>211</v>
      </c>
      <c r="J221" s="15" t="s">
        <v>38</v>
      </c>
      <c r="K221" s="15" t="s">
        <v>43</v>
      </c>
      <c r="L221" s="15" t="s">
        <v>2749</v>
      </c>
      <c r="M221" s="15" t="s">
        <v>2764</v>
      </c>
      <c r="N221" s="15" t="s">
        <v>2793</v>
      </c>
    </row>
    <row r="222" ht="56.25" customHeight="1">
      <c r="A222" s="13" t="s">
        <v>3694</v>
      </c>
      <c r="B222" s="15" t="str">
        <f>IMAGE("https://i.imgur.com/UniaFHA.png")</f>
        <v/>
      </c>
      <c r="C222" s="15" t="s">
        <v>40</v>
      </c>
      <c r="D222" s="15" t="s">
        <v>28</v>
      </c>
      <c r="E222" s="13">
        <v>1920.0</v>
      </c>
      <c r="F222" s="13">
        <v>480.0</v>
      </c>
      <c r="G222" s="15">
        <v>5615.0</v>
      </c>
      <c r="H222" s="15" t="s">
        <v>208</v>
      </c>
      <c r="I222" s="15" t="s">
        <v>82</v>
      </c>
      <c r="J222" s="15" t="s">
        <v>38</v>
      </c>
      <c r="K222" s="15" t="s">
        <v>43</v>
      </c>
      <c r="L222" s="15" t="s">
        <v>2749</v>
      </c>
      <c r="M222" s="15" t="s">
        <v>2751</v>
      </c>
      <c r="N222" s="15" t="s">
        <v>384</v>
      </c>
    </row>
    <row r="223" ht="56.25" customHeight="1">
      <c r="A223" s="13" t="s">
        <v>3696</v>
      </c>
      <c r="B223" s="15" t="str">
        <f>IMAGE("https://i.imgur.com/TA8cHkk.png")</f>
        <v/>
      </c>
      <c r="C223" s="17" t="str">
        <f>HYPERLINK("https://imgur.com/a/692pGBp","Yes")</f>
        <v>Yes</v>
      </c>
      <c r="D223" s="15" t="s">
        <v>28</v>
      </c>
      <c r="E223" s="13">
        <v>1600.0</v>
      </c>
      <c r="F223" s="13">
        <v>400.0</v>
      </c>
      <c r="G223" s="15">
        <v>2677.0</v>
      </c>
      <c r="H223" s="15" t="s">
        <v>211</v>
      </c>
      <c r="I223" s="15" t="s">
        <v>369</v>
      </c>
      <c r="J223" s="15" t="s">
        <v>38</v>
      </c>
      <c r="K223" s="15" t="s">
        <v>43</v>
      </c>
      <c r="L223" s="15" t="s">
        <v>2749</v>
      </c>
      <c r="M223" s="15" t="s">
        <v>2764</v>
      </c>
      <c r="N223" s="15" t="s">
        <v>384</v>
      </c>
    </row>
    <row r="224" ht="56.25" customHeight="1">
      <c r="A224" s="13" t="s">
        <v>3697</v>
      </c>
      <c r="B224" s="15" t="str">
        <f>IMAGE("https://i.imgur.com/T8uprF3.png")</f>
        <v/>
      </c>
      <c r="C224" s="17" t="str">
        <f>HYPERLINK("https://imgur.com/a/pnawIl9","Yes")</f>
        <v>Yes</v>
      </c>
      <c r="D224" s="15" t="s">
        <v>28</v>
      </c>
      <c r="E224" s="13">
        <v>2520.0</v>
      </c>
      <c r="F224" s="13">
        <v>630.0</v>
      </c>
      <c r="G224" s="15">
        <v>9834.0</v>
      </c>
      <c r="H224" s="15" t="s">
        <v>112</v>
      </c>
      <c r="I224" s="15" t="s">
        <v>99</v>
      </c>
      <c r="J224" s="15" t="s">
        <v>38</v>
      </c>
      <c r="K224" s="15" t="s">
        <v>43</v>
      </c>
      <c r="L224" s="15" t="s">
        <v>2749</v>
      </c>
      <c r="M224" s="15" t="s">
        <v>2751</v>
      </c>
      <c r="N224" s="15" t="s">
        <v>852</v>
      </c>
    </row>
    <row r="225" ht="56.25" customHeight="1">
      <c r="A225" s="13" t="s">
        <v>3698</v>
      </c>
      <c r="B225" s="15" t="str">
        <f>IMAGE("https://i.imgur.com/GfEtomy.png")</f>
        <v/>
      </c>
      <c r="C225" s="15" t="s">
        <v>40</v>
      </c>
      <c r="D225" s="15" t="s">
        <v>28</v>
      </c>
      <c r="E225" s="13">
        <v>2040.0</v>
      </c>
      <c r="F225" s="13">
        <v>510.0</v>
      </c>
      <c r="G225" s="15">
        <v>11179.0</v>
      </c>
      <c r="H225" s="15" t="s">
        <v>99</v>
      </c>
      <c r="I225" s="15" t="s">
        <v>99</v>
      </c>
      <c r="J225" s="15" t="s">
        <v>38</v>
      </c>
      <c r="K225" s="15" t="s">
        <v>43</v>
      </c>
      <c r="L225" s="15" t="s">
        <v>2749</v>
      </c>
      <c r="M225" s="15" t="s">
        <v>2751</v>
      </c>
      <c r="N225" s="15" t="s">
        <v>2756</v>
      </c>
    </row>
    <row r="226" ht="56.25" customHeight="1">
      <c r="A226" s="13" t="s">
        <v>3700</v>
      </c>
      <c r="B226" s="15" t="str">
        <f>IMAGE("https://i.imgur.com/YF0YuIe.png")</f>
        <v/>
      </c>
      <c r="C226" s="15" t="s">
        <v>40</v>
      </c>
      <c r="D226" s="15" t="s">
        <v>28</v>
      </c>
      <c r="E226" s="13">
        <v>2040.0</v>
      </c>
      <c r="F226" s="13">
        <v>510.0</v>
      </c>
      <c r="G226" s="15">
        <v>4563.0</v>
      </c>
      <c r="H226" s="15" t="s">
        <v>99</v>
      </c>
      <c r="I226" s="15" t="s">
        <v>99</v>
      </c>
      <c r="J226" s="15" t="s">
        <v>38</v>
      </c>
      <c r="K226" s="15" t="s">
        <v>43</v>
      </c>
      <c r="L226" s="15" t="s">
        <v>2749</v>
      </c>
      <c r="M226" s="15" t="s">
        <v>2751</v>
      </c>
      <c r="N226" s="15" t="s">
        <v>2756</v>
      </c>
    </row>
    <row r="227" ht="56.25" customHeight="1">
      <c r="A227" s="13" t="s">
        <v>3701</v>
      </c>
      <c r="B227" s="15" t="str">
        <f>IMAGE("https://imgur.com/zAVsjHt.png")</f>
        <v/>
      </c>
      <c r="C227" s="15" t="s">
        <v>40</v>
      </c>
      <c r="D227" s="25" t="s">
        <v>50</v>
      </c>
      <c r="E227" s="24" t="s">
        <v>51</v>
      </c>
      <c r="F227" s="24">
        <v>1200.0</v>
      </c>
      <c r="G227" s="15"/>
      <c r="H227" s="15"/>
      <c r="I227" s="15"/>
      <c r="J227" s="15" t="s">
        <v>38</v>
      </c>
      <c r="K227" s="15" t="s">
        <v>54</v>
      </c>
      <c r="L227" s="15" t="s">
        <v>55</v>
      </c>
      <c r="M227" s="15"/>
      <c r="N227" s="15"/>
    </row>
    <row r="228" ht="56.25" customHeight="1">
      <c r="A228" s="13" t="s">
        <v>3703</v>
      </c>
      <c r="B228" s="15" t="str">
        <f>IMAGE("https://i.imgur.com/GP6O8TW.png")</f>
        <v/>
      </c>
      <c r="C228" s="15" t="s">
        <v>40</v>
      </c>
      <c r="D228" s="15" t="s">
        <v>28</v>
      </c>
      <c r="E228" s="13">
        <v>1500.0</v>
      </c>
      <c r="F228" s="13">
        <v>375.0</v>
      </c>
      <c r="G228" s="15">
        <v>3287.0</v>
      </c>
      <c r="H228" s="15" t="s">
        <v>208</v>
      </c>
      <c r="I228" s="15" t="s">
        <v>369</v>
      </c>
      <c r="J228" s="15" t="s">
        <v>38</v>
      </c>
      <c r="K228" s="15" t="s">
        <v>43</v>
      </c>
      <c r="L228" s="15" t="s">
        <v>2749</v>
      </c>
      <c r="M228" s="15" t="s">
        <v>2764</v>
      </c>
      <c r="N228" s="15" t="s">
        <v>384</v>
      </c>
    </row>
    <row r="229" ht="56.25" customHeight="1">
      <c r="A229" s="13" t="s">
        <v>3704</v>
      </c>
      <c r="B229" s="15" t="str">
        <f>IMAGE("https://i.imgur.com/YtTtEhL.png")</f>
        <v/>
      </c>
      <c r="C229" s="17" t="str">
        <f>HYPERLINK("https://imgur.com/a/DoOOq6Q","Yes")</f>
        <v>Yes</v>
      </c>
      <c r="D229" s="15" t="s">
        <v>28</v>
      </c>
      <c r="E229" s="13">
        <v>4000.0</v>
      </c>
      <c r="F229" s="13">
        <v>1000.0</v>
      </c>
      <c r="G229" s="15">
        <v>4273.0</v>
      </c>
      <c r="H229" s="15" t="s">
        <v>112</v>
      </c>
      <c r="I229" s="15" t="s">
        <v>211</v>
      </c>
      <c r="J229" s="15" t="s">
        <v>38</v>
      </c>
      <c r="K229" s="15" t="s">
        <v>43</v>
      </c>
      <c r="L229" s="15" t="s">
        <v>2749</v>
      </c>
      <c r="M229" s="15" t="s">
        <v>2751</v>
      </c>
      <c r="N229" s="15" t="s">
        <v>852</v>
      </c>
    </row>
    <row r="230" ht="56.25" customHeight="1">
      <c r="A230" s="13" t="s">
        <v>3705</v>
      </c>
      <c r="B230" s="15" t="str">
        <f>IMAGE("https://i.imgur.com/7UnwW1l.png")</f>
        <v/>
      </c>
      <c r="C230" s="15" t="s">
        <v>40</v>
      </c>
      <c r="D230" s="25" t="s">
        <v>50</v>
      </c>
      <c r="E230" s="24" t="s">
        <v>51</v>
      </c>
      <c r="F230" s="24">
        <v>1200.0</v>
      </c>
      <c r="G230" s="15"/>
      <c r="H230" s="15"/>
      <c r="I230" s="15"/>
      <c r="J230" s="15" t="s">
        <v>38</v>
      </c>
      <c r="K230" s="15" t="s">
        <v>54</v>
      </c>
      <c r="L230" s="15" t="s">
        <v>55</v>
      </c>
      <c r="M230" s="15"/>
      <c r="N230" s="15"/>
    </row>
    <row r="231" ht="56.25" customHeight="1">
      <c r="A231" s="13" t="s">
        <v>3707</v>
      </c>
      <c r="B231" s="15" t="str">
        <f>IMAGE("https://i.imgur.com/kYJEQug.png")</f>
        <v/>
      </c>
      <c r="C231" s="17" t="str">
        <f>HYPERLINK("https://imgur.com/a/9eCs2Jd","Yes")</f>
        <v>Yes</v>
      </c>
      <c r="D231" s="15" t="s">
        <v>28</v>
      </c>
      <c r="E231" s="13">
        <v>1600.0</v>
      </c>
      <c r="F231" s="13">
        <v>400.0</v>
      </c>
      <c r="G231" s="15">
        <v>3610.0</v>
      </c>
      <c r="H231" s="15" t="s">
        <v>208</v>
      </c>
      <c r="I231" s="15" t="s">
        <v>1614</v>
      </c>
      <c r="J231" s="15" t="s">
        <v>38</v>
      </c>
      <c r="K231" s="15" t="s">
        <v>43</v>
      </c>
      <c r="L231" s="15" t="s">
        <v>2749</v>
      </c>
      <c r="M231" s="15" t="s">
        <v>2751</v>
      </c>
      <c r="N231" s="15" t="s">
        <v>2793</v>
      </c>
    </row>
    <row r="232" ht="56.25" customHeight="1">
      <c r="A232" s="13" t="s">
        <v>3708</v>
      </c>
      <c r="B232" s="15" t="str">
        <f>IMAGE("https://i.imgur.com/776yjDI.png")</f>
        <v/>
      </c>
      <c r="C232" s="17" t="str">
        <f>HYPERLINK("https://imgur.com/a/q7ESiEi","Yes")</f>
        <v>Yes</v>
      </c>
      <c r="D232" s="15" t="s">
        <v>28</v>
      </c>
      <c r="E232" s="13">
        <v>1540.0</v>
      </c>
      <c r="F232" s="13">
        <v>385.0</v>
      </c>
      <c r="G232" s="15">
        <v>5127.0</v>
      </c>
      <c r="H232" s="15" t="s">
        <v>208</v>
      </c>
      <c r="I232" s="15" t="s">
        <v>82</v>
      </c>
      <c r="J232" s="15" t="s">
        <v>38</v>
      </c>
      <c r="K232" s="15" t="s">
        <v>43</v>
      </c>
      <c r="L232" s="15" t="s">
        <v>2749</v>
      </c>
      <c r="M232" s="15" t="s">
        <v>2751</v>
      </c>
      <c r="N232" s="15" t="s">
        <v>2793</v>
      </c>
    </row>
    <row r="233" ht="56.25" customHeight="1">
      <c r="A233" s="13" t="s">
        <v>3709</v>
      </c>
      <c r="B233" s="15" t="str">
        <f>IMAGE("https://i.imgur.com/J6igklB.png")</f>
        <v/>
      </c>
      <c r="C233" s="17" t="str">
        <f>HYPERLINK("https://imgur.com/a/nNMmIwd","Yes")</f>
        <v>Yes</v>
      </c>
      <c r="D233" s="15" t="s">
        <v>28</v>
      </c>
      <c r="E233" s="13">
        <v>2760.0</v>
      </c>
      <c r="F233" s="13">
        <v>690.0</v>
      </c>
      <c r="G233" s="15">
        <v>3451.0</v>
      </c>
      <c r="H233" s="15" t="s">
        <v>107</v>
      </c>
      <c r="I233" s="15" t="s">
        <v>82</v>
      </c>
      <c r="J233" s="15" t="s">
        <v>38</v>
      </c>
      <c r="K233" s="15" t="s">
        <v>43</v>
      </c>
      <c r="L233" s="15" t="s">
        <v>2749</v>
      </c>
      <c r="M233" s="15" t="s">
        <v>2764</v>
      </c>
      <c r="N233" s="15" t="s">
        <v>2793</v>
      </c>
    </row>
    <row r="234" ht="56.25" customHeight="1">
      <c r="A234" s="13" t="s">
        <v>3710</v>
      </c>
      <c r="B234" s="15" t="str">
        <f>IMAGE("https://i.imgur.com/Pf1jdYg.png")</f>
        <v/>
      </c>
      <c r="C234" s="17" t="str">
        <f>HYPERLINK("https://imgur.com/a/FOlnd2v","Yes")</f>
        <v>Yes</v>
      </c>
      <c r="D234" s="15" t="s">
        <v>28</v>
      </c>
      <c r="E234" s="13">
        <v>2000.0</v>
      </c>
      <c r="F234" s="13">
        <v>500.0</v>
      </c>
      <c r="G234" s="15">
        <v>4616.0</v>
      </c>
      <c r="H234" s="15" t="s">
        <v>464</v>
      </c>
      <c r="I234" s="15" t="s">
        <v>112</v>
      </c>
      <c r="J234" s="15" t="s">
        <v>38</v>
      </c>
      <c r="K234" s="15" t="s">
        <v>43</v>
      </c>
      <c r="L234" s="15" t="s">
        <v>2749</v>
      </c>
      <c r="M234" s="15" t="s">
        <v>2764</v>
      </c>
      <c r="N234" s="15" t="s">
        <v>2863</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43"/>
    <col customWidth="1" min="2" max="2" width="10.86"/>
    <col customWidth="1" min="3" max="3" width="8.86"/>
    <col customWidth="1" min="4" max="4" width="4.29"/>
    <col customWidth="1" min="5" max="5" width="8.14"/>
    <col customWidth="1" min="6" max="6" width="8.57"/>
    <col customWidth="1" min="7" max="7" width="10.57"/>
    <col customWidth="1" min="8" max="8" width="5.14"/>
    <col customWidth="1" min="9" max="9" width="12.57"/>
    <col customWidth="1" min="10" max="10" width="15.29"/>
    <col customWidth="1" min="11" max="11" width="55.43"/>
    <col customWidth="1" min="12" max="12" width="9.14"/>
  </cols>
  <sheetData>
    <row r="1" ht="21.0" customHeight="1">
      <c r="A1" s="1" t="s">
        <v>0</v>
      </c>
      <c r="B1" s="3" t="s">
        <v>1</v>
      </c>
      <c r="C1" s="54" t="s">
        <v>3</v>
      </c>
      <c r="D1" s="55" t="s">
        <v>4</v>
      </c>
      <c r="E1" s="1" t="s">
        <v>6</v>
      </c>
      <c r="F1" s="1" t="s">
        <v>7</v>
      </c>
      <c r="G1" s="7" t="s">
        <v>8</v>
      </c>
      <c r="H1" s="7" t="s">
        <v>12</v>
      </c>
      <c r="I1" s="7" t="s">
        <v>18</v>
      </c>
      <c r="J1" s="7" t="s">
        <v>19</v>
      </c>
      <c r="K1" s="7" t="s">
        <v>20</v>
      </c>
      <c r="L1" s="7" t="s">
        <v>2739</v>
      </c>
    </row>
    <row r="2" ht="56.25" customHeight="1">
      <c r="A2" s="13" t="s">
        <v>3715</v>
      </c>
      <c r="B2" s="15" t="str">
        <f>image("https://imgur.com/dXqU65y.png")</f>
        <v/>
      </c>
      <c r="C2" s="33" t="str">
        <f>HYPERLINK("https://imgur.com/a/64jxPWU","Yes")</f>
        <v>Yes</v>
      </c>
      <c r="D2" s="25" t="s">
        <v>28</v>
      </c>
      <c r="E2" s="13">
        <v>880.0</v>
      </c>
      <c r="F2" s="13">
        <v>220.0</v>
      </c>
      <c r="G2" s="15">
        <v>5315.0</v>
      </c>
      <c r="H2" s="15" t="s">
        <v>38</v>
      </c>
      <c r="I2" s="15" t="s">
        <v>43</v>
      </c>
      <c r="J2" s="15" t="s">
        <v>2749</v>
      </c>
      <c r="K2" s="15" t="s">
        <v>2764</v>
      </c>
      <c r="L2" s="15" t="s">
        <v>384</v>
      </c>
    </row>
    <row r="3" ht="56.25" customHeight="1">
      <c r="A3" s="13" t="s">
        <v>3717</v>
      </c>
      <c r="B3" s="15" t="str">
        <f>image("https://imgur.com/WGlafV3.png")</f>
        <v/>
      </c>
      <c r="C3" s="33" t="str">
        <f>HYPERLINK("https://imgur.com/a/cAc4Lsv","Yes")</f>
        <v>Yes</v>
      </c>
      <c r="D3" s="25" t="s">
        <v>28</v>
      </c>
      <c r="E3" s="24" t="s">
        <v>51</v>
      </c>
      <c r="F3" s="13">
        <v>500.0</v>
      </c>
      <c r="G3" s="15">
        <v>5295.0</v>
      </c>
      <c r="H3" s="15" t="s">
        <v>38</v>
      </c>
      <c r="I3" s="15" t="s">
        <v>54</v>
      </c>
      <c r="J3" s="15" t="s">
        <v>574</v>
      </c>
      <c r="K3" s="15"/>
      <c r="L3" s="15" t="s">
        <v>2744</v>
      </c>
    </row>
    <row r="4" ht="56.25" customHeight="1">
      <c r="A4" s="13" t="s">
        <v>3718</v>
      </c>
      <c r="B4" s="15" t="str">
        <f>image("https://imgur.com/tVOHTjP.png")</f>
        <v/>
      </c>
      <c r="C4" s="15" t="s">
        <v>40</v>
      </c>
      <c r="D4" s="25" t="s">
        <v>28</v>
      </c>
      <c r="E4" s="24" t="s">
        <v>51</v>
      </c>
      <c r="F4" s="13">
        <v>800.0</v>
      </c>
      <c r="G4" s="15">
        <v>6048.0</v>
      </c>
      <c r="H4" s="15" t="s">
        <v>38</v>
      </c>
      <c r="I4" s="15" t="s">
        <v>54</v>
      </c>
      <c r="J4" s="15" t="s">
        <v>574</v>
      </c>
      <c r="K4" s="15"/>
      <c r="L4" s="15" t="s">
        <v>2863</v>
      </c>
    </row>
    <row r="5" ht="56.25" customHeight="1">
      <c r="A5" s="13" t="s">
        <v>3721</v>
      </c>
      <c r="B5" s="15" t="str">
        <f>image("https://imgur.com/OIgqdwK.png")</f>
        <v/>
      </c>
      <c r="C5" s="15" t="s">
        <v>40</v>
      </c>
      <c r="D5" s="25" t="s">
        <v>50</v>
      </c>
      <c r="E5" s="24" t="s">
        <v>51</v>
      </c>
      <c r="F5" s="13">
        <v>1000.0</v>
      </c>
      <c r="G5" s="15">
        <v>9871.0</v>
      </c>
      <c r="H5" s="15" t="s">
        <v>38</v>
      </c>
      <c r="I5" s="15" t="s">
        <v>54</v>
      </c>
      <c r="J5" s="15" t="s">
        <v>55</v>
      </c>
      <c r="K5" s="15"/>
      <c r="L5" s="15" t="s">
        <v>384</v>
      </c>
    </row>
    <row r="6" ht="56.25" customHeight="1">
      <c r="A6" s="13" t="s">
        <v>3722</v>
      </c>
      <c r="B6" s="15" t="str">
        <f>image("https://i.imgur.com/9NKFnx2.png")</f>
        <v/>
      </c>
      <c r="C6" s="33" t="str">
        <f>HYPERLINK("https://imgur.com/a/mFcnE9E","Yes")</f>
        <v>Yes</v>
      </c>
      <c r="D6" s="15"/>
      <c r="E6" s="13">
        <v>880.0</v>
      </c>
      <c r="F6" s="13">
        <v>220.0</v>
      </c>
      <c r="G6" s="15">
        <v>9864.0</v>
      </c>
      <c r="H6" s="15" t="s">
        <v>38</v>
      </c>
      <c r="I6" s="15" t="s">
        <v>43</v>
      </c>
      <c r="J6" s="15" t="s">
        <v>2749</v>
      </c>
      <c r="K6" s="15" t="s">
        <v>2764</v>
      </c>
      <c r="L6" s="15" t="s">
        <v>2744</v>
      </c>
    </row>
    <row r="7" ht="56.25" customHeight="1">
      <c r="A7" s="13" t="s">
        <v>3723</v>
      </c>
      <c r="B7" s="15" t="str">
        <f>image("https://i.imgur.com/UUaR5h5.png")</f>
        <v/>
      </c>
      <c r="C7" s="33" t="str">
        <f>HYPERLINK("https://imgur.com/a/ImVt3zK","Yes")</f>
        <v>Yes</v>
      </c>
      <c r="D7" s="15"/>
      <c r="E7" s="13">
        <v>560.0</v>
      </c>
      <c r="F7" s="13">
        <v>140.0</v>
      </c>
      <c r="G7" s="15">
        <v>5363.0</v>
      </c>
      <c r="H7" s="15" t="s">
        <v>38</v>
      </c>
      <c r="I7" s="15" t="s">
        <v>43</v>
      </c>
      <c r="J7" s="15" t="s">
        <v>2749</v>
      </c>
      <c r="K7" s="15" t="s">
        <v>2751</v>
      </c>
      <c r="L7" s="15" t="s">
        <v>384</v>
      </c>
    </row>
    <row r="8" ht="56.25" customHeight="1">
      <c r="A8" s="13" t="s">
        <v>3724</v>
      </c>
      <c r="B8" s="15" t="str">
        <f>image("https://i.imgur.com/znpsGSo.png")</f>
        <v/>
      </c>
      <c r="C8" s="33" t="str">
        <f>HYPERLINK("https://imgur.com/a/vGsXo0G","Yes")</f>
        <v>Yes</v>
      </c>
      <c r="D8" s="15"/>
      <c r="E8" s="13">
        <v>1120.0</v>
      </c>
      <c r="F8" s="13">
        <v>280.0</v>
      </c>
      <c r="G8" s="15">
        <v>5340.0</v>
      </c>
      <c r="H8" s="15" t="s">
        <v>38</v>
      </c>
      <c r="I8" s="15" t="s">
        <v>43</v>
      </c>
      <c r="J8" s="15" t="s">
        <v>2749</v>
      </c>
      <c r="K8" s="15" t="s">
        <v>2751</v>
      </c>
      <c r="L8" s="15" t="s">
        <v>2793</v>
      </c>
    </row>
    <row r="9" ht="56.25" customHeight="1">
      <c r="A9" s="13" t="s">
        <v>3726</v>
      </c>
      <c r="B9" s="15" t="str">
        <f>image("https://imgur.com/cBeHr2e.png")</f>
        <v/>
      </c>
      <c r="C9" s="15" t="s">
        <v>40</v>
      </c>
      <c r="D9" s="25" t="s">
        <v>50</v>
      </c>
      <c r="E9" s="24" t="s">
        <v>51</v>
      </c>
      <c r="F9" s="13">
        <v>200.0</v>
      </c>
      <c r="G9" s="15">
        <v>5143.0</v>
      </c>
      <c r="H9" s="15" t="s">
        <v>38</v>
      </c>
      <c r="I9" s="15" t="s">
        <v>54</v>
      </c>
      <c r="J9" s="15" t="s">
        <v>55</v>
      </c>
      <c r="K9" s="15"/>
      <c r="L9" s="15" t="s">
        <v>2744</v>
      </c>
    </row>
    <row r="10" ht="56.25" customHeight="1">
      <c r="A10" s="13" t="s">
        <v>3727</v>
      </c>
      <c r="B10" s="15" t="str">
        <f>image("https://imgur.com/JxXTk5s.png")</f>
        <v/>
      </c>
      <c r="C10" s="15" t="s">
        <v>40</v>
      </c>
      <c r="D10" s="25" t="s">
        <v>28</v>
      </c>
      <c r="E10" s="13">
        <v>490.0</v>
      </c>
      <c r="F10" s="13">
        <v>122.0</v>
      </c>
      <c r="G10" s="15">
        <v>9860.0</v>
      </c>
      <c r="H10" s="15" t="s">
        <v>38</v>
      </c>
      <c r="I10" s="15" t="s">
        <v>43</v>
      </c>
      <c r="J10" s="15" t="s">
        <v>2749</v>
      </c>
      <c r="K10" s="15" t="s">
        <v>2764</v>
      </c>
      <c r="L10" s="15" t="s">
        <v>2863</v>
      </c>
    </row>
    <row r="11" ht="56.25" customHeight="1">
      <c r="A11" s="13" t="s">
        <v>3729</v>
      </c>
      <c r="B11" s="15" t="str">
        <f>image("https://i.imgur.com/xSVb3Dw.png")</f>
        <v/>
      </c>
      <c r="C11" s="33" t="str">
        <f>HYPERLINK("https://imgur.com/a/13ckQRi","Yes")</f>
        <v>Yes</v>
      </c>
      <c r="D11" s="15" t="s">
        <v>28</v>
      </c>
      <c r="E11" s="13">
        <v>840.0</v>
      </c>
      <c r="F11" s="13">
        <v>210.0</v>
      </c>
      <c r="G11" s="15">
        <v>9763.0</v>
      </c>
      <c r="H11" s="15" t="s">
        <v>38</v>
      </c>
      <c r="I11" s="15" t="s">
        <v>43</v>
      </c>
      <c r="J11" s="15" t="s">
        <v>2749</v>
      </c>
      <c r="K11" s="15" t="s">
        <v>2764</v>
      </c>
      <c r="L11" s="15" t="s">
        <v>2793</v>
      </c>
    </row>
    <row r="12" ht="56.25" customHeight="1">
      <c r="A12" s="13" t="s">
        <v>3731</v>
      </c>
      <c r="B12" s="15" t="str">
        <f>image("https://i.imgur.com/p9r5KDG.png")</f>
        <v/>
      </c>
      <c r="C12" s="33" t="str">
        <f>HYPERLINK("https://imgur.com/a/dtBBZTV","Yes")</f>
        <v>Yes</v>
      </c>
      <c r="D12" s="15"/>
      <c r="E12" s="13">
        <v>1040.0</v>
      </c>
      <c r="F12" s="13">
        <v>260.0</v>
      </c>
      <c r="G12" s="15">
        <v>5366.0</v>
      </c>
      <c r="H12" s="15" t="s">
        <v>38</v>
      </c>
      <c r="I12" s="15" t="s">
        <v>43</v>
      </c>
      <c r="J12" s="15" t="s">
        <v>2749</v>
      </c>
      <c r="K12" s="15" t="s">
        <v>2751</v>
      </c>
      <c r="L12" s="15" t="s">
        <v>2793</v>
      </c>
    </row>
    <row r="13" ht="56.25" customHeight="1">
      <c r="A13" s="13" t="s">
        <v>3732</v>
      </c>
      <c r="B13" s="15" t="str">
        <f>image("https://i.imgur.com/ATvmlDk.png")</f>
        <v/>
      </c>
      <c r="C13" s="33" t="str">
        <f>HYPERLINK("https://imgur.com/a/VgPvDB6","Yes")</f>
        <v>Yes</v>
      </c>
      <c r="D13" s="15"/>
      <c r="E13" s="13">
        <v>1120.0</v>
      </c>
      <c r="F13" s="13">
        <v>280.0</v>
      </c>
      <c r="G13" s="15">
        <v>5330.0</v>
      </c>
      <c r="H13" s="15" t="s">
        <v>38</v>
      </c>
      <c r="I13" s="15" t="s">
        <v>43</v>
      </c>
      <c r="J13" s="15" t="s">
        <v>2749</v>
      </c>
      <c r="K13" s="15" t="s">
        <v>2751</v>
      </c>
      <c r="L13" s="15" t="s">
        <v>384</v>
      </c>
    </row>
    <row r="14" ht="56.25" customHeight="1">
      <c r="A14" s="13" t="s">
        <v>3733</v>
      </c>
      <c r="B14" s="15" t="str">
        <f>image("https://i.imgur.com/wUv9au5.png")</f>
        <v/>
      </c>
      <c r="C14" s="33" t="str">
        <f>HYPERLINK("https://imgur.com/a/cOV44Eo","Yes")</f>
        <v>Yes</v>
      </c>
      <c r="D14" s="25" t="s">
        <v>28</v>
      </c>
      <c r="E14" s="13">
        <v>880.0</v>
      </c>
      <c r="F14" s="13">
        <v>220.0</v>
      </c>
      <c r="G14" s="15">
        <v>5260.0</v>
      </c>
      <c r="H14" s="15" t="s">
        <v>38</v>
      </c>
      <c r="I14" s="15" t="s">
        <v>43</v>
      </c>
      <c r="J14" s="15" t="s">
        <v>2749</v>
      </c>
      <c r="K14" s="15" t="s">
        <v>2751</v>
      </c>
      <c r="L14" s="15" t="s">
        <v>2863</v>
      </c>
    </row>
    <row r="15" ht="56.25" customHeight="1">
      <c r="A15" s="13" t="s">
        <v>3734</v>
      </c>
      <c r="B15" s="15" t="str">
        <f>image("https://i.imgur.com/RxnvNYm.png")</f>
        <v/>
      </c>
      <c r="C15" s="33" t="str">
        <f>HYPERLINK("https://imgur.com/a/7Q4pdAz","Yes")</f>
        <v>Yes</v>
      </c>
      <c r="D15" s="15" t="s">
        <v>28</v>
      </c>
      <c r="E15" s="13">
        <v>1100.0</v>
      </c>
      <c r="F15" s="13">
        <v>275.0</v>
      </c>
      <c r="G15" s="15">
        <v>5282.0</v>
      </c>
      <c r="H15" s="15" t="s">
        <v>38</v>
      </c>
      <c r="I15" s="15" t="s">
        <v>43</v>
      </c>
      <c r="J15" s="15" t="s">
        <v>2749</v>
      </c>
      <c r="K15" s="15" t="s">
        <v>2751</v>
      </c>
      <c r="L15" s="15" t="s">
        <v>2793</v>
      </c>
    </row>
    <row r="16" ht="56.25" customHeight="1">
      <c r="A16" s="13" t="s">
        <v>3735</v>
      </c>
      <c r="B16" s="15" t="str">
        <f>image("https://i.imgur.com/tC41m54.png")</f>
        <v/>
      </c>
      <c r="C16" s="33" t="str">
        <f>HYPERLINK("https://imgur.com/a/PRT3wtg","Yes")</f>
        <v>Yes</v>
      </c>
      <c r="D16" s="15"/>
      <c r="E16" s="24" t="s">
        <v>51</v>
      </c>
      <c r="F16" s="13">
        <v>600.0</v>
      </c>
      <c r="G16" s="15">
        <v>4800.0</v>
      </c>
      <c r="H16" s="15" t="s">
        <v>38</v>
      </c>
      <c r="I16" s="15" t="s">
        <v>54</v>
      </c>
      <c r="J16" s="15" t="s">
        <v>220</v>
      </c>
      <c r="K16" s="15"/>
      <c r="L16" s="15" t="s">
        <v>852</v>
      </c>
    </row>
    <row r="17" ht="56.25" customHeight="1">
      <c r="A17" s="13" t="s">
        <v>3736</v>
      </c>
      <c r="B17" s="15" t="str">
        <f>image("https://imgur.com/tfEvPcP.png")</f>
        <v/>
      </c>
      <c r="C17" s="15" t="s">
        <v>40</v>
      </c>
      <c r="D17" s="25" t="s">
        <v>50</v>
      </c>
      <c r="E17" s="24" t="s">
        <v>51</v>
      </c>
      <c r="F17" s="13">
        <v>12000.0</v>
      </c>
      <c r="G17" s="15">
        <v>7377.0</v>
      </c>
      <c r="H17" s="15" t="s">
        <v>38</v>
      </c>
      <c r="I17" s="15" t="s">
        <v>54</v>
      </c>
      <c r="J17" s="15" t="s">
        <v>55</v>
      </c>
      <c r="K17" s="15"/>
      <c r="L17" s="15" t="s">
        <v>384</v>
      </c>
    </row>
    <row r="18" ht="56.25" customHeight="1">
      <c r="A18" s="13" t="s">
        <v>3738</v>
      </c>
      <c r="B18" s="15" t="str">
        <f>image("https://i.imgur.com/iW0WCbp.png")</f>
        <v/>
      </c>
      <c r="C18" s="33" t="str">
        <f>HYPERLINK("https://imgur.com/a/aZJRTs9","Yes")</f>
        <v>Yes</v>
      </c>
      <c r="D18" s="15"/>
      <c r="E18" s="13">
        <v>1100.0</v>
      </c>
      <c r="F18" s="13">
        <v>275.0</v>
      </c>
      <c r="G18" s="15">
        <v>5296.0</v>
      </c>
      <c r="H18" s="15" t="s">
        <v>38</v>
      </c>
      <c r="I18" s="15" t="s">
        <v>43</v>
      </c>
      <c r="J18" s="15" t="s">
        <v>2749</v>
      </c>
      <c r="K18" s="15" t="s">
        <v>2764</v>
      </c>
      <c r="L18" s="15" t="s">
        <v>2863</v>
      </c>
    </row>
    <row r="19" ht="56.25" customHeight="1">
      <c r="A19" s="13" t="s">
        <v>3740</v>
      </c>
      <c r="B19" s="15" t="str">
        <f>image("https://i.imgur.com/XsHOmIb.png")</f>
        <v/>
      </c>
      <c r="C19" s="33" t="str">
        <f>HYPERLINK("https://imgur.com/a/1jkH7n0","Yes")</f>
        <v>Yes</v>
      </c>
      <c r="D19" s="15"/>
      <c r="E19" s="13">
        <v>1440.0</v>
      </c>
      <c r="F19" s="13">
        <v>360.0</v>
      </c>
      <c r="G19" s="15">
        <v>5693.0</v>
      </c>
      <c r="H19" s="15" t="s">
        <v>38</v>
      </c>
      <c r="I19" s="15" t="s">
        <v>43</v>
      </c>
      <c r="J19" s="15" t="s">
        <v>2749</v>
      </c>
      <c r="K19" s="15" t="s">
        <v>2751</v>
      </c>
      <c r="L19" s="15" t="s">
        <v>384</v>
      </c>
    </row>
    <row r="20" ht="56.25" customHeight="1">
      <c r="A20" s="13" t="s">
        <v>3741</v>
      </c>
      <c r="B20" s="15" t="str">
        <f>image("https://imgur.com/eVxJtal.png")</f>
        <v/>
      </c>
      <c r="C20" s="15" t="s">
        <v>40</v>
      </c>
      <c r="D20" s="15" t="s">
        <v>50</v>
      </c>
      <c r="E20" s="24" t="s">
        <v>51</v>
      </c>
      <c r="F20" s="24">
        <v>2400.0</v>
      </c>
      <c r="G20" s="15"/>
      <c r="H20" s="15" t="s">
        <v>38</v>
      </c>
      <c r="I20" s="15" t="s">
        <v>54</v>
      </c>
      <c r="J20" s="15" t="s">
        <v>55</v>
      </c>
      <c r="K20" s="15"/>
      <c r="L20" s="15"/>
    </row>
    <row r="21" ht="56.25" customHeight="1">
      <c r="A21" s="13" t="s">
        <v>3742</v>
      </c>
      <c r="B21" s="15" t="str">
        <f>image("https://i.imgur.com/KfW2kt3.png")</f>
        <v/>
      </c>
      <c r="C21" s="33" t="str">
        <f>HYPERLINK("https://imgur.com/a/7Ug6gKl","Yes")</f>
        <v>Yes</v>
      </c>
      <c r="D21" s="15"/>
      <c r="E21" s="13">
        <v>1120.0</v>
      </c>
      <c r="F21" s="13">
        <v>280.0</v>
      </c>
      <c r="G21" s="15">
        <v>7209.0</v>
      </c>
      <c r="H21" s="15" t="s">
        <v>38</v>
      </c>
      <c r="I21" s="15" t="s">
        <v>43</v>
      </c>
      <c r="J21" s="15" t="s">
        <v>2749</v>
      </c>
      <c r="K21" s="15" t="s">
        <v>2751</v>
      </c>
      <c r="L21" s="15" t="s">
        <v>384</v>
      </c>
    </row>
    <row r="22" ht="56.25" customHeight="1">
      <c r="A22" s="13" t="s">
        <v>3743</v>
      </c>
      <c r="B22" s="15" t="str">
        <f>image("https://i.imgur.com/uqFX0FB.png")</f>
        <v/>
      </c>
      <c r="C22" s="33" t="str">
        <f>HYPERLINK("https://imgur.com/a/F1O97Zg","Yes")</f>
        <v>Yes</v>
      </c>
      <c r="D22" s="15"/>
      <c r="E22" s="13">
        <v>1120.0</v>
      </c>
      <c r="F22" s="13">
        <v>280.0</v>
      </c>
      <c r="G22" s="15">
        <v>5325.0</v>
      </c>
      <c r="H22" s="15" t="s">
        <v>38</v>
      </c>
      <c r="I22" s="15" t="s">
        <v>43</v>
      </c>
      <c r="J22" s="15" t="s">
        <v>2749</v>
      </c>
      <c r="K22" s="15" t="s">
        <v>2751</v>
      </c>
      <c r="L22" s="15" t="s">
        <v>384</v>
      </c>
    </row>
    <row r="23" ht="56.25" customHeight="1">
      <c r="A23" s="13" t="s">
        <v>3745</v>
      </c>
      <c r="B23" s="15" t="str">
        <f>image("https://imgur.com/Xn6V6AK.png")</f>
        <v/>
      </c>
      <c r="C23" s="15" t="s">
        <v>40</v>
      </c>
      <c r="D23" s="15"/>
      <c r="E23" s="13">
        <v>1680.0</v>
      </c>
      <c r="F23" s="13">
        <v>420.0</v>
      </c>
      <c r="G23" s="15">
        <v>5332.0</v>
      </c>
      <c r="H23" s="15" t="s">
        <v>38</v>
      </c>
      <c r="I23" s="15" t="s">
        <v>43</v>
      </c>
      <c r="J23" s="15" t="s">
        <v>2749</v>
      </c>
      <c r="K23" s="15" t="s">
        <v>2751</v>
      </c>
      <c r="L23" s="15" t="s">
        <v>2756</v>
      </c>
    </row>
    <row r="24" ht="56.25" customHeight="1">
      <c r="A24" s="13" t="s">
        <v>3746</v>
      </c>
      <c r="B24" s="15" t="str">
        <f>image("https://i.imgur.com/GLftUex.png")</f>
        <v/>
      </c>
      <c r="C24" s="33" t="str">
        <f>HYPERLINK("https://imgur.com/a/nC1Ysp9","Yes")</f>
        <v>Yes</v>
      </c>
      <c r="D24" s="15"/>
      <c r="E24" s="13">
        <v>980.0</v>
      </c>
      <c r="F24" s="13">
        <v>245.0</v>
      </c>
      <c r="G24" s="15">
        <v>5326.0</v>
      </c>
      <c r="H24" s="15" t="s">
        <v>38</v>
      </c>
      <c r="I24" s="15" t="s">
        <v>43</v>
      </c>
      <c r="J24" s="15" t="s">
        <v>2749</v>
      </c>
      <c r="K24" s="15" t="s">
        <v>2751</v>
      </c>
      <c r="L24" s="15" t="s">
        <v>384</v>
      </c>
    </row>
    <row r="25" ht="56.25" customHeight="1">
      <c r="A25" s="13" t="s">
        <v>3748</v>
      </c>
      <c r="B25" s="15" t="str">
        <f>image("https://i.imgur.com/co3PZcg.png")</f>
        <v/>
      </c>
      <c r="C25" s="33" t="str">
        <f>HYPERLINK("https://imgur.com/a/CCGlhpy","Yes")</f>
        <v>Yes</v>
      </c>
      <c r="D25" s="15"/>
      <c r="E25" s="13">
        <v>1560.0</v>
      </c>
      <c r="F25" s="13">
        <v>390.0</v>
      </c>
      <c r="G25" s="15">
        <v>6050.0</v>
      </c>
      <c r="H25" s="15" t="s">
        <v>38</v>
      </c>
      <c r="I25" s="15" t="s">
        <v>43</v>
      </c>
      <c r="J25" s="15" t="s">
        <v>2749</v>
      </c>
      <c r="K25" s="15" t="s">
        <v>2751</v>
      </c>
      <c r="L25" s="15" t="s">
        <v>2793</v>
      </c>
    </row>
    <row r="26" ht="56.25" customHeight="1">
      <c r="A26" s="13" t="s">
        <v>3749</v>
      </c>
      <c r="B26" s="15" t="str">
        <f>image("https://i.imgur.com/4FQ3Oeo.png")</f>
        <v/>
      </c>
      <c r="C26" s="33" t="str">
        <f>HYPERLINK("https://imgur.com/a/hB4h61L","Yes")</f>
        <v>Yes</v>
      </c>
      <c r="D26" s="15"/>
      <c r="E26" s="13">
        <v>1600.0</v>
      </c>
      <c r="F26" s="13">
        <v>400.0</v>
      </c>
      <c r="G26" s="15">
        <v>5663.0</v>
      </c>
      <c r="H26" s="15" t="s">
        <v>38</v>
      </c>
      <c r="I26" s="15" t="s">
        <v>43</v>
      </c>
      <c r="J26" s="15" t="s">
        <v>2749</v>
      </c>
      <c r="K26" s="15" t="s">
        <v>2751</v>
      </c>
      <c r="L26" s="15" t="s">
        <v>2863</v>
      </c>
    </row>
    <row r="27" ht="56.25" customHeight="1">
      <c r="A27" s="13" t="s">
        <v>3750</v>
      </c>
      <c r="B27" s="15" t="str">
        <f>image("https://imgur.com/m78Na0m.png")</f>
        <v/>
      </c>
      <c r="C27" s="15" t="s">
        <v>40</v>
      </c>
      <c r="D27" s="15"/>
      <c r="E27" s="13">
        <v>840.0</v>
      </c>
      <c r="F27" s="13">
        <v>210.0</v>
      </c>
      <c r="G27" s="15">
        <v>5140.0</v>
      </c>
      <c r="H27" s="15" t="s">
        <v>38</v>
      </c>
      <c r="I27" s="15" t="s">
        <v>43</v>
      </c>
      <c r="J27" s="15" t="s">
        <v>2749</v>
      </c>
      <c r="K27" s="15" t="s">
        <v>2751</v>
      </c>
      <c r="L27" s="15" t="s">
        <v>2744</v>
      </c>
    </row>
    <row r="28" ht="56.25" customHeight="1">
      <c r="A28" s="13" t="s">
        <v>3752</v>
      </c>
      <c r="B28" s="15" t="str">
        <f>image("https://imgur.com/WNIwLKs.png")</f>
        <v/>
      </c>
      <c r="C28" s="15" t="s">
        <v>40</v>
      </c>
      <c r="D28" s="25" t="s">
        <v>50</v>
      </c>
      <c r="E28" s="24" t="s">
        <v>51</v>
      </c>
      <c r="F28" s="13">
        <v>1000.0</v>
      </c>
      <c r="G28" s="15">
        <v>9873.0</v>
      </c>
      <c r="H28" s="15" t="s">
        <v>38</v>
      </c>
      <c r="I28" s="15" t="s">
        <v>54</v>
      </c>
      <c r="J28" s="15" t="s">
        <v>55</v>
      </c>
      <c r="K28" s="15"/>
      <c r="L28" s="15" t="s">
        <v>384</v>
      </c>
    </row>
    <row r="29" ht="56.25" customHeight="1">
      <c r="A29" s="13" t="s">
        <v>3754</v>
      </c>
      <c r="B29" s="15" t="str">
        <f>image("https://imgur.com/uqX9mng.png")</f>
        <v/>
      </c>
      <c r="C29" s="15" t="s">
        <v>40</v>
      </c>
      <c r="D29" s="25" t="s">
        <v>50</v>
      </c>
      <c r="E29" s="24" t="s">
        <v>51</v>
      </c>
      <c r="F29" s="13">
        <v>960.0</v>
      </c>
      <c r="G29" s="15">
        <v>5118.0</v>
      </c>
      <c r="H29" s="15" t="s">
        <v>38</v>
      </c>
      <c r="I29" s="15" t="s">
        <v>54</v>
      </c>
      <c r="J29" s="15" t="s">
        <v>55</v>
      </c>
      <c r="K29" s="15"/>
      <c r="L29" s="15" t="s">
        <v>384</v>
      </c>
    </row>
    <row r="30" ht="56.25" customHeight="1">
      <c r="A30" s="13" t="s">
        <v>3755</v>
      </c>
      <c r="B30" s="15" t="str">
        <f>image("https://imgur.com/6bpaGop.png")</f>
        <v/>
      </c>
      <c r="C30" s="15" t="s">
        <v>40</v>
      </c>
      <c r="D30" s="25" t="s">
        <v>50</v>
      </c>
      <c r="E30" s="24" t="s">
        <v>51</v>
      </c>
      <c r="F30" s="13">
        <v>2880.0</v>
      </c>
      <c r="G30" s="15">
        <v>5113.0</v>
      </c>
      <c r="H30" s="15" t="s">
        <v>38</v>
      </c>
      <c r="I30" s="15" t="s">
        <v>54</v>
      </c>
      <c r="J30" s="15" t="s">
        <v>55</v>
      </c>
      <c r="K30" s="15"/>
      <c r="L30" s="15" t="s">
        <v>384</v>
      </c>
    </row>
    <row r="31" ht="56.25" customHeight="1">
      <c r="A31" s="13" t="s">
        <v>3757</v>
      </c>
      <c r="B31" s="15" t="str">
        <f>image("https://imgur.com/mQAAXNp.png")</f>
        <v/>
      </c>
      <c r="C31" s="25" t="s">
        <v>40</v>
      </c>
      <c r="D31" s="25" t="s">
        <v>50</v>
      </c>
      <c r="E31" s="24" t="s">
        <v>51</v>
      </c>
      <c r="F31" s="13">
        <v>1440.0</v>
      </c>
      <c r="G31" s="15">
        <v>5103.0</v>
      </c>
      <c r="H31" s="15" t="s">
        <v>38</v>
      </c>
      <c r="I31" s="15" t="s">
        <v>54</v>
      </c>
      <c r="J31" s="15" t="s">
        <v>55</v>
      </c>
      <c r="K31" s="15"/>
      <c r="L31" s="15" t="s">
        <v>384</v>
      </c>
    </row>
    <row r="32" ht="56.25" customHeight="1">
      <c r="A32" s="13" t="s">
        <v>3758</v>
      </c>
      <c r="B32" s="15" t="str">
        <f>image("https://imgur.com/kuwsi3w.png")</f>
        <v/>
      </c>
      <c r="C32" s="15" t="s">
        <v>40</v>
      </c>
      <c r="D32" s="25" t="s">
        <v>28</v>
      </c>
      <c r="E32" s="24" t="s">
        <v>51</v>
      </c>
      <c r="F32" s="13">
        <v>1350.0</v>
      </c>
      <c r="G32" s="15">
        <v>6091.0</v>
      </c>
      <c r="H32" s="15" t="s">
        <v>38</v>
      </c>
      <c r="I32" s="15" t="s">
        <v>54</v>
      </c>
      <c r="J32" s="15" t="s">
        <v>574</v>
      </c>
      <c r="K32" s="15"/>
      <c r="L32" s="15" t="s">
        <v>852</v>
      </c>
    </row>
    <row r="33" ht="56.25" customHeight="1">
      <c r="A33" s="13" t="s">
        <v>3759</v>
      </c>
      <c r="B33" s="15" t="str">
        <f>image("https://i.imgur.com/3cpkbKy.png")</f>
        <v/>
      </c>
      <c r="C33" s="33" t="str">
        <f>HYPERLINK("https://imgur.com/a/Adw1LrH","Yes")</f>
        <v>Yes</v>
      </c>
      <c r="D33" s="15"/>
      <c r="E33" s="13">
        <v>880.0</v>
      </c>
      <c r="F33" s="13">
        <v>220.0</v>
      </c>
      <c r="G33" s="15">
        <v>5409.0</v>
      </c>
      <c r="H33" s="15" t="s">
        <v>38</v>
      </c>
      <c r="I33" s="15" t="s">
        <v>43</v>
      </c>
      <c r="J33" s="15" t="s">
        <v>2749</v>
      </c>
      <c r="K33" s="15" t="s">
        <v>2764</v>
      </c>
      <c r="L33" s="15" t="s">
        <v>384</v>
      </c>
    </row>
    <row r="34" ht="56.25" customHeight="1">
      <c r="A34" s="13" t="s">
        <v>3761</v>
      </c>
      <c r="B34" s="15" t="str">
        <f>image("https://i.imgur.com/0Or1BHM.png")</f>
        <v/>
      </c>
      <c r="C34" s="33" t="str">
        <f>HYPERLINK("https://imgur.com/a/qMP16Fx","Yes")</f>
        <v>Yes</v>
      </c>
      <c r="D34" s="15"/>
      <c r="E34" s="13">
        <v>1120.0</v>
      </c>
      <c r="F34" s="13">
        <v>280.0</v>
      </c>
      <c r="G34" s="15">
        <v>5316.0</v>
      </c>
      <c r="H34" s="15" t="s">
        <v>38</v>
      </c>
      <c r="I34" s="15" t="s">
        <v>43</v>
      </c>
      <c r="J34" s="15" t="s">
        <v>2749</v>
      </c>
      <c r="K34" s="15" t="s">
        <v>2751</v>
      </c>
      <c r="L34" s="15" t="s">
        <v>2793</v>
      </c>
    </row>
    <row r="35" ht="56.25" customHeight="1">
      <c r="A35" s="13" t="s">
        <v>3763</v>
      </c>
      <c r="B35" s="15" t="str">
        <f>image("https://imgur.com/UnkhCfm.png")</f>
        <v/>
      </c>
      <c r="C35" s="15" t="s">
        <v>40</v>
      </c>
      <c r="D35" s="15"/>
      <c r="E35" s="13">
        <v>1680.0</v>
      </c>
      <c r="F35" s="13">
        <v>420.0</v>
      </c>
      <c r="G35" s="15">
        <v>5696.0</v>
      </c>
      <c r="H35" s="15" t="s">
        <v>38</v>
      </c>
      <c r="I35" s="15" t="s">
        <v>43</v>
      </c>
      <c r="J35" s="15" t="s">
        <v>2749</v>
      </c>
      <c r="K35" s="15" t="s">
        <v>2751</v>
      </c>
      <c r="L35" s="15" t="s">
        <v>2863</v>
      </c>
    </row>
    <row r="36" ht="56.25" customHeight="1">
      <c r="A36" s="13" t="s">
        <v>3765</v>
      </c>
      <c r="B36" s="15" t="str">
        <f>image("https://imgur.com/VEI9P2M.png")</f>
        <v/>
      </c>
      <c r="C36" s="15" t="s">
        <v>40</v>
      </c>
      <c r="D36" s="25" t="s">
        <v>50</v>
      </c>
      <c r="E36" s="24" t="s">
        <v>51</v>
      </c>
      <c r="F36" s="13">
        <v>1280.0</v>
      </c>
      <c r="G36" s="15">
        <v>5097.0</v>
      </c>
      <c r="H36" s="15" t="s">
        <v>38</v>
      </c>
      <c r="I36" s="15" t="s">
        <v>54</v>
      </c>
      <c r="J36" s="15" t="s">
        <v>55</v>
      </c>
      <c r="K36" s="15"/>
      <c r="L36" s="15" t="s">
        <v>384</v>
      </c>
    </row>
    <row r="37" ht="56.25" customHeight="1">
      <c r="A37" s="13" t="s">
        <v>3766</v>
      </c>
      <c r="B37" s="15" t="str">
        <f>image("https://imgur.com/ESGgOpv.png")</f>
        <v/>
      </c>
      <c r="C37" s="15" t="s">
        <v>40</v>
      </c>
      <c r="D37" s="25" t="s">
        <v>50</v>
      </c>
      <c r="E37" s="24" t="s">
        <v>51</v>
      </c>
      <c r="F37" s="13">
        <v>960.0</v>
      </c>
      <c r="G37" s="15">
        <v>5106.0</v>
      </c>
      <c r="H37" s="15" t="s">
        <v>38</v>
      </c>
      <c r="I37" s="15" t="s">
        <v>54</v>
      </c>
      <c r="J37" s="15" t="s">
        <v>55</v>
      </c>
      <c r="K37" s="15"/>
      <c r="L37" s="15" t="s">
        <v>384</v>
      </c>
    </row>
    <row r="38" ht="56.25" customHeight="1">
      <c r="A38" s="13" t="s">
        <v>3768</v>
      </c>
      <c r="B38" s="15" t="str">
        <f>image("https://imgur.com/WdEWkuw.png")</f>
        <v/>
      </c>
      <c r="C38" s="15" t="s">
        <v>40</v>
      </c>
      <c r="D38" s="25" t="s">
        <v>50</v>
      </c>
      <c r="E38" s="24" t="s">
        <v>51</v>
      </c>
      <c r="F38" s="13">
        <v>960.0</v>
      </c>
      <c r="G38" s="15">
        <v>5100.0</v>
      </c>
      <c r="H38" s="15" t="s">
        <v>38</v>
      </c>
      <c r="I38" s="15" t="s">
        <v>54</v>
      </c>
      <c r="J38" s="15" t="s">
        <v>55</v>
      </c>
      <c r="K38" s="15"/>
      <c r="L38" s="15" t="s">
        <v>384</v>
      </c>
    </row>
    <row r="39" ht="56.25" customHeight="1">
      <c r="A39" s="13" t="s">
        <v>3769</v>
      </c>
      <c r="B39" s="15" t="str">
        <f>image("https://imgur.com/oCCHtP2.png")</f>
        <v/>
      </c>
      <c r="C39" s="15" t="s">
        <v>40</v>
      </c>
      <c r="D39" s="25" t="s">
        <v>50</v>
      </c>
      <c r="E39" s="24" t="s">
        <v>51</v>
      </c>
      <c r="F39" s="13">
        <v>480.0</v>
      </c>
      <c r="G39" s="15">
        <v>5108.0</v>
      </c>
      <c r="H39" s="15" t="s">
        <v>38</v>
      </c>
      <c r="I39" s="15" t="s">
        <v>54</v>
      </c>
      <c r="J39" s="15" t="s">
        <v>55</v>
      </c>
      <c r="K39" s="15"/>
      <c r="L39" s="15" t="s">
        <v>384</v>
      </c>
    </row>
    <row r="40" ht="56.25" customHeight="1">
      <c r="A40" s="13" t="s">
        <v>3770</v>
      </c>
      <c r="B40" s="15" t="str">
        <f>image("https://imgur.com/d7elHSi.png")</f>
        <v/>
      </c>
      <c r="C40" s="15" t="s">
        <v>40</v>
      </c>
      <c r="D40" s="15"/>
      <c r="E40" s="24">
        <v>1000000.0</v>
      </c>
      <c r="F40" s="62"/>
      <c r="G40" s="15">
        <v>8000.0</v>
      </c>
      <c r="H40" s="15" t="s">
        <v>38</v>
      </c>
      <c r="I40" s="15" t="s">
        <v>43</v>
      </c>
      <c r="J40" s="15" t="s">
        <v>2749</v>
      </c>
      <c r="K40" s="15" t="s">
        <v>2751</v>
      </c>
      <c r="L40" s="15" t="s">
        <v>852</v>
      </c>
    </row>
    <row r="41" ht="56.25" customHeight="1">
      <c r="A41" s="13" t="s">
        <v>3772</v>
      </c>
      <c r="B41" s="15" t="str">
        <f>image("https://imgur.com/Bfb6oyj.png")</f>
        <v/>
      </c>
      <c r="C41" s="25" t="s">
        <v>40</v>
      </c>
      <c r="D41" s="25" t="s">
        <v>50</v>
      </c>
      <c r="E41" s="24" t="s">
        <v>51</v>
      </c>
      <c r="F41" s="13">
        <v>800.0</v>
      </c>
      <c r="G41" s="15">
        <v>5115.0</v>
      </c>
      <c r="H41" s="15" t="s">
        <v>38</v>
      </c>
      <c r="I41" s="15" t="s">
        <v>54</v>
      </c>
      <c r="J41" s="15" t="s">
        <v>55</v>
      </c>
      <c r="K41" s="15"/>
      <c r="L41" s="15" t="s">
        <v>384</v>
      </c>
    </row>
    <row r="42" ht="56.25" customHeight="1">
      <c r="A42" s="13" t="s">
        <v>3773</v>
      </c>
      <c r="B42" s="15" t="str">
        <f>image("https://imgur.com/OtwxG1O.png")</f>
        <v/>
      </c>
      <c r="C42" s="15" t="s">
        <v>40</v>
      </c>
      <c r="D42" s="25" t="s">
        <v>50</v>
      </c>
      <c r="E42" s="24" t="s">
        <v>51</v>
      </c>
      <c r="F42" s="13">
        <v>960.0</v>
      </c>
      <c r="G42" s="15">
        <v>5112.0</v>
      </c>
      <c r="H42" s="15" t="s">
        <v>38</v>
      </c>
      <c r="I42" s="15" t="s">
        <v>54</v>
      </c>
      <c r="J42" s="15" t="s">
        <v>55</v>
      </c>
      <c r="K42" s="15"/>
      <c r="L42" s="15" t="s">
        <v>384</v>
      </c>
    </row>
    <row r="43" ht="56.25" customHeight="1">
      <c r="A43" s="13" t="s">
        <v>3774</v>
      </c>
      <c r="B43" s="15" t="str">
        <f>image("https://i.imgur.com/jkXZVjm.png")</f>
        <v/>
      </c>
      <c r="C43" s="33" t="str">
        <f>HYPERLINK("https://imgur.com/a/nUOOXu3","Yes")</f>
        <v>Yes</v>
      </c>
      <c r="D43" s="15"/>
      <c r="E43" s="13">
        <v>1100.0</v>
      </c>
      <c r="F43" s="13">
        <v>275.0</v>
      </c>
      <c r="G43" s="15">
        <v>5257.0</v>
      </c>
      <c r="H43" s="15" t="s">
        <v>38</v>
      </c>
      <c r="I43" s="15" t="s">
        <v>43</v>
      </c>
      <c r="J43" s="15" t="s">
        <v>2749</v>
      </c>
      <c r="K43" s="15" t="s">
        <v>2751</v>
      </c>
      <c r="L43" s="15" t="s">
        <v>2793</v>
      </c>
    </row>
    <row r="44" ht="56.25" customHeight="1">
      <c r="A44" s="13" t="s">
        <v>3776</v>
      </c>
      <c r="B44" s="15" t="str">
        <f>image("https://imgur.com/dw6SFjW.png")</f>
        <v/>
      </c>
      <c r="C44" s="15" t="s">
        <v>40</v>
      </c>
      <c r="D44" s="25" t="s">
        <v>28</v>
      </c>
      <c r="E44" s="24" t="s">
        <v>51</v>
      </c>
      <c r="F44" s="13">
        <v>1010.0</v>
      </c>
      <c r="G44" s="15">
        <v>12132.0</v>
      </c>
      <c r="H44" s="15" t="s">
        <v>38</v>
      </c>
      <c r="I44" s="15" t="s">
        <v>54</v>
      </c>
      <c r="J44" s="15" t="s">
        <v>563</v>
      </c>
      <c r="K44" s="15" t="s">
        <v>565</v>
      </c>
      <c r="L44" s="15" t="s">
        <v>2744</v>
      </c>
    </row>
    <row r="45" ht="56.25" customHeight="1">
      <c r="A45" s="13" t="s">
        <v>3778</v>
      </c>
      <c r="B45" s="15" t="str">
        <f>image("https://i.imgur.com/odtCwKL.png")</f>
        <v/>
      </c>
      <c r="C45" s="33" t="str">
        <f>HYPERLINK("https://imgur.com/a/bdVfyNI","Yes")</f>
        <v>Yes</v>
      </c>
      <c r="D45" s="15"/>
      <c r="E45" s="13">
        <v>1100.0</v>
      </c>
      <c r="F45" s="13">
        <v>275.0</v>
      </c>
      <c r="G45" s="15">
        <v>5333.0</v>
      </c>
      <c r="H45" s="15" t="s">
        <v>38</v>
      </c>
      <c r="I45" s="15" t="s">
        <v>43</v>
      </c>
      <c r="J45" s="15" t="s">
        <v>2749</v>
      </c>
      <c r="K45" s="15" t="s">
        <v>2764</v>
      </c>
      <c r="L45" s="15" t="s">
        <v>2863</v>
      </c>
    </row>
    <row r="46" ht="56.25" customHeight="1">
      <c r="A46" s="13" t="s">
        <v>3779</v>
      </c>
      <c r="B46" s="15" t="str">
        <f>image("https://imgur.com/UGbqpSh.png")</f>
        <v/>
      </c>
      <c r="C46" s="15" t="s">
        <v>40</v>
      </c>
      <c r="D46" s="25" t="s">
        <v>50</v>
      </c>
      <c r="E46" s="24" t="s">
        <v>51</v>
      </c>
      <c r="F46" s="13">
        <v>3360.0</v>
      </c>
      <c r="G46" s="15">
        <v>5110.0</v>
      </c>
      <c r="H46" s="15" t="s">
        <v>38</v>
      </c>
      <c r="I46" s="15" t="s">
        <v>54</v>
      </c>
      <c r="J46" s="15" t="s">
        <v>55</v>
      </c>
      <c r="K46" s="15"/>
      <c r="L46" s="15" t="s">
        <v>384</v>
      </c>
    </row>
    <row r="47" ht="56.25" customHeight="1">
      <c r="A47" s="13" t="s">
        <v>3780</v>
      </c>
      <c r="B47" s="15" t="str">
        <f>image("https://imgur.com/dZpBJ7r.png")</f>
        <v/>
      </c>
      <c r="C47" s="15" t="s">
        <v>40</v>
      </c>
      <c r="D47" s="25" t="s">
        <v>50</v>
      </c>
      <c r="E47" s="24" t="s">
        <v>51</v>
      </c>
      <c r="F47" s="13">
        <v>960.0</v>
      </c>
      <c r="G47" s="15">
        <v>5116.0</v>
      </c>
      <c r="H47" s="15" t="s">
        <v>38</v>
      </c>
      <c r="I47" s="15" t="s">
        <v>54</v>
      </c>
      <c r="J47" s="15" t="s">
        <v>55</v>
      </c>
      <c r="K47" s="15"/>
      <c r="L47" s="15" t="s">
        <v>384</v>
      </c>
    </row>
    <row r="48" ht="56.25" customHeight="1">
      <c r="A48" s="13" t="s">
        <v>3782</v>
      </c>
      <c r="B48" s="15" t="str">
        <f>image("https://imgur.com/uNKd9Jd.png")</f>
        <v/>
      </c>
      <c r="C48" s="15" t="s">
        <v>40</v>
      </c>
      <c r="D48" s="25" t="s">
        <v>50</v>
      </c>
      <c r="E48" s="24" t="s">
        <v>51</v>
      </c>
      <c r="F48" s="13">
        <v>800.0</v>
      </c>
      <c r="G48" s="15">
        <v>5104.0</v>
      </c>
      <c r="H48" s="15" t="s">
        <v>38</v>
      </c>
      <c r="I48" s="15" t="s">
        <v>54</v>
      </c>
      <c r="J48" s="15" t="s">
        <v>55</v>
      </c>
      <c r="K48" s="15"/>
      <c r="L48" s="15" t="s">
        <v>384</v>
      </c>
    </row>
    <row r="49" ht="56.25" customHeight="1">
      <c r="A49" s="13" t="s">
        <v>3783</v>
      </c>
      <c r="B49" s="15" t="str">
        <f>image("https://i.imgur.com/kVOVxQt.png")</f>
        <v/>
      </c>
      <c r="C49" s="33" t="str">
        <f>HYPERLINK("https://imgur.com/a/Vpgw7b3","Yes")</f>
        <v>Yes</v>
      </c>
      <c r="D49" s="15"/>
      <c r="E49" s="13">
        <v>770.0</v>
      </c>
      <c r="F49" s="13">
        <v>192.0</v>
      </c>
      <c r="G49" s="15">
        <v>5256.0</v>
      </c>
      <c r="H49" s="15" t="s">
        <v>38</v>
      </c>
      <c r="I49" s="15" t="s">
        <v>43</v>
      </c>
      <c r="J49" s="15" t="s">
        <v>2749</v>
      </c>
      <c r="K49" s="15" t="s">
        <v>2764</v>
      </c>
      <c r="L49" s="15" t="s">
        <v>2744</v>
      </c>
    </row>
    <row r="50" ht="56.25" customHeight="1">
      <c r="A50" s="13" t="s">
        <v>3785</v>
      </c>
      <c r="B50" s="15" t="str">
        <f>image("https://i.imgur.com/ARpihIh.png")</f>
        <v/>
      </c>
      <c r="C50" s="33" t="str">
        <f>HYPERLINK("https://imgur.com/a/T2EfKks","Yes")</f>
        <v>Yes</v>
      </c>
      <c r="D50" s="15"/>
      <c r="E50" s="13">
        <v>2100.0</v>
      </c>
      <c r="F50" s="13">
        <v>525.0</v>
      </c>
      <c r="G50" s="15">
        <v>5371.0</v>
      </c>
      <c r="H50" s="15" t="s">
        <v>38</v>
      </c>
      <c r="I50" s="15" t="s">
        <v>43</v>
      </c>
      <c r="J50" s="15" t="s">
        <v>2749</v>
      </c>
      <c r="K50" s="15" t="s">
        <v>2751</v>
      </c>
      <c r="L50" s="15" t="s">
        <v>2863</v>
      </c>
    </row>
    <row r="51" ht="56.25" customHeight="1">
      <c r="A51" s="13" t="s">
        <v>3786</v>
      </c>
      <c r="B51" s="15" t="str">
        <f>image("https://i.imgur.com/VNmeGVb.png")</f>
        <v/>
      </c>
      <c r="C51" s="33" t="str">
        <f>HYPERLINK("https://imgur.com/a/k30A3jt","Yes")</f>
        <v>Yes</v>
      </c>
      <c r="D51" s="15"/>
      <c r="E51" s="13">
        <v>770.0</v>
      </c>
      <c r="F51" s="13">
        <v>192.0</v>
      </c>
      <c r="G51" s="15">
        <v>5682.0</v>
      </c>
      <c r="H51" s="15" t="s">
        <v>38</v>
      </c>
      <c r="I51" s="15" t="s">
        <v>43</v>
      </c>
      <c r="J51" s="15" t="s">
        <v>2749</v>
      </c>
      <c r="K51" s="15" t="s">
        <v>2751</v>
      </c>
      <c r="L51" s="15" t="s">
        <v>2744</v>
      </c>
    </row>
    <row r="52" ht="56.25" customHeight="1">
      <c r="A52" s="13" t="s">
        <v>3788</v>
      </c>
      <c r="B52" s="15" t="str">
        <f>image("https://i.imgur.com/BAWbRSo.png")</f>
        <v/>
      </c>
      <c r="C52" s="33" t="str">
        <f>HYPERLINK("https://imgur.com/a/BeE0Gls","Yes")</f>
        <v>Yes</v>
      </c>
      <c r="D52" s="25" t="s">
        <v>28</v>
      </c>
      <c r="E52" s="13">
        <v>560.0</v>
      </c>
      <c r="F52" s="13">
        <v>140.0</v>
      </c>
      <c r="G52" s="15">
        <v>5145.0</v>
      </c>
      <c r="H52" s="15" t="s">
        <v>38</v>
      </c>
      <c r="I52" s="15" t="s">
        <v>43</v>
      </c>
      <c r="J52" s="15" t="s">
        <v>2749</v>
      </c>
      <c r="K52" s="15" t="s">
        <v>2764</v>
      </c>
      <c r="L52" s="15" t="s">
        <v>2744</v>
      </c>
    </row>
    <row r="53" ht="56.25" customHeight="1">
      <c r="A53" s="13" t="s">
        <v>3789</v>
      </c>
      <c r="B53" s="15" t="str">
        <f>image("https://i.imgur.com/JkRSVIZ.png")</f>
        <v/>
      </c>
      <c r="C53" s="33" t="str">
        <f>HYPERLINK("https://imgur.com/a/S2U8zj5","Yes")</f>
        <v>Yes</v>
      </c>
      <c r="D53" s="15"/>
      <c r="E53" s="13">
        <v>560.0</v>
      </c>
      <c r="F53" s="13">
        <v>140.0</v>
      </c>
      <c r="G53" s="15">
        <v>5298.0</v>
      </c>
      <c r="H53" s="15" t="s">
        <v>38</v>
      </c>
      <c r="I53" s="15" t="s">
        <v>43</v>
      </c>
      <c r="J53" s="15" t="s">
        <v>2749</v>
      </c>
      <c r="K53" s="15" t="s">
        <v>2751</v>
      </c>
      <c r="L53" s="15" t="s">
        <v>2744</v>
      </c>
    </row>
    <row r="54" ht="56.25" customHeight="1">
      <c r="A54" s="13" t="s">
        <v>3791</v>
      </c>
      <c r="B54" s="15" t="str">
        <f>image("https://imgur.com/EALeuC9.png")</f>
        <v/>
      </c>
      <c r="C54" s="15" t="s">
        <v>40</v>
      </c>
      <c r="D54" s="15" t="s">
        <v>50</v>
      </c>
      <c r="E54" s="24" t="s">
        <v>51</v>
      </c>
      <c r="F54" s="24">
        <v>800.0</v>
      </c>
      <c r="G54" s="15"/>
      <c r="H54" s="15" t="s">
        <v>38</v>
      </c>
      <c r="I54" s="15" t="s">
        <v>54</v>
      </c>
      <c r="J54" s="15" t="s">
        <v>55</v>
      </c>
      <c r="K54" s="15"/>
      <c r="L54" s="15"/>
    </row>
    <row r="55" ht="56.25" customHeight="1">
      <c r="A55" s="13" t="s">
        <v>3792</v>
      </c>
      <c r="B55" s="15" t="str">
        <f>image("https://imgur.com/0ZtaXrF.png")</f>
        <v/>
      </c>
      <c r="C55" s="15" t="s">
        <v>40</v>
      </c>
      <c r="D55" s="15" t="s">
        <v>50</v>
      </c>
      <c r="E55" s="24" t="s">
        <v>51</v>
      </c>
      <c r="F55" s="24">
        <v>4800.0</v>
      </c>
      <c r="G55" s="15"/>
      <c r="H55" s="15" t="s">
        <v>38</v>
      </c>
      <c r="I55" s="15" t="s">
        <v>54</v>
      </c>
      <c r="J55" s="15" t="s">
        <v>55</v>
      </c>
      <c r="K55" s="15"/>
      <c r="L55" s="15"/>
    </row>
    <row r="56" ht="56.25" customHeight="1">
      <c r="A56" s="13" t="s">
        <v>3793</v>
      </c>
      <c r="B56" s="15" t="str">
        <f>image("https://imgur.com/53qin4A.png")</f>
        <v/>
      </c>
      <c r="C56" s="15" t="s">
        <v>40</v>
      </c>
      <c r="D56" s="15"/>
      <c r="E56" s="13">
        <v>560.0</v>
      </c>
      <c r="F56" s="13">
        <v>140.0</v>
      </c>
      <c r="G56" s="15">
        <v>5642.0</v>
      </c>
      <c r="H56" s="15" t="s">
        <v>38</v>
      </c>
      <c r="I56" s="15" t="s">
        <v>43</v>
      </c>
      <c r="J56" s="15" t="s">
        <v>2749</v>
      </c>
      <c r="K56" s="15" t="s">
        <v>2751</v>
      </c>
      <c r="L56" s="15" t="s">
        <v>2744</v>
      </c>
    </row>
    <row r="57" ht="56.25" customHeight="1">
      <c r="A57" s="13" t="s">
        <v>3794</v>
      </c>
      <c r="B57" s="15" t="str">
        <f>image("https://imgur.com/5bJE1Eq.png")</f>
        <v/>
      </c>
      <c r="C57" s="15" t="s">
        <v>40</v>
      </c>
      <c r="D57" s="25" t="s">
        <v>28</v>
      </c>
      <c r="E57" s="24" t="s">
        <v>51</v>
      </c>
      <c r="F57" s="13">
        <v>1500.0</v>
      </c>
      <c r="G57" s="15">
        <v>6035.0</v>
      </c>
      <c r="H57" s="15" t="s">
        <v>38</v>
      </c>
      <c r="I57" s="15" t="s">
        <v>54</v>
      </c>
      <c r="J57" s="15" t="s">
        <v>574</v>
      </c>
      <c r="K57" s="15"/>
      <c r="L57" s="15" t="s">
        <v>2863</v>
      </c>
    </row>
    <row r="58" ht="56.25" customHeight="1">
      <c r="A58" s="13" t="s">
        <v>3795</v>
      </c>
      <c r="B58" s="15" t="str">
        <f>image("https://i.imgur.com/q2G0CWX.png")</f>
        <v/>
      </c>
      <c r="C58" s="33" t="str">
        <f>HYPERLINK("https://imgur.com/a/IaOuEte","Yes")</f>
        <v>Yes</v>
      </c>
      <c r="D58" s="15"/>
      <c r="E58" s="13">
        <v>2100.0</v>
      </c>
      <c r="F58" s="13">
        <v>525.0</v>
      </c>
      <c r="G58" s="15">
        <v>5351.0</v>
      </c>
      <c r="H58" s="15" t="s">
        <v>38</v>
      </c>
      <c r="I58" s="15" t="s">
        <v>43</v>
      </c>
      <c r="J58" s="15" t="s">
        <v>2749</v>
      </c>
      <c r="K58" s="15" t="s">
        <v>2751</v>
      </c>
      <c r="L58" s="15" t="s">
        <v>2863</v>
      </c>
    </row>
    <row r="59" ht="56.25" customHeight="1">
      <c r="A59" s="13" t="s">
        <v>3797</v>
      </c>
      <c r="B59" s="15" t="str">
        <f>image("https://i.imgur.com/1KyuOtw.png")</f>
        <v/>
      </c>
      <c r="C59" s="33" t="str">
        <f>HYPERLINK("https://imgur.com/a/E2rFFAM","Yes")</f>
        <v>Yes</v>
      </c>
      <c r="D59" s="15"/>
      <c r="E59" s="13">
        <v>1040.0</v>
      </c>
      <c r="F59" s="13">
        <v>260.0</v>
      </c>
      <c r="G59" s="15">
        <v>5136.0</v>
      </c>
      <c r="H59" s="15" t="s">
        <v>38</v>
      </c>
      <c r="I59" s="15" t="s">
        <v>43</v>
      </c>
      <c r="J59" s="15" t="s">
        <v>2749</v>
      </c>
      <c r="K59" s="15" t="s">
        <v>2764</v>
      </c>
      <c r="L59" s="15" t="s">
        <v>2793</v>
      </c>
    </row>
    <row r="60" ht="56.25" customHeight="1">
      <c r="A60" s="13" t="s">
        <v>3799</v>
      </c>
      <c r="B60" s="15" t="str">
        <f>image("https://i.imgur.com/4hCpVUs.png")</f>
        <v/>
      </c>
      <c r="C60" s="33" t="str">
        <f>HYPERLINK("https://imgur.com/a/9zNV5DX","Yes")</f>
        <v>Yes</v>
      </c>
      <c r="D60" s="15"/>
      <c r="E60" s="13">
        <v>1560.0</v>
      </c>
      <c r="F60" s="13">
        <v>390.0</v>
      </c>
      <c r="G60" s="15">
        <v>5323.0</v>
      </c>
      <c r="H60" s="15" t="s">
        <v>38</v>
      </c>
      <c r="I60" s="15" t="s">
        <v>43</v>
      </c>
      <c r="J60" s="15" t="s">
        <v>2749</v>
      </c>
      <c r="K60" s="15" t="s">
        <v>2751</v>
      </c>
      <c r="L60" s="15" t="s">
        <v>384</v>
      </c>
    </row>
    <row r="61" ht="56.25" customHeight="1">
      <c r="A61" s="13" t="s">
        <v>3800</v>
      </c>
      <c r="B61" s="15" t="str">
        <f>image("https://i.imgur.com/1O0BzfM.png")</f>
        <v/>
      </c>
      <c r="C61" s="33" t="str">
        <f>HYPERLINK("https://imgur.com/a/uftEyhd","Yes")</f>
        <v>Yes</v>
      </c>
      <c r="D61" s="15"/>
      <c r="E61" s="13">
        <v>1300.0</v>
      </c>
      <c r="F61" s="13">
        <v>325.0</v>
      </c>
      <c r="G61" s="15">
        <v>5144.0</v>
      </c>
      <c r="H61" s="15" t="s">
        <v>38</v>
      </c>
      <c r="I61" s="15" t="s">
        <v>43</v>
      </c>
      <c r="J61" s="15" t="s">
        <v>2749</v>
      </c>
      <c r="K61" s="15" t="s">
        <v>2751</v>
      </c>
      <c r="L61" s="15" t="s">
        <v>2863</v>
      </c>
    </row>
    <row r="62" ht="56.25" customHeight="1">
      <c r="A62" s="13" t="s">
        <v>3803</v>
      </c>
      <c r="B62" s="15" t="str">
        <f>image("https://i.imgur.com/O7aod7k.png")</f>
        <v/>
      </c>
      <c r="C62" s="33" t="str">
        <f>HYPERLINK("https://imgur.com/a/r6n5s81","Yes")</f>
        <v>Yes</v>
      </c>
      <c r="D62" s="25" t="s">
        <v>28</v>
      </c>
      <c r="E62" s="13">
        <v>1100.0</v>
      </c>
      <c r="F62" s="13">
        <v>275.0</v>
      </c>
      <c r="G62" s="15">
        <v>5301.0</v>
      </c>
      <c r="H62" s="15" t="s">
        <v>38</v>
      </c>
      <c r="I62" s="15" t="s">
        <v>43</v>
      </c>
      <c r="J62" s="15" t="s">
        <v>2749</v>
      </c>
      <c r="K62" s="15" t="s">
        <v>2764</v>
      </c>
      <c r="L62" s="15" t="s">
        <v>2756</v>
      </c>
    </row>
    <row r="63" ht="56.25" customHeight="1">
      <c r="A63" s="13" t="s">
        <v>3806</v>
      </c>
      <c r="B63" s="15" t="str">
        <f>image("https://i.imgur.com/tSkPApD.png")</f>
        <v/>
      </c>
      <c r="C63" s="33" t="str">
        <f>HYPERLINK("https://imgur.com/a/Ay5rx2c","Yes")</f>
        <v>Yes</v>
      </c>
      <c r="D63" s="25" t="s">
        <v>28</v>
      </c>
      <c r="E63" s="13">
        <v>1680.0</v>
      </c>
      <c r="F63" s="13">
        <v>420.0</v>
      </c>
      <c r="G63" s="15">
        <v>5374.0</v>
      </c>
      <c r="H63" s="15" t="s">
        <v>38</v>
      </c>
      <c r="I63" s="15" t="s">
        <v>43</v>
      </c>
      <c r="J63" s="15" t="s">
        <v>2749</v>
      </c>
      <c r="K63" s="15" t="s">
        <v>2751</v>
      </c>
      <c r="L63" s="15" t="s">
        <v>2793</v>
      </c>
    </row>
    <row r="64" ht="56.25" customHeight="1">
      <c r="A64" s="13" t="s">
        <v>3807</v>
      </c>
      <c r="B64" s="15" t="str">
        <f>image("https://i.imgur.com/H7gabpy.png")</f>
        <v/>
      </c>
      <c r="C64" s="33" t="str">
        <f>HYPERLINK("https://imgur.com/a/sHsQop6","Yes")</f>
        <v>Yes</v>
      </c>
      <c r="D64" s="15"/>
      <c r="E64" s="13">
        <v>2340.0</v>
      </c>
      <c r="F64" s="13">
        <v>585.0</v>
      </c>
      <c r="G64" s="15">
        <v>8611.0</v>
      </c>
      <c r="H64" s="15" t="s">
        <v>38</v>
      </c>
      <c r="I64" s="15" t="s">
        <v>43</v>
      </c>
      <c r="J64" s="15" t="s">
        <v>2749</v>
      </c>
      <c r="K64" s="15" t="s">
        <v>2751</v>
      </c>
      <c r="L64" s="15" t="s">
        <v>852</v>
      </c>
    </row>
    <row r="65" ht="56.25" customHeight="1">
      <c r="A65" s="13" t="s">
        <v>3808</v>
      </c>
      <c r="B65" s="15" t="str">
        <f>image("https://i.imgur.com/oEGobGI.png")</f>
        <v/>
      </c>
      <c r="C65" s="33" t="str">
        <f>HYPERLINK("https://imgur.com/a/pYXEIgp","Yes")</f>
        <v>Yes</v>
      </c>
      <c r="D65" s="15"/>
      <c r="E65" s="13">
        <v>490.0</v>
      </c>
      <c r="F65" s="13">
        <v>122.0</v>
      </c>
      <c r="G65" s="15">
        <v>9854.0</v>
      </c>
      <c r="H65" s="15" t="s">
        <v>38</v>
      </c>
      <c r="I65" s="15" t="s">
        <v>43</v>
      </c>
      <c r="J65" s="15" t="s">
        <v>2749</v>
      </c>
      <c r="K65" s="15" t="s">
        <v>2764</v>
      </c>
      <c r="L65" s="15" t="s">
        <v>384</v>
      </c>
    </row>
    <row r="66" ht="56.25" customHeight="1">
      <c r="A66" s="13" t="s">
        <v>3810</v>
      </c>
      <c r="B66" s="15" t="str">
        <f>image("https://i.imgur.com/bXMf3tN.png")</f>
        <v/>
      </c>
      <c r="C66" s="33" t="str">
        <f>HYPERLINK("https://imgur.com/a/Sh0Ogsg","Yes")</f>
        <v>Yes</v>
      </c>
      <c r="D66" s="15"/>
      <c r="E66" s="13">
        <v>1440.0</v>
      </c>
      <c r="F66" s="13">
        <v>360.0</v>
      </c>
      <c r="G66" s="15">
        <v>5373.0</v>
      </c>
      <c r="H66" s="15" t="s">
        <v>38</v>
      </c>
      <c r="I66" s="15" t="s">
        <v>43</v>
      </c>
      <c r="J66" s="15" t="s">
        <v>2749</v>
      </c>
      <c r="K66" s="15" t="s">
        <v>2751</v>
      </c>
      <c r="L66" s="15" t="s">
        <v>2793</v>
      </c>
    </row>
    <row r="67" ht="56.25" customHeight="1">
      <c r="A67" s="13" t="s">
        <v>3812</v>
      </c>
      <c r="B67" s="15" t="str">
        <f>image("https://i.imgur.com/P4zGKL6.png")</f>
        <v/>
      </c>
      <c r="C67" s="33" t="str">
        <f>HYPERLINK("https://imgur.com/a/jdIeHTj","Yes")</f>
        <v>Yes</v>
      </c>
      <c r="D67" s="15"/>
      <c r="E67" s="13">
        <v>1400.0</v>
      </c>
      <c r="F67" s="13">
        <v>350.0</v>
      </c>
      <c r="G67" s="15">
        <v>6034.0</v>
      </c>
      <c r="H67" s="15" t="s">
        <v>38</v>
      </c>
      <c r="I67" s="15" t="s">
        <v>43</v>
      </c>
      <c r="J67" s="15" t="s">
        <v>2749</v>
      </c>
      <c r="K67" s="15" t="s">
        <v>2751</v>
      </c>
      <c r="L67" s="15" t="s">
        <v>2756</v>
      </c>
    </row>
    <row r="68" ht="56.25" customHeight="1">
      <c r="A68" s="13" t="s">
        <v>3813</v>
      </c>
      <c r="B68" s="15" t="str">
        <f>image("https://i.imgur.com/85BQ1rT.png")</f>
        <v/>
      </c>
      <c r="C68" s="33" t="str">
        <f>HYPERLINK("https://imgur.com/a/8f2cxp5","Yes")</f>
        <v>Yes</v>
      </c>
      <c r="D68" s="15"/>
      <c r="E68" s="13">
        <v>1120.0</v>
      </c>
      <c r="F68" s="13">
        <v>280.0</v>
      </c>
      <c r="G68" s="15">
        <v>5335.0</v>
      </c>
      <c r="H68" s="15" t="s">
        <v>38</v>
      </c>
      <c r="I68" s="15" t="s">
        <v>43</v>
      </c>
      <c r="J68" s="15" t="s">
        <v>2749</v>
      </c>
      <c r="K68" s="15" t="s">
        <v>2751</v>
      </c>
      <c r="L68" s="15" t="s">
        <v>384</v>
      </c>
    </row>
    <row r="69" ht="56.25" customHeight="1">
      <c r="A69" s="13" t="s">
        <v>3814</v>
      </c>
      <c r="B69" s="15" t="str">
        <f>image("https://i.imgur.com/hfNijne.png")</f>
        <v/>
      </c>
      <c r="C69" s="33" t="str">
        <f>HYPERLINK("https://imgur.com/a/lldIitc","Yes")</f>
        <v>Yes</v>
      </c>
      <c r="D69" s="25" t="s">
        <v>28</v>
      </c>
      <c r="E69" s="13">
        <v>350.0</v>
      </c>
      <c r="F69" s="13">
        <v>87.0</v>
      </c>
      <c r="G69" s="15">
        <v>5299.0</v>
      </c>
      <c r="H69" s="15" t="s">
        <v>38</v>
      </c>
      <c r="I69" s="15" t="s">
        <v>43</v>
      </c>
      <c r="J69" s="15" t="s">
        <v>2749</v>
      </c>
      <c r="K69" s="15" t="s">
        <v>2764</v>
      </c>
      <c r="L69" s="15" t="s">
        <v>2744</v>
      </c>
    </row>
    <row r="70" ht="56.25" customHeight="1">
      <c r="A70" s="13" t="s">
        <v>3815</v>
      </c>
      <c r="B70" s="15" t="str">
        <f>image("https://i.imgur.com/eA7rqy1.png")</f>
        <v/>
      </c>
      <c r="C70" s="33" t="str">
        <f>HYPERLINK("https://imgur.com/a/coeNQVh","Yes")</f>
        <v>Yes</v>
      </c>
      <c r="D70" s="25" t="s">
        <v>28</v>
      </c>
      <c r="E70" s="24" t="s">
        <v>51</v>
      </c>
      <c r="F70" s="13">
        <v>1350.0</v>
      </c>
      <c r="G70" s="15">
        <v>5695.0</v>
      </c>
      <c r="H70" s="15" t="s">
        <v>38</v>
      </c>
      <c r="I70" s="15" t="s">
        <v>54</v>
      </c>
      <c r="J70" s="15" t="s">
        <v>574</v>
      </c>
      <c r="K70" s="15"/>
      <c r="L70" s="15" t="s">
        <v>384</v>
      </c>
    </row>
    <row r="71" ht="56.25" customHeight="1">
      <c r="A71" s="13" t="s">
        <v>3816</v>
      </c>
      <c r="B71" s="15" t="str">
        <f>image("https://i.imgur.com/SJYfy1i.png")</f>
        <v/>
      </c>
      <c r="C71" s="33" t="str">
        <f>HYPERLINK("https://imgur.com/a/xbhVKlO","Yes")</f>
        <v>Yes</v>
      </c>
      <c r="D71" s="15"/>
      <c r="E71" s="13">
        <v>1470.0</v>
      </c>
      <c r="F71" s="13">
        <v>367.0</v>
      </c>
      <c r="G71" s="15">
        <v>9861.0</v>
      </c>
      <c r="H71" s="15" t="s">
        <v>38</v>
      </c>
      <c r="I71" s="15" t="s">
        <v>43</v>
      </c>
      <c r="J71" s="15" t="s">
        <v>2749</v>
      </c>
      <c r="K71" s="15" t="s">
        <v>2751</v>
      </c>
      <c r="L71" s="15" t="s">
        <v>384</v>
      </c>
    </row>
    <row r="72" ht="56.25" customHeight="1">
      <c r="A72" s="13" t="s">
        <v>3817</v>
      </c>
      <c r="B72" s="15" t="str">
        <f>image("https://imgur.com/Cgf5kyY.png")</f>
        <v/>
      </c>
      <c r="C72" s="15" t="s">
        <v>40</v>
      </c>
      <c r="D72" s="15"/>
      <c r="E72" s="13">
        <v>1320.0</v>
      </c>
      <c r="F72" s="13">
        <v>330.0</v>
      </c>
      <c r="G72" s="15">
        <v>6049.0</v>
      </c>
      <c r="H72" s="15" t="s">
        <v>38</v>
      </c>
      <c r="I72" s="15" t="s">
        <v>43</v>
      </c>
      <c r="J72" s="15" t="s">
        <v>2749</v>
      </c>
      <c r="K72" s="15" t="s">
        <v>2751</v>
      </c>
      <c r="L72" s="15" t="s">
        <v>2863</v>
      </c>
    </row>
    <row r="73" ht="56.25" customHeight="1">
      <c r="A73" s="13" t="s">
        <v>3818</v>
      </c>
      <c r="B73" s="15" t="str">
        <f>image("https://imgur.com/6rQzhdh.png")</f>
        <v/>
      </c>
      <c r="C73" s="15" t="s">
        <v>40</v>
      </c>
      <c r="D73" s="25" t="s">
        <v>50</v>
      </c>
      <c r="E73" s="24" t="s">
        <v>51</v>
      </c>
      <c r="F73" s="13">
        <v>50000.0</v>
      </c>
      <c r="G73" s="15">
        <v>5346.0</v>
      </c>
      <c r="H73" s="15" t="s">
        <v>38</v>
      </c>
      <c r="I73" s="15" t="s">
        <v>54</v>
      </c>
      <c r="J73" s="15" t="s">
        <v>55</v>
      </c>
      <c r="K73" s="15"/>
      <c r="L73" s="15" t="s">
        <v>852</v>
      </c>
    </row>
    <row r="74" ht="56.25" customHeight="1">
      <c r="A74" s="13" t="s">
        <v>3820</v>
      </c>
      <c r="B74" s="15" t="str">
        <f>image("https://imgur.com/D1HS4WW.png")</f>
        <v/>
      </c>
      <c r="C74" s="15" t="s">
        <v>40</v>
      </c>
      <c r="D74" s="25" t="s">
        <v>50</v>
      </c>
      <c r="E74" s="24" t="s">
        <v>51</v>
      </c>
      <c r="F74" s="13">
        <v>12000.0</v>
      </c>
      <c r="G74" s="15">
        <v>7378.0</v>
      </c>
      <c r="H74" s="15" t="s">
        <v>38</v>
      </c>
      <c r="I74" s="15" t="s">
        <v>54</v>
      </c>
      <c r="J74" s="15" t="s">
        <v>55</v>
      </c>
      <c r="K74" s="15"/>
      <c r="L74" s="15" t="s">
        <v>384</v>
      </c>
    </row>
    <row r="75" ht="56.25" customHeight="1">
      <c r="A75" s="13" t="s">
        <v>3822</v>
      </c>
      <c r="B75" s="15" t="str">
        <f>image("https://i.imgur.com/6b9Crvl.png")</f>
        <v/>
      </c>
      <c r="C75" s="33" t="str">
        <f>HYPERLINK("https://imgur.com/a/LmOVF4g","Yes")</f>
        <v>Yes</v>
      </c>
      <c r="D75" s="25" t="s">
        <v>28</v>
      </c>
      <c r="E75" s="13">
        <v>1120.0</v>
      </c>
      <c r="F75" s="13">
        <v>280.0</v>
      </c>
      <c r="G75" s="15">
        <v>5683.0</v>
      </c>
      <c r="H75" s="15" t="s">
        <v>38</v>
      </c>
      <c r="I75" s="15" t="s">
        <v>43</v>
      </c>
      <c r="J75" s="15" t="s">
        <v>2749</v>
      </c>
      <c r="K75" s="15" t="s">
        <v>2751</v>
      </c>
      <c r="L75" s="15" t="s">
        <v>2863</v>
      </c>
    </row>
    <row r="76" ht="56.25" customHeight="1">
      <c r="A76" s="13" t="s">
        <v>3823</v>
      </c>
      <c r="B76" s="15" t="str">
        <f>image("https://imgur.com/W2vYXgG.png")</f>
        <v/>
      </c>
      <c r="C76" s="15" t="s">
        <v>40</v>
      </c>
      <c r="D76" s="25" t="s">
        <v>28</v>
      </c>
      <c r="E76" s="13">
        <v>700.0</v>
      </c>
      <c r="F76" s="13">
        <v>175.0</v>
      </c>
      <c r="G76" s="15">
        <v>5278.0</v>
      </c>
      <c r="H76" s="15" t="s">
        <v>38</v>
      </c>
      <c r="I76" s="15" t="s">
        <v>43</v>
      </c>
      <c r="J76" s="15" t="s">
        <v>2749</v>
      </c>
      <c r="K76" s="15" t="s">
        <v>2764</v>
      </c>
      <c r="L76" s="15" t="s">
        <v>384</v>
      </c>
    </row>
    <row r="77" ht="56.25" customHeight="1">
      <c r="A77" s="13" t="s">
        <v>3824</v>
      </c>
      <c r="B77" s="15" t="str">
        <f>image("https://imgur.com/qpDH2XL.png")</f>
        <v/>
      </c>
      <c r="C77" s="15" t="s">
        <v>40</v>
      </c>
      <c r="D77" s="25" t="s">
        <v>28</v>
      </c>
      <c r="E77" s="13">
        <v>2220.0</v>
      </c>
      <c r="F77" s="13">
        <v>555.0</v>
      </c>
      <c r="G77" s="15">
        <v>6921.0</v>
      </c>
      <c r="H77" s="15" t="s">
        <v>38</v>
      </c>
      <c r="I77" s="15" t="s">
        <v>43</v>
      </c>
      <c r="J77" s="15" t="s">
        <v>2749</v>
      </c>
      <c r="K77" s="15" t="s">
        <v>2751</v>
      </c>
      <c r="L77" s="15" t="s">
        <v>384</v>
      </c>
    </row>
    <row r="78" ht="56.25" customHeight="1">
      <c r="A78" s="13" t="s">
        <v>3825</v>
      </c>
      <c r="B78" s="15" t="str">
        <f>image("https://i.imgur.com/MuvocLF.png")</f>
        <v/>
      </c>
      <c r="C78" s="33" t="str">
        <f>HYPERLINK("https://imgur.com/a/pKiOa2J","Yes")</f>
        <v>Yes</v>
      </c>
      <c r="D78" s="25" t="s">
        <v>28</v>
      </c>
      <c r="E78" s="13">
        <v>1400.0</v>
      </c>
      <c r="F78" s="13">
        <v>350.0</v>
      </c>
      <c r="G78" s="15">
        <v>6093.0</v>
      </c>
      <c r="H78" s="15" t="s">
        <v>38</v>
      </c>
      <c r="I78" s="15" t="s">
        <v>43</v>
      </c>
      <c r="J78" s="15" t="s">
        <v>2749</v>
      </c>
      <c r="K78" s="15" t="s">
        <v>2764</v>
      </c>
      <c r="L78" s="15" t="s">
        <v>384</v>
      </c>
    </row>
    <row r="79" ht="56.25" customHeight="1">
      <c r="A79" s="13" t="s">
        <v>3826</v>
      </c>
      <c r="B79" s="15" t="str">
        <f>image("https://i.imgur.com/F1Q5lhb.png")</f>
        <v/>
      </c>
      <c r="C79" s="33" t="str">
        <f>HYPERLINK("https://imgur.com/a/egJ2GmM","Yes")</f>
        <v>Yes</v>
      </c>
      <c r="D79" s="15"/>
      <c r="E79" s="13">
        <v>910.0</v>
      </c>
      <c r="F79" s="13">
        <v>227.0</v>
      </c>
      <c r="G79" s="15">
        <v>5687.0</v>
      </c>
      <c r="H79" s="15" t="s">
        <v>38</v>
      </c>
      <c r="I79" s="15" t="s">
        <v>43</v>
      </c>
      <c r="J79" s="15" t="s">
        <v>2749</v>
      </c>
      <c r="K79" s="15" t="s">
        <v>2751</v>
      </c>
      <c r="L79" s="15" t="s">
        <v>2793</v>
      </c>
    </row>
    <row r="80" ht="56.25" customHeight="1">
      <c r="A80" s="13" t="s">
        <v>3828</v>
      </c>
      <c r="B80" s="15" t="str">
        <f>image("https://imgur.com/UdWAFcz.png")</f>
        <v/>
      </c>
      <c r="C80" s="15" t="s">
        <v>40</v>
      </c>
      <c r="D80" s="15" t="s">
        <v>28</v>
      </c>
      <c r="E80" s="13">
        <v>490.0</v>
      </c>
      <c r="F80" s="13">
        <v>122.0</v>
      </c>
      <c r="G80" s="15">
        <v>5322.0</v>
      </c>
      <c r="H80" s="15" t="s">
        <v>38</v>
      </c>
      <c r="I80" s="15" t="s">
        <v>43</v>
      </c>
      <c r="J80" s="15" t="s">
        <v>2749</v>
      </c>
      <c r="K80" s="15" t="s">
        <v>2764</v>
      </c>
      <c r="L80" s="15" t="s">
        <v>2756</v>
      </c>
    </row>
    <row r="81" ht="56.25" customHeight="1">
      <c r="A81" s="13" t="s">
        <v>3829</v>
      </c>
      <c r="B81" s="15" t="str">
        <f>image("https://i.imgur.com/kH2PQ0v.png")</f>
        <v/>
      </c>
      <c r="C81" s="33" t="str">
        <f>HYPERLINK("https://imgur.com/a/5WrWP5r","Yes")</f>
        <v>Yes</v>
      </c>
      <c r="D81" s="15" t="s">
        <v>28</v>
      </c>
      <c r="E81" s="13">
        <v>700.0</v>
      </c>
      <c r="F81" s="13">
        <v>175.0</v>
      </c>
      <c r="G81" s="15">
        <v>9855.0</v>
      </c>
      <c r="H81" s="15" t="s">
        <v>38</v>
      </c>
      <c r="I81" s="15" t="s">
        <v>43</v>
      </c>
      <c r="J81" s="15" t="s">
        <v>2749</v>
      </c>
      <c r="K81" s="15" t="s">
        <v>2764</v>
      </c>
      <c r="L81" s="15" t="s">
        <v>384</v>
      </c>
    </row>
    <row r="82" ht="56.25" customHeight="1">
      <c r="A82" s="24" t="s">
        <v>3831</v>
      </c>
      <c r="B82" s="15" t="str">
        <f>image("https://i.imgur.com/HOQqKad.png")</f>
        <v/>
      </c>
      <c r="C82" s="33" t="str">
        <f>HYPERLINK("https://imgur.com/a/AHOFVlp","Yes")</f>
        <v>Yes</v>
      </c>
      <c r="D82" s="25" t="s">
        <v>28</v>
      </c>
      <c r="E82" s="13"/>
      <c r="F82" s="13"/>
      <c r="G82" s="15">
        <v>5435.0</v>
      </c>
      <c r="H82" s="15" t="s">
        <v>38</v>
      </c>
      <c r="I82" s="15" t="s">
        <v>43</v>
      </c>
      <c r="J82" s="15" t="s">
        <v>2749</v>
      </c>
      <c r="K82" s="15" t="s">
        <v>2751</v>
      </c>
      <c r="L82" s="15" t="s">
        <v>2793</v>
      </c>
    </row>
    <row r="83" ht="56.25" customHeight="1">
      <c r="A83" s="13" t="s">
        <v>3832</v>
      </c>
      <c r="B83" s="15" t="str">
        <f>image("https://i.imgur.com/vc8IPOH.png")</f>
        <v/>
      </c>
      <c r="C83" s="33" t="str">
        <f>HYPERLINK("https://imgur.com/a/tVUiwY6","Yes")</f>
        <v>Yes</v>
      </c>
      <c r="D83" s="15"/>
      <c r="E83" s="13">
        <v>560.0</v>
      </c>
      <c r="F83" s="13">
        <v>140.0</v>
      </c>
      <c r="G83" s="15">
        <v>8614.0</v>
      </c>
      <c r="H83" s="15" t="s">
        <v>38</v>
      </c>
      <c r="I83" s="15" t="s">
        <v>43</v>
      </c>
      <c r="J83" s="15" t="s">
        <v>2749</v>
      </c>
      <c r="K83" s="15" t="s">
        <v>2764</v>
      </c>
      <c r="L83" s="15" t="s">
        <v>2863</v>
      </c>
    </row>
    <row r="84" ht="56.25" customHeight="1">
      <c r="A84" s="23" t="s">
        <v>3833</v>
      </c>
      <c r="B84" s="23" t="str">
        <f>image("https://i.imgur.com/FrKZ3Q1.png")</f>
        <v/>
      </c>
      <c r="C84" s="25" t="s">
        <v>40</v>
      </c>
      <c r="D84" s="23"/>
      <c r="E84" s="13">
        <v>1440.0</v>
      </c>
      <c r="F84" s="13">
        <v>360.0</v>
      </c>
      <c r="G84" s="15">
        <v>6041.0</v>
      </c>
      <c r="H84" s="15" t="s">
        <v>38</v>
      </c>
      <c r="I84" s="15" t="s">
        <v>43</v>
      </c>
      <c r="J84" s="15" t="s">
        <v>2749</v>
      </c>
      <c r="K84" s="15" t="s">
        <v>2751</v>
      </c>
      <c r="L84" s="15" t="s">
        <v>2756</v>
      </c>
    </row>
    <row r="85" ht="56.25" customHeight="1">
      <c r="A85" s="13" t="s">
        <v>3834</v>
      </c>
      <c r="B85" s="15" t="str">
        <f>image("https://imgur.com/f2arvGw.png")</f>
        <v/>
      </c>
      <c r="C85" s="15" t="s">
        <v>40</v>
      </c>
      <c r="D85" s="15" t="s">
        <v>28</v>
      </c>
      <c r="E85" s="13">
        <v>560.0</v>
      </c>
      <c r="F85" s="13">
        <v>140.0</v>
      </c>
      <c r="G85" s="15">
        <v>5369.0</v>
      </c>
      <c r="H85" s="15" t="s">
        <v>38</v>
      </c>
      <c r="I85" s="15" t="s">
        <v>43</v>
      </c>
      <c r="J85" s="15" t="s">
        <v>2749</v>
      </c>
      <c r="K85" s="15" t="s">
        <v>2751</v>
      </c>
      <c r="L85" s="15" t="s">
        <v>2793</v>
      </c>
    </row>
    <row r="86" ht="56.25" customHeight="1">
      <c r="A86" s="13" t="s">
        <v>3835</v>
      </c>
      <c r="B86" s="15" t="str">
        <f>image("https://imgur.com/IjdnHY5.png")</f>
        <v/>
      </c>
      <c r="C86" s="15" t="s">
        <v>40</v>
      </c>
      <c r="D86" s="25" t="s">
        <v>50</v>
      </c>
      <c r="E86" s="24" t="s">
        <v>51</v>
      </c>
      <c r="F86" s="13">
        <v>640.0</v>
      </c>
      <c r="G86" s="15">
        <v>5096.0</v>
      </c>
      <c r="H86" s="15" t="s">
        <v>38</v>
      </c>
      <c r="I86" s="15" t="s">
        <v>54</v>
      </c>
      <c r="J86" s="15" t="s">
        <v>55</v>
      </c>
      <c r="K86" s="15"/>
      <c r="L86" s="15" t="s">
        <v>384</v>
      </c>
    </row>
    <row r="87" ht="56.25" customHeight="1">
      <c r="A87" s="13" t="s">
        <v>3837</v>
      </c>
      <c r="B87" s="15" t="str">
        <f>image("https://imgur.com/V5zYUpR.png")</f>
        <v/>
      </c>
      <c r="C87" s="15" t="s">
        <v>40</v>
      </c>
      <c r="D87" s="15" t="s">
        <v>28</v>
      </c>
      <c r="E87" s="13">
        <v>1120.0</v>
      </c>
      <c r="F87" s="13">
        <v>280.0</v>
      </c>
      <c r="G87" s="15">
        <v>5447.0</v>
      </c>
      <c r="H87" s="15" t="s">
        <v>38</v>
      </c>
      <c r="I87" s="15" t="s">
        <v>43</v>
      </c>
      <c r="J87" s="15" t="s">
        <v>2749</v>
      </c>
      <c r="K87" s="15" t="s">
        <v>2751</v>
      </c>
      <c r="L87" s="15" t="s">
        <v>2756</v>
      </c>
    </row>
    <row r="88" ht="56.25" customHeight="1">
      <c r="A88" s="24" t="s">
        <v>3838</v>
      </c>
      <c r="B88" s="15" t="str">
        <f>image("https://i.imgur.com/fPFcgc9.png")</f>
        <v/>
      </c>
      <c r="C88" s="33" t="str">
        <f>HYPERLINK("https://imgur.com/a/E7SIC19","Yes")</f>
        <v>Yes</v>
      </c>
      <c r="D88" s="25" t="s">
        <v>28</v>
      </c>
      <c r="E88" s="13">
        <v>1760.0</v>
      </c>
      <c r="F88" s="13">
        <v>440.0</v>
      </c>
      <c r="G88" s="15">
        <v>5464.0</v>
      </c>
      <c r="H88" s="15" t="s">
        <v>38</v>
      </c>
      <c r="I88" s="15" t="s">
        <v>43</v>
      </c>
      <c r="J88" s="15" t="s">
        <v>2749</v>
      </c>
      <c r="K88" s="15" t="s">
        <v>2751</v>
      </c>
      <c r="L88" s="15" t="s">
        <v>2756</v>
      </c>
    </row>
    <row r="89" ht="56.25" customHeight="1">
      <c r="A89" s="13" t="s">
        <v>3840</v>
      </c>
      <c r="B89" s="15" t="str">
        <f>image("https://i.imgur.com/RzDzpTo.png")</f>
        <v/>
      </c>
      <c r="C89" s="33" t="str">
        <f>HYPERLINK("https://imgur.com/a/lGFP2Ee","Yes")</f>
        <v>Yes</v>
      </c>
      <c r="D89" s="15"/>
      <c r="E89" s="13">
        <v>1900.0</v>
      </c>
      <c r="F89" s="13">
        <v>475.0</v>
      </c>
      <c r="G89" s="15">
        <v>5385.0</v>
      </c>
      <c r="H89" s="15" t="s">
        <v>38</v>
      </c>
      <c r="I89" s="15" t="s">
        <v>43</v>
      </c>
      <c r="J89" s="15" t="s">
        <v>2749</v>
      </c>
      <c r="K89" s="15" t="s">
        <v>2751</v>
      </c>
      <c r="L89" s="15" t="s">
        <v>2793</v>
      </c>
    </row>
    <row r="90" ht="56.25" customHeight="1">
      <c r="A90" s="13" t="s">
        <v>3841</v>
      </c>
      <c r="B90" s="15" t="str">
        <f>image("https://i.imgur.com/EjPkTj0.png")</f>
        <v/>
      </c>
      <c r="C90" s="33" t="str">
        <f>HYPERLINK("https://imgur.com/a/WLzprg2","Yes")</f>
        <v>Yes</v>
      </c>
      <c r="D90" s="15"/>
      <c r="E90" s="13">
        <v>1120.0</v>
      </c>
      <c r="F90" s="13">
        <v>280.0</v>
      </c>
      <c r="G90" s="15">
        <v>5367.0</v>
      </c>
      <c r="H90" s="15" t="s">
        <v>38</v>
      </c>
      <c r="I90" s="15" t="s">
        <v>43</v>
      </c>
      <c r="J90" s="15" t="s">
        <v>2749</v>
      </c>
      <c r="K90" s="15" t="s">
        <v>2751</v>
      </c>
      <c r="L90" s="15" t="s">
        <v>2793</v>
      </c>
    </row>
    <row r="91" ht="56.25" customHeight="1">
      <c r="A91" s="13" t="s">
        <v>3842</v>
      </c>
      <c r="B91" s="15" t="str">
        <f>image("https://i.imgur.com/zrtRdLr.png")</f>
        <v/>
      </c>
      <c r="C91" s="33" t="str">
        <f>HYPERLINK("https://imgur.com/a/T2RYHWy","Yes")</f>
        <v>Yes</v>
      </c>
      <c r="D91" s="25" t="s">
        <v>28</v>
      </c>
      <c r="E91" s="24" t="s">
        <v>51</v>
      </c>
      <c r="F91" s="13">
        <v>800.0</v>
      </c>
      <c r="G91" s="15">
        <v>6052.0</v>
      </c>
      <c r="H91" s="15" t="s">
        <v>38</v>
      </c>
      <c r="I91" s="15" t="s">
        <v>54</v>
      </c>
      <c r="J91" s="15" t="s">
        <v>574</v>
      </c>
      <c r="K91" s="15"/>
      <c r="L91" s="15" t="s">
        <v>2863</v>
      </c>
    </row>
    <row r="92" ht="56.25" customHeight="1">
      <c r="A92" s="13" t="s">
        <v>3844</v>
      </c>
      <c r="B92" s="15" t="str">
        <f>image("https://i.imgur.com/y2VTTRk.png")</f>
        <v/>
      </c>
      <c r="C92" s="33" t="str">
        <f>HYPERLINK("https://imgur.com/a/XwsRfkj","Yes")</f>
        <v>Yes</v>
      </c>
      <c r="D92" s="15"/>
      <c r="E92" s="13">
        <v>980.0</v>
      </c>
      <c r="F92" s="13">
        <v>245.0</v>
      </c>
      <c r="G92" s="15">
        <v>5331.0</v>
      </c>
      <c r="H92" s="15" t="s">
        <v>38</v>
      </c>
      <c r="I92" s="15" t="s">
        <v>43</v>
      </c>
      <c r="J92" s="15" t="s">
        <v>2749</v>
      </c>
      <c r="K92" s="15" t="s">
        <v>2751</v>
      </c>
      <c r="L92" s="15" t="s">
        <v>384</v>
      </c>
    </row>
    <row r="93" ht="56.25" customHeight="1">
      <c r="A93" s="13" t="s">
        <v>3845</v>
      </c>
      <c r="B93" s="15" t="str">
        <f>image("https://imgur.com/olhLAx9.png")</f>
        <v/>
      </c>
      <c r="C93" s="15" t="s">
        <v>40</v>
      </c>
      <c r="D93" s="15"/>
      <c r="E93" s="13">
        <v>770.0</v>
      </c>
      <c r="F93" s="13">
        <v>192.0</v>
      </c>
      <c r="G93" s="15">
        <v>5276.0</v>
      </c>
      <c r="H93" s="15" t="s">
        <v>38</v>
      </c>
      <c r="I93" s="15" t="s">
        <v>43</v>
      </c>
      <c r="J93" s="15" t="s">
        <v>2749</v>
      </c>
      <c r="K93" s="15" t="s">
        <v>2764</v>
      </c>
      <c r="L93" s="15" t="s">
        <v>384</v>
      </c>
    </row>
    <row r="94" ht="56.25" customHeight="1">
      <c r="A94" s="13" t="s">
        <v>3846</v>
      </c>
      <c r="B94" s="15" t="str">
        <f>IMAGE("https://imgur.com/ctypLmZ.png")</f>
        <v/>
      </c>
      <c r="C94" s="15" t="s">
        <v>40</v>
      </c>
      <c r="D94" s="25" t="s">
        <v>50</v>
      </c>
      <c r="E94" s="24" t="s">
        <v>51</v>
      </c>
      <c r="F94" s="13">
        <v>3750.0</v>
      </c>
      <c r="G94" s="15">
        <v>5334.0</v>
      </c>
      <c r="H94" s="15" t="s">
        <v>38</v>
      </c>
      <c r="I94" s="15" t="s">
        <v>54</v>
      </c>
      <c r="J94" s="15" t="s">
        <v>55</v>
      </c>
      <c r="K94" s="15"/>
      <c r="L94" s="15" t="s">
        <v>2756</v>
      </c>
    </row>
    <row r="95" ht="56.25" customHeight="1">
      <c r="A95" s="13" t="s">
        <v>3848</v>
      </c>
      <c r="B95" s="15" t="str">
        <f>image("https://i.imgur.com/vcYDWtA.png")</f>
        <v/>
      </c>
      <c r="C95" s="33" t="str">
        <f>HYPERLINK("https://imgur.com/a/lKSPfWY","Yes")</f>
        <v>Yes</v>
      </c>
      <c r="D95" s="25" t="s">
        <v>28</v>
      </c>
      <c r="E95" s="13">
        <v>1000.0</v>
      </c>
      <c r="F95" s="13">
        <v>250.0</v>
      </c>
      <c r="G95" s="15">
        <v>5370.0</v>
      </c>
      <c r="H95" s="15" t="s">
        <v>38</v>
      </c>
      <c r="I95" s="15" t="s">
        <v>43</v>
      </c>
      <c r="J95" s="15" t="s">
        <v>2749</v>
      </c>
      <c r="K95" s="15" t="s">
        <v>2764</v>
      </c>
      <c r="L95" s="15" t="s">
        <v>384</v>
      </c>
    </row>
    <row r="96" ht="56.25" customHeight="1">
      <c r="A96" s="13" t="s">
        <v>3850</v>
      </c>
      <c r="B96" s="15" t="str">
        <f>image("https://i.imgur.com/Nn922Rg.png")</f>
        <v/>
      </c>
      <c r="C96" s="33" t="str">
        <f>HYPERLINK("https://imgur.com/a/JOTzQAb","Yes")</f>
        <v>Yes</v>
      </c>
      <c r="D96" s="15"/>
      <c r="E96" s="13">
        <v>560.0</v>
      </c>
      <c r="F96" s="13">
        <v>140.0</v>
      </c>
      <c r="G96" s="15">
        <v>5146.0</v>
      </c>
      <c r="H96" s="15" t="s">
        <v>38</v>
      </c>
      <c r="I96" s="15" t="s">
        <v>43</v>
      </c>
      <c r="J96" s="15" t="s">
        <v>2749</v>
      </c>
      <c r="K96" s="15" t="s">
        <v>2764</v>
      </c>
      <c r="L96" s="15" t="s">
        <v>2744</v>
      </c>
    </row>
    <row r="97" ht="56.25" customHeight="1">
      <c r="A97" s="13" t="s">
        <v>3851</v>
      </c>
      <c r="B97" s="15" t="str">
        <f>image("https://i.imgur.com/EhSyOjY.png")</f>
        <v/>
      </c>
      <c r="C97" s="33" t="str">
        <f>HYPERLINK("https://imgur.com/a/i8r9MbJ","Yes")</f>
        <v>Yes</v>
      </c>
      <c r="D97" s="15"/>
      <c r="E97" s="13">
        <v>2400.0</v>
      </c>
      <c r="F97" s="13">
        <v>600.0</v>
      </c>
      <c r="G97" s="15">
        <v>9880.0</v>
      </c>
      <c r="H97" s="15" t="s">
        <v>38</v>
      </c>
      <c r="I97" s="15" t="s">
        <v>43</v>
      </c>
      <c r="J97" s="15" t="s">
        <v>3134</v>
      </c>
      <c r="K97" s="15"/>
      <c r="L97" s="15" t="s">
        <v>2756</v>
      </c>
    </row>
    <row r="98" ht="56.25" customHeight="1">
      <c r="A98" s="13" t="s">
        <v>3852</v>
      </c>
      <c r="B98" s="15" t="str">
        <f>image("https://i.imgur.com/jzBd0J8.png")</f>
        <v/>
      </c>
      <c r="C98" s="33" t="str">
        <f>HYPERLINK("https://imgur.com/a/tE42crH","Yes")</f>
        <v>Yes</v>
      </c>
      <c r="D98" s="15"/>
      <c r="E98" s="13">
        <v>2500.0</v>
      </c>
      <c r="F98" s="13">
        <v>625.0</v>
      </c>
      <c r="G98" s="15">
        <v>9881.0</v>
      </c>
      <c r="H98" s="15" t="s">
        <v>38</v>
      </c>
      <c r="I98" s="15" t="s">
        <v>43</v>
      </c>
      <c r="J98" s="15" t="s">
        <v>3134</v>
      </c>
      <c r="K98" s="15"/>
      <c r="L98" s="15" t="s">
        <v>852</v>
      </c>
    </row>
    <row r="99" ht="56.25" customHeight="1">
      <c r="A99" s="13" t="s">
        <v>3853</v>
      </c>
      <c r="B99" s="15" t="str">
        <f>image("https://imgur.com/ma8OexS.png")</f>
        <v/>
      </c>
      <c r="C99" s="15" t="s">
        <v>40</v>
      </c>
      <c r="D99" s="25" t="s">
        <v>50</v>
      </c>
      <c r="E99" s="24" t="s">
        <v>51</v>
      </c>
      <c r="F99" s="13">
        <v>200.0</v>
      </c>
      <c r="G99" s="15">
        <v>7291.0</v>
      </c>
      <c r="H99" s="15" t="s">
        <v>38</v>
      </c>
      <c r="I99" s="15" t="s">
        <v>54</v>
      </c>
      <c r="J99" s="15" t="s">
        <v>55</v>
      </c>
      <c r="K99" s="15"/>
      <c r="L99" s="15" t="s">
        <v>384</v>
      </c>
    </row>
    <row r="100" ht="56.25" customHeight="1">
      <c r="A100" s="13" t="s">
        <v>3854</v>
      </c>
      <c r="B100" s="15" t="str">
        <f>image("https://imgur.com/xJyXE0S.png")</f>
        <v/>
      </c>
      <c r="C100" s="15" t="s">
        <v>40</v>
      </c>
      <c r="D100" s="15" t="s">
        <v>50</v>
      </c>
      <c r="E100" s="24" t="s">
        <v>51</v>
      </c>
      <c r="F100" s="24">
        <v>800.0</v>
      </c>
      <c r="G100" s="15"/>
      <c r="H100" s="15" t="s">
        <v>38</v>
      </c>
      <c r="I100" s="15" t="s">
        <v>54</v>
      </c>
      <c r="J100" s="15" t="s">
        <v>55</v>
      </c>
      <c r="K100" s="15"/>
      <c r="L100" s="15"/>
    </row>
    <row r="101" ht="56.25" customHeight="1">
      <c r="A101" s="13" t="s">
        <v>3855</v>
      </c>
      <c r="B101" s="15" t="str">
        <f>image("https://i.imgur.com/7Ts409p.png")</f>
        <v/>
      </c>
      <c r="C101" s="33" t="str">
        <f>HYPERLINK("https://imgur.com/a/kN4Mrp2","Yes")</f>
        <v>Yes</v>
      </c>
      <c r="D101" s="25" t="s">
        <v>28</v>
      </c>
      <c r="E101" s="13">
        <v>560.0</v>
      </c>
      <c r="F101" s="13">
        <v>140.0</v>
      </c>
      <c r="G101" s="15">
        <v>9866.0</v>
      </c>
      <c r="H101" s="15" t="s">
        <v>38</v>
      </c>
      <c r="I101" s="15" t="s">
        <v>43</v>
      </c>
      <c r="J101" s="15" t="s">
        <v>2749</v>
      </c>
      <c r="K101" s="15" t="s">
        <v>2764</v>
      </c>
      <c r="L101" s="15" t="s">
        <v>2793</v>
      </c>
    </row>
    <row r="102" ht="56.25" customHeight="1">
      <c r="A102" s="13" t="s">
        <v>3858</v>
      </c>
      <c r="B102" s="15" t="str">
        <f>image("https://imgur.com/ZBVuwBn.png")</f>
        <v/>
      </c>
      <c r="C102" s="15" t="s">
        <v>40</v>
      </c>
      <c r="D102" s="25" t="s">
        <v>50</v>
      </c>
      <c r="E102" s="24" t="s">
        <v>51</v>
      </c>
      <c r="F102" s="13">
        <v>480.0</v>
      </c>
      <c r="G102" s="15">
        <v>5114.0</v>
      </c>
      <c r="H102" s="15" t="s">
        <v>38</v>
      </c>
      <c r="I102" s="15" t="s">
        <v>54</v>
      </c>
      <c r="J102" s="15" t="s">
        <v>55</v>
      </c>
      <c r="K102" s="15"/>
      <c r="L102" s="15" t="s">
        <v>384</v>
      </c>
    </row>
    <row r="103" ht="56.25" customHeight="1">
      <c r="A103" s="13" t="s">
        <v>3859</v>
      </c>
      <c r="B103" s="15" t="str">
        <f>image("https://imgur.com/nz4YgP1.png")</f>
        <v/>
      </c>
      <c r="C103" s="15" t="s">
        <v>40</v>
      </c>
      <c r="D103" s="25" t="s">
        <v>50</v>
      </c>
      <c r="E103" s="24" t="s">
        <v>51</v>
      </c>
      <c r="F103" s="13">
        <v>1120.0</v>
      </c>
      <c r="G103" s="15">
        <v>5109.0</v>
      </c>
      <c r="H103" s="15" t="s">
        <v>38</v>
      </c>
      <c r="I103" s="15" t="s">
        <v>54</v>
      </c>
      <c r="J103" s="15" t="s">
        <v>55</v>
      </c>
      <c r="K103" s="15"/>
      <c r="L103" s="15" t="s">
        <v>384</v>
      </c>
    </row>
    <row r="104" ht="56.25" customHeight="1">
      <c r="A104" s="13" t="s">
        <v>3860</v>
      </c>
      <c r="B104" s="15" t="str">
        <f>image("https://i.imgur.com/nmIuwfR.png")</f>
        <v/>
      </c>
      <c r="C104" s="33" t="str">
        <f>HYPERLINK("https://imgur.com/a/O8IvFNK","Yes")</f>
        <v>Yes</v>
      </c>
      <c r="D104" s="15"/>
      <c r="E104" s="13">
        <v>3440.0</v>
      </c>
      <c r="F104" s="13">
        <v>860.0</v>
      </c>
      <c r="G104" s="15">
        <v>5245.0</v>
      </c>
      <c r="H104" s="15" t="s">
        <v>38</v>
      </c>
      <c r="I104" s="15" t="s">
        <v>43</v>
      </c>
      <c r="J104" s="15" t="s">
        <v>2749</v>
      </c>
      <c r="K104" s="15" t="s">
        <v>2751</v>
      </c>
      <c r="L104" s="15" t="s">
        <v>2756</v>
      </c>
    </row>
    <row r="105" ht="56.25" customHeight="1">
      <c r="A105" s="13" t="s">
        <v>3861</v>
      </c>
      <c r="B105" s="15" t="str">
        <f>image("https://i.imgur.com/FiHaBKt.png")</f>
        <v/>
      </c>
      <c r="C105" s="33" t="str">
        <f>HYPERLINK("https://imgur.com/a/U7XCyjn","Yes")</f>
        <v>Yes</v>
      </c>
      <c r="D105" s="15"/>
      <c r="E105" s="13">
        <v>880.0</v>
      </c>
      <c r="F105" s="13">
        <v>220.0</v>
      </c>
      <c r="G105" s="15">
        <v>10914.0</v>
      </c>
      <c r="H105" s="15" t="s">
        <v>38</v>
      </c>
      <c r="I105" s="15" t="s">
        <v>43</v>
      </c>
      <c r="J105" s="15" t="s">
        <v>2749</v>
      </c>
      <c r="K105" s="15" t="s">
        <v>2751</v>
      </c>
      <c r="L105" s="15" t="s">
        <v>2756</v>
      </c>
    </row>
    <row r="106" ht="56.25" customHeight="1">
      <c r="A106" s="13" t="s">
        <v>3863</v>
      </c>
      <c r="B106" s="15" t="str">
        <f>image("https://imgur.com/u0ILbbg.png")</f>
        <v/>
      </c>
      <c r="C106" s="15" t="s">
        <v>40</v>
      </c>
      <c r="D106" s="25" t="s">
        <v>28</v>
      </c>
      <c r="E106" s="13">
        <v>1280.0</v>
      </c>
      <c r="F106" s="13">
        <v>320.0</v>
      </c>
      <c r="G106" s="15">
        <v>5691.0</v>
      </c>
      <c r="H106" s="15" t="s">
        <v>38</v>
      </c>
      <c r="I106" s="15" t="s">
        <v>43</v>
      </c>
      <c r="J106" s="15" t="s">
        <v>2749</v>
      </c>
      <c r="K106" s="15" t="s">
        <v>2751</v>
      </c>
      <c r="L106" s="15" t="s">
        <v>2863</v>
      </c>
    </row>
    <row r="107" ht="56.25" customHeight="1">
      <c r="A107" s="13" t="s">
        <v>3864</v>
      </c>
      <c r="B107" s="15" t="str">
        <f>image("https://i.imgur.com/olQntQI.png")</f>
        <v/>
      </c>
      <c r="C107" s="33" t="str">
        <f>HYPERLINK("https://imgur.com/a/QR4YH0G","Yes")</f>
        <v>Yes</v>
      </c>
      <c r="D107" s="15" t="s">
        <v>28</v>
      </c>
      <c r="E107" s="13">
        <v>560.0</v>
      </c>
      <c r="F107" s="13">
        <v>140.0</v>
      </c>
      <c r="G107" s="15">
        <v>5128.0</v>
      </c>
      <c r="H107" s="15" t="s">
        <v>38</v>
      </c>
      <c r="I107" s="15" t="s">
        <v>43</v>
      </c>
      <c r="J107" s="15" t="s">
        <v>2749</v>
      </c>
      <c r="K107" s="15" t="s">
        <v>2764</v>
      </c>
      <c r="L107" s="15" t="s">
        <v>2793</v>
      </c>
    </row>
    <row r="108" ht="56.25" customHeight="1">
      <c r="A108" s="13" t="s">
        <v>3866</v>
      </c>
      <c r="B108" s="15" t="str">
        <f>image("https://imgur.com/EcbD2KI.png")</f>
        <v/>
      </c>
      <c r="C108" s="15" t="s">
        <v>40</v>
      </c>
      <c r="D108" s="25" t="s">
        <v>28</v>
      </c>
      <c r="E108" s="24" t="s">
        <v>51</v>
      </c>
      <c r="F108" s="13">
        <v>800.0</v>
      </c>
      <c r="G108" s="15">
        <v>5365.0</v>
      </c>
      <c r="H108" s="15" t="s">
        <v>38</v>
      </c>
      <c r="I108" s="15" t="s">
        <v>54</v>
      </c>
      <c r="J108" s="15" t="s">
        <v>574</v>
      </c>
      <c r="K108" s="15"/>
      <c r="L108" s="15" t="s">
        <v>2863</v>
      </c>
    </row>
    <row r="109" ht="56.25" customHeight="1">
      <c r="A109" s="13" t="s">
        <v>3869</v>
      </c>
      <c r="B109" s="15" t="str">
        <f>image("https://imgur.com/t8fbfnL.png")</f>
        <v/>
      </c>
      <c r="C109" s="15" t="s">
        <v>40</v>
      </c>
      <c r="D109" s="15"/>
      <c r="E109" s="13">
        <v>1280.0</v>
      </c>
      <c r="F109" s="13">
        <v>320.0</v>
      </c>
      <c r="G109" s="15">
        <v>5688.0</v>
      </c>
      <c r="H109" s="15" t="s">
        <v>38</v>
      </c>
      <c r="I109" s="15" t="s">
        <v>43</v>
      </c>
      <c r="J109" s="15" t="s">
        <v>2749</v>
      </c>
      <c r="K109" s="15" t="s">
        <v>2751</v>
      </c>
      <c r="L109" s="15" t="s">
        <v>2756</v>
      </c>
    </row>
    <row r="110" ht="56.25" customHeight="1">
      <c r="A110" s="13" t="s">
        <v>3870</v>
      </c>
      <c r="B110" s="15" t="str">
        <f>image("https://imgur.com/RwWGL2e.png")</f>
        <v/>
      </c>
      <c r="C110" s="15" t="s">
        <v>40</v>
      </c>
      <c r="D110" s="25" t="s">
        <v>50</v>
      </c>
      <c r="E110" s="24" t="s">
        <v>51</v>
      </c>
      <c r="F110" s="13">
        <v>480.0</v>
      </c>
      <c r="G110" s="15">
        <v>5117.0</v>
      </c>
      <c r="H110" s="15" t="s">
        <v>38</v>
      </c>
      <c r="I110" s="15" t="s">
        <v>54</v>
      </c>
      <c r="J110" s="15" t="s">
        <v>55</v>
      </c>
      <c r="K110" s="15"/>
      <c r="L110" s="15" t="s">
        <v>384</v>
      </c>
    </row>
    <row r="111" ht="56.25" customHeight="1">
      <c r="A111" s="13" t="s">
        <v>3871</v>
      </c>
      <c r="B111" s="15" t="str">
        <f>image("https://imgur.com/Hv4EGZ1.png")</f>
        <v/>
      </c>
      <c r="C111" s="15" t="s">
        <v>40</v>
      </c>
      <c r="D111" s="15"/>
      <c r="E111" s="13">
        <v>980.0</v>
      </c>
      <c r="F111" s="13">
        <v>245.0</v>
      </c>
      <c r="G111" s="15">
        <v>5324.0</v>
      </c>
      <c r="H111" s="15" t="s">
        <v>38</v>
      </c>
      <c r="I111" s="15" t="s">
        <v>43</v>
      </c>
      <c r="J111" s="15" t="s">
        <v>2749</v>
      </c>
      <c r="K111" s="15" t="s">
        <v>2751</v>
      </c>
      <c r="L111" s="15" t="s">
        <v>2756</v>
      </c>
    </row>
    <row r="112" ht="56.25" customHeight="1">
      <c r="A112" s="13" t="s">
        <v>3872</v>
      </c>
      <c r="B112" s="15" t="str">
        <f>image("https://i.imgur.com/U9ycabD.png")</f>
        <v/>
      </c>
      <c r="C112" s="33" t="str">
        <f>HYPERLINK("https://imgur.com/a/9tTBVoC","Yes")</f>
        <v>Yes</v>
      </c>
      <c r="D112" s="25" t="s">
        <v>28</v>
      </c>
      <c r="E112" s="24" t="s">
        <v>51</v>
      </c>
      <c r="F112" s="13">
        <v>125.0</v>
      </c>
      <c r="G112" s="15">
        <v>4799.0</v>
      </c>
      <c r="H112" s="15" t="s">
        <v>38</v>
      </c>
      <c r="I112" s="15" t="s">
        <v>54</v>
      </c>
      <c r="J112" s="15" t="s">
        <v>3873</v>
      </c>
      <c r="K112" s="15"/>
      <c r="L112" s="15" t="s">
        <v>852</v>
      </c>
    </row>
    <row r="113" ht="56.25" customHeight="1">
      <c r="A113" s="13" t="s">
        <v>3874</v>
      </c>
      <c r="B113" s="15" t="str">
        <f>image("https://i.imgur.com/wSG4Ee3.png")</f>
        <v/>
      </c>
      <c r="C113" s="33" t="str">
        <f>HYPERLINK("https://imgur.com/a/ymDhXEv","Yes")</f>
        <v>Yes</v>
      </c>
      <c r="D113" s="25" t="s">
        <v>28</v>
      </c>
      <c r="E113" s="24" t="s">
        <v>51</v>
      </c>
      <c r="F113" s="13">
        <v>125.0</v>
      </c>
      <c r="G113" s="15">
        <v>5946.0</v>
      </c>
      <c r="H113" s="15" t="s">
        <v>38</v>
      </c>
      <c r="I113" s="15" t="s">
        <v>54</v>
      </c>
      <c r="J113" s="15" t="s">
        <v>3873</v>
      </c>
      <c r="K113" s="15"/>
      <c r="L113" s="15" t="s">
        <v>852</v>
      </c>
    </row>
    <row r="114" ht="56.25" customHeight="1">
      <c r="A114" s="13" t="s">
        <v>3876</v>
      </c>
      <c r="B114" s="15" t="str">
        <f>image("https://i.imgur.com/mxJHLYV.png")</f>
        <v/>
      </c>
      <c r="C114" s="33" t="str">
        <f>HYPERLINK("https://imgur.com/a/jJaykQq","Yes")</f>
        <v>Yes</v>
      </c>
      <c r="D114" s="15"/>
      <c r="E114" s="13">
        <v>1400.0</v>
      </c>
      <c r="F114" s="13">
        <v>350.0</v>
      </c>
      <c r="G114" s="15">
        <v>5364.0</v>
      </c>
      <c r="H114" s="15" t="s">
        <v>38</v>
      </c>
      <c r="I114" s="15" t="s">
        <v>43</v>
      </c>
      <c r="J114" s="15" t="s">
        <v>2749</v>
      </c>
      <c r="K114" s="15" t="s">
        <v>2751</v>
      </c>
      <c r="L114" s="15" t="s">
        <v>2756</v>
      </c>
    </row>
    <row r="115" ht="56.25" customHeight="1">
      <c r="A115" s="13" t="s">
        <v>3877</v>
      </c>
      <c r="B115" s="15" t="str">
        <f>image("https://imgur.com/oMPduZw.png")</f>
        <v/>
      </c>
      <c r="C115" s="15" t="s">
        <v>40</v>
      </c>
      <c r="D115" s="15"/>
      <c r="E115" s="13">
        <v>2400.0</v>
      </c>
      <c r="F115" s="13">
        <v>600.0</v>
      </c>
      <c r="G115" s="15">
        <v>6036.0</v>
      </c>
      <c r="H115" s="15" t="s">
        <v>38</v>
      </c>
      <c r="I115" s="15" t="s">
        <v>43</v>
      </c>
      <c r="J115" s="15" t="s">
        <v>2749</v>
      </c>
      <c r="K115" s="15" t="s">
        <v>2751</v>
      </c>
      <c r="L115" s="15" t="s">
        <v>2863</v>
      </c>
    </row>
    <row r="116" ht="56.25" customHeight="1">
      <c r="A116" s="13" t="s">
        <v>3879</v>
      </c>
      <c r="B116" s="15" t="str">
        <f>image("https://imgur.com/zopKHak.png")</f>
        <v/>
      </c>
      <c r="C116" s="15" t="s">
        <v>40</v>
      </c>
      <c r="D116" s="15" t="s">
        <v>28</v>
      </c>
      <c r="E116" s="24" t="s">
        <v>51</v>
      </c>
      <c r="F116" s="13">
        <v>2500.0</v>
      </c>
      <c r="G116" s="15">
        <v>5628.0</v>
      </c>
      <c r="H116" s="15" t="s">
        <v>38</v>
      </c>
      <c r="I116" s="15" t="s">
        <v>54</v>
      </c>
      <c r="J116" s="15" t="s">
        <v>516</v>
      </c>
      <c r="K116" s="15"/>
      <c r="L116" s="15" t="s">
        <v>2744</v>
      </c>
    </row>
    <row r="117" ht="56.25" customHeight="1">
      <c r="A117" s="13" t="s">
        <v>3881</v>
      </c>
      <c r="B117" s="15" t="str">
        <f>image("https://imgur.com/xQtEXE3.png")</f>
        <v/>
      </c>
      <c r="C117" s="15" t="s">
        <v>40</v>
      </c>
      <c r="D117" s="15" t="s">
        <v>28</v>
      </c>
      <c r="E117" s="24" t="s">
        <v>51</v>
      </c>
      <c r="F117" s="13">
        <v>2500.0</v>
      </c>
      <c r="G117" s="15">
        <v>5627.0</v>
      </c>
      <c r="H117" s="15" t="s">
        <v>38</v>
      </c>
      <c r="I117" s="15" t="s">
        <v>54</v>
      </c>
      <c r="J117" s="15" t="s">
        <v>516</v>
      </c>
      <c r="K117" s="15"/>
      <c r="L117" s="15" t="s">
        <v>2744</v>
      </c>
    </row>
    <row r="118" ht="56.25" customHeight="1">
      <c r="A118" s="13" t="s">
        <v>3883</v>
      </c>
      <c r="B118" s="15" t="str">
        <f>image("https://i.imgur.com/wNQY92C.png")</f>
        <v/>
      </c>
      <c r="C118" s="33" t="str">
        <f>HYPERLINK("https://imgur.com/a/yoj73Sh","Yes")</f>
        <v>Yes</v>
      </c>
      <c r="D118" s="15"/>
      <c r="E118" s="13">
        <v>1680.0</v>
      </c>
      <c r="F118" s="13">
        <v>420.0</v>
      </c>
      <c r="G118" s="15">
        <v>6947.0</v>
      </c>
      <c r="H118" s="15" t="s">
        <v>38</v>
      </c>
      <c r="I118" s="15" t="s">
        <v>43</v>
      </c>
      <c r="J118" s="15" t="s">
        <v>2749</v>
      </c>
      <c r="K118" s="15" t="s">
        <v>2751</v>
      </c>
      <c r="L118" s="15" t="s">
        <v>2744</v>
      </c>
    </row>
    <row r="119" ht="56.25" customHeight="1">
      <c r="A119" s="13" t="s">
        <v>3886</v>
      </c>
      <c r="B119" s="15" t="str">
        <f>image("https://i.imgur.com/KDp4Fl4.png")</f>
        <v/>
      </c>
      <c r="C119" s="15" t="s">
        <v>40</v>
      </c>
      <c r="D119" s="15"/>
      <c r="E119" s="13">
        <v>770.0</v>
      </c>
      <c r="F119" s="21">
        <v>192.0</v>
      </c>
      <c r="G119" s="15"/>
      <c r="H119" s="15" t="s">
        <v>38</v>
      </c>
      <c r="I119" s="15" t="s">
        <v>496</v>
      </c>
      <c r="J119" s="15" t="s">
        <v>497</v>
      </c>
      <c r="K119" s="15"/>
      <c r="L119" s="15"/>
    </row>
    <row r="120" ht="56.25" customHeight="1">
      <c r="A120" s="13" t="s">
        <v>3887</v>
      </c>
      <c r="B120" s="15" t="str">
        <f>image("https://imgur.com/3TH5DaK.png")</f>
        <v/>
      </c>
      <c r="C120" s="15" t="s">
        <v>40</v>
      </c>
      <c r="D120" s="25" t="s">
        <v>50</v>
      </c>
      <c r="E120" s="24" t="s">
        <v>51</v>
      </c>
      <c r="F120" s="13">
        <v>1000.0</v>
      </c>
      <c r="G120" s="15">
        <v>5275.0</v>
      </c>
      <c r="H120" s="15" t="s">
        <v>38</v>
      </c>
      <c r="I120" s="15" t="s">
        <v>54</v>
      </c>
      <c r="J120" s="15" t="s">
        <v>55</v>
      </c>
      <c r="K120" s="15"/>
      <c r="L120" s="15" t="s">
        <v>384</v>
      </c>
    </row>
    <row r="121" ht="56.25" customHeight="1">
      <c r="A121" s="13" t="s">
        <v>3888</v>
      </c>
      <c r="B121" s="15" t="str">
        <f>image("https://i.imgur.com/EMoYx7D.png")</f>
        <v/>
      </c>
      <c r="C121" s="33" t="str">
        <f>HYPERLINK("https://imgur.com/a/jpqjVuN","Yes")</f>
        <v>Yes</v>
      </c>
      <c r="D121" s="15"/>
      <c r="E121" s="13">
        <v>1560.0</v>
      </c>
      <c r="F121" s="13">
        <v>390.0</v>
      </c>
      <c r="G121" s="15">
        <v>5399.0</v>
      </c>
      <c r="H121" s="15" t="s">
        <v>38</v>
      </c>
      <c r="I121" s="15" t="s">
        <v>43</v>
      </c>
      <c r="J121" s="15" t="s">
        <v>2749</v>
      </c>
      <c r="K121" s="15" t="s">
        <v>2764</v>
      </c>
      <c r="L121" s="15" t="s">
        <v>2863</v>
      </c>
    </row>
    <row r="122" ht="56.25" customHeight="1">
      <c r="A122" s="13" t="s">
        <v>3890</v>
      </c>
      <c r="B122" s="15" t="str">
        <f>image("https://i.imgur.com/q4xKwN8.png")</f>
        <v/>
      </c>
      <c r="C122" s="33" t="str">
        <f>HYPERLINK("https://imgur.com/a/tCV1jVy","Yes")</f>
        <v>Yes</v>
      </c>
      <c r="D122" s="15" t="s">
        <v>28</v>
      </c>
      <c r="E122" s="13">
        <v>1100.0</v>
      </c>
      <c r="F122" s="13">
        <v>275.0</v>
      </c>
      <c r="G122" s="15">
        <v>5258.0</v>
      </c>
      <c r="H122" s="15" t="s">
        <v>38</v>
      </c>
      <c r="I122" s="15" t="s">
        <v>43</v>
      </c>
      <c r="J122" s="15" t="s">
        <v>2749</v>
      </c>
      <c r="K122" s="15" t="s">
        <v>2764</v>
      </c>
      <c r="L122" s="15" t="s">
        <v>2793</v>
      </c>
    </row>
    <row r="123" ht="56.25" customHeight="1">
      <c r="A123" s="24" t="s">
        <v>3891</v>
      </c>
      <c r="B123" s="15" t="str">
        <f>image("https://i.imgur.com/sQxx9hL.png")</f>
        <v/>
      </c>
      <c r="C123" s="33" t="str">
        <f>HYPERLINK("https://imgur.com/a/xudhSb3","Yes")</f>
        <v>Yes</v>
      </c>
      <c r="D123" s="25" t="s">
        <v>28</v>
      </c>
      <c r="E123" s="24">
        <v>1040.0</v>
      </c>
      <c r="F123" s="24">
        <v>260.0</v>
      </c>
      <c r="G123" s="15">
        <v>5395.0</v>
      </c>
      <c r="H123" s="15" t="s">
        <v>38</v>
      </c>
      <c r="I123" s="15" t="s">
        <v>43</v>
      </c>
      <c r="J123" s="15" t="s">
        <v>2749</v>
      </c>
      <c r="K123" s="15" t="s">
        <v>2751</v>
      </c>
      <c r="L123" s="15" t="s">
        <v>2756</v>
      </c>
    </row>
    <row r="124" ht="56.25" customHeight="1">
      <c r="A124" s="13" t="s">
        <v>3892</v>
      </c>
      <c r="B124" s="15" t="str">
        <f>image("https://i.imgur.com/TwM7oJY.png")</f>
        <v/>
      </c>
      <c r="C124" s="33" t="str">
        <f>HYPERLINK("https://imgur.com/a/gwBykIx","Yes")</f>
        <v>Yes</v>
      </c>
      <c r="D124" s="15" t="s">
        <v>28</v>
      </c>
      <c r="E124" s="13">
        <v>700.0</v>
      </c>
      <c r="F124" s="13">
        <v>175.0</v>
      </c>
      <c r="G124" s="15">
        <v>5294.0</v>
      </c>
      <c r="H124" s="15" t="s">
        <v>38</v>
      </c>
      <c r="I124" s="15" t="s">
        <v>43</v>
      </c>
      <c r="J124" s="15" t="s">
        <v>2749</v>
      </c>
      <c r="K124" s="15" t="s">
        <v>2764</v>
      </c>
      <c r="L124" s="15" t="s">
        <v>2793</v>
      </c>
    </row>
    <row r="125" ht="56.25" customHeight="1">
      <c r="A125" s="13" t="s">
        <v>3893</v>
      </c>
      <c r="B125" s="15" t="str">
        <f>image("https://imgur.com/Tjxo35I.png")</f>
        <v/>
      </c>
      <c r="C125" s="15" t="s">
        <v>40</v>
      </c>
      <c r="D125" s="25" t="s">
        <v>50</v>
      </c>
      <c r="E125" s="24" t="s">
        <v>51</v>
      </c>
      <c r="F125" s="13">
        <v>480.0</v>
      </c>
      <c r="G125" s="15">
        <v>5105.0</v>
      </c>
      <c r="H125" s="15" t="s">
        <v>38</v>
      </c>
      <c r="I125" s="15" t="s">
        <v>54</v>
      </c>
      <c r="J125" s="15" t="s">
        <v>55</v>
      </c>
      <c r="K125" s="15"/>
      <c r="L125" s="15" t="s">
        <v>384</v>
      </c>
    </row>
    <row r="126" ht="56.25" customHeight="1">
      <c r="A126" s="13" t="s">
        <v>3896</v>
      </c>
      <c r="B126" s="15" t="str">
        <f>image("https://imgur.com/lN3ndia.png")</f>
        <v/>
      </c>
      <c r="C126" s="15" t="s">
        <v>40</v>
      </c>
      <c r="D126" s="15"/>
      <c r="E126" s="13">
        <v>140.0</v>
      </c>
      <c r="F126" s="13">
        <v>35.0</v>
      </c>
      <c r="G126" s="15">
        <v>5840.0</v>
      </c>
      <c r="H126" s="15" t="s">
        <v>38</v>
      </c>
      <c r="I126" s="15" t="s">
        <v>43</v>
      </c>
      <c r="J126" s="15" t="s">
        <v>2749</v>
      </c>
      <c r="K126" s="15" t="s">
        <v>2764</v>
      </c>
      <c r="L126" s="15" t="s">
        <v>2756</v>
      </c>
    </row>
    <row r="127" ht="56.25" customHeight="1">
      <c r="A127" s="13" t="s">
        <v>3897</v>
      </c>
      <c r="B127" s="15" t="str">
        <f>image("https://i.imgur.com/KtUV0IN.png")</f>
        <v/>
      </c>
      <c r="C127" s="33" t="str">
        <f>HYPERLINK("https://imgur.com/a/Uulhzcx","Yes")</f>
        <v>Yes</v>
      </c>
      <c r="D127" s="25" t="s">
        <v>28</v>
      </c>
      <c r="E127" s="13">
        <v>1470.0</v>
      </c>
      <c r="F127" s="13">
        <v>367.0</v>
      </c>
      <c r="G127" s="15">
        <v>5147.0</v>
      </c>
      <c r="H127" s="15" t="s">
        <v>38</v>
      </c>
      <c r="I127" s="15" t="s">
        <v>43</v>
      </c>
      <c r="J127" s="15" t="s">
        <v>2749</v>
      </c>
      <c r="K127" s="15" t="s">
        <v>2764</v>
      </c>
      <c r="L127" s="15" t="s">
        <v>2744</v>
      </c>
    </row>
    <row r="128" ht="56.25" customHeight="1">
      <c r="A128" s="13" t="s">
        <v>3898</v>
      </c>
      <c r="B128" s="15" t="str">
        <f>image("https://i.imgur.com/XqsG5vE.png")</f>
        <v/>
      </c>
      <c r="C128" s="33" t="str">
        <f>HYPERLINK("https://imgur.com/a/4MQ4s5D","Yes")</f>
        <v>Yes</v>
      </c>
      <c r="D128" s="15"/>
      <c r="E128" s="13">
        <v>1680.0</v>
      </c>
      <c r="F128" s="13">
        <v>420.0</v>
      </c>
      <c r="G128" s="15">
        <v>9870.0</v>
      </c>
      <c r="H128" s="15" t="s">
        <v>38</v>
      </c>
      <c r="I128" s="15" t="s">
        <v>43</v>
      </c>
      <c r="J128" s="15" t="s">
        <v>2749</v>
      </c>
      <c r="K128" s="15" t="s">
        <v>2764</v>
      </c>
      <c r="L128" s="15" t="s">
        <v>384</v>
      </c>
    </row>
    <row r="129" ht="56.25" customHeight="1">
      <c r="A129" s="13" t="s">
        <v>3899</v>
      </c>
      <c r="B129" s="15" t="str">
        <f>image("https://imgur.com/9YCQmda.png")</f>
        <v/>
      </c>
      <c r="C129" s="15" t="s">
        <v>40</v>
      </c>
      <c r="D129" s="15" t="s">
        <v>50</v>
      </c>
      <c r="E129" s="24" t="s">
        <v>51</v>
      </c>
      <c r="F129" s="13">
        <v>1000.0</v>
      </c>
      <c r="G129" s="15">
        <v>9874.0</v>
      </c>
      <c r="H129" s="15" t="s">
        <v>38</v>
      </c>
      <c r="I129" s="15" t="s">
        <v>54</v>
      </c>
      <c r="J129" s="15" t="s">
        <v>55</v>
      </c>
      <c r="K129" s="15"/>
      <c r="L129" s="15" t="s">
        <v>384</v>
      </c>
    </row>
    <row r="130" ht="56.25" customHeight="1">
      <c r="A130" s="13" t="s">
        <v>3900</v>
      </c>
      <c r="B130" s="15" t="str">
        <f>image("https://imgur.com/Ia3BLm6.png")</f>
        <v/>
      </c>
      <c r="C130" s="15" t="s">
        <v>40</v>
      </c>
      <c r="D130" s="25" t="s">
        <v>50</v>
      </c>
      <c r="E130" s="24" t="s">
        <v>51</v>
      </c>
      <c r="F130" s="13">
        <v>1000.0</v>
      </c>
      <c r="G130" s="15">
        <v>9872.0</v>
      </c>
      <c r="H130" s="15" t="s">
        <v>38</v>
      </c>
      <c r="I130" s="15" t="s">
        <v>54</v>
      </c>
      <c r="J130" s="15" t="s">
        <v>55</v>
      </c>
      <c r="K130" s="15"/>
      <c r="L130" s="15" t="s">
        <v>384</v>
      </c>
    </row>
    <row r="131" ht="56.25" customHeight="1">
      <c r="A131" s="13" t="s">
        <v>3902</v>
      </c>
      <c r="B131" s="15" t="str">
        <f>image("https://imgur.com/ICcdyRQ.png")</f>
        <v/>
      </c>
      <c r="C131" s="15" t="s">
        <v>40</v>
      </c>
      <c r="D131" s="25" t="s">
        <v>28</v>
      </c>
      <c r="E131" s="24" t="s">
        <v>51</v>
      </c>
      <c r="F131" s="13">
        <v>800.0</v>
      </c>
      <c r="G131" s="15">
        <v>5819.0</v>
      </c>
      <c r="H131" s="15" t="s">
        <v>38</v>
      </c>
      <c r="I131" s="15" t="s">
        <v>54</v>
      </c>
      <c r="J131" s="15" t="s">
        <v>574</v>
      </c>
      <c r="K131" s="15"/>
      <c r="L131" s="15" t="s">
        <v>2756</v>
      </c>
    </row>
    <row r="132" ht="56.25" customHeight="1">
      <c r="A132" s="13" t="s">
        <v>3903</v>
      </c>
      <c r="B132" s="15" t="str">
        <f>image("https://i.imgur.com/1Q9Ay5w.png")</f>
        <v/>
      </c>
      <c r="C132" s="33" t="str">
        <f>HYPERLINK("https://imgur.com/a/STsmUJA","Yes")</f>
        <v>Yes</v>
      </c>
      <c r="D132" s="25" t="s">
        <v>28</v>
      </c>
      <c r="E132" s="13">
        <v>1120.0</v>
      </c>
      <c r="F132" s="13">
        <v>280.0</v>
      </c>
      <c r="G132" s="15">
        <v>5362.0</v>
      </c>
      <c r="H132" s="15" t="s">
        <v>38</v>
      </c>
      <c r="I132" s="15" t="s">
        <v>43</v>
      </c>
      <c r="J132" s="15" t="s">
        <v>2749</v>
      </c>
      <c r="K132" s="15" t="s">
        <v>2764</v>
      </c>
      <c r="L132" s="15" t="s">
        <v>2756</v>
      </c>
    </row>
    <row r="133" ht="56.25" customHeight="1">
      <c r="A133" s="13" t="s">
        <v>3904</v>
      </c>
      <c r="B133" s="15" t="str">
        <f>image("https://i.imgur.com/RecpEjb.png")</f>
        <v/>
      </c>
      <c r="C133" s="33" t="str">
        <f>HYPERLINK("https://imgur.com/a/tP0DyTP","Yes")</f>
        <v>Yes</v>
      </c>
      <c r="D133" s="15"/>
      <c r="E133" s="13">
        <v>1680.0</v>
      </c>
      <c r="F133" s="13">
        <v>420.0</v>
      </c>
      <c r="G133" s="15">
        <v>8612.0</v>
      </c>
      <c r="H133" s="15" t="s">
        <v>38</v>
      </c>
      <c r="I133" s="15" t="s">
        <v>43</v>
      </c>
      <c r="J133" s="15" t="s">
        <v>2749</v>
      </c>
      <c r="K133" s="15" t="s">
        <v>2751</v>
      </c>
      <c r="L133" s="15" t="s">
        <v>2793</v>
      </c>
    </row>
    <row r="134" ht="56.25" customHeight="1">
      <c r="A134" s="13" t="s">
        <v>3905</v>
      </c>
      <c r="B134" s="15" t="str">
        <f>image("https://imgur.com/7SX09nE.png")</f>
        <v/>
      </c>
      <c r="C134" s="15" t="s">
        <v>40</v>
      </c>
      <c r="D134" s="15"/>
      <c r="E134" s="13">
        <v>700.0</v>
      </c>
      <c r="F134" s="13">
        <v>175.0</v>
      </c>
      <c r="G134" s="15">
        <v>5279.0</v>
      </c>
      <c r="H134" s="15" t="s">
        <v>38</v>
      </c>
      <c r="I134" s="15" t="s">
        <v>43</v>
      </c>
      <c r="J134" s="15" t="s">
        <v>2749</v>
      </c>
      <c r="K134" s="15" t="s">
        <v>2764</v>
      </c>
      <c r="L134" s="15" t="s">
        <v>384</v>
      </c>
    </row>
    <row r="135" ht="56.25" customHeight="1">
      <c r="A135" s="13" t="s">
        <v>3907</v>
      </c>
      <c r="B135" s="15" t="str">
        <f>image("https://i.imgur.com/kr3AC70.png")</f>
        <v/>
      </c>
      <c r="C135" s="33" t="str">
        <f>HYPERLINK("https://imgur.com/a/3o7IMeh","Yes")</f>
        <v>Yes</v>
      </c>
      <c r="D135" s="15" t="s">
        <v>28</v>
      </c>
      <c r="E135" s="13">
        <v>560.0</v>
      </c>
      <c r="F135" s="13">
        <v>140.0</v>
      </c>
      <c r="G135" s="15">
        <v>5148.0</v>
      </c>
      <c r="H135" s="15" t="s">
        <v>38</v>
      </c>
      <c r="I135" s="15" t="s">
        <v>43</v>
      </c>
      <c r="J135" s="15" t="s">
        <v>2749</v>
      </c>
      <c r="K135" s="15" t="s">
        <v>2764</v>
      </c>
      <c r="L135" s="15" t="s">
        <v>2744</v>
      </c>
    </row>
    <row r="136" ht="56.25" customHeight="1">
      <c r="A136" s="13" t="s">
        <v>3908</v>
      </c>
      <c r="B136" s="15" t="str">
        <f>image("https://imgur.com/9rtTR4Z.png")</f>
        <v/>
      </c>
      <c r="C136" s="15" t="s">
        <v>40</v>
      </c>
      <c r="D136" s="15"/>
      <c r="E136" s="13">
        <v>1680.0</v>
      </c>
      <c r="F136" s="13">
        <v>420.0</v>
      </c>
      <c r="G136" s="15">
        <v>5141.0</v>
      </c>
      <c r="H136" s="15" t="s">
        <v>38</v>
      </c>
      <c r="I136" s="15" t="s">
        <v>43</v>
      </c>
      <c r="J136" s="15" t="s">
        <v>2749</v>
      </c>
      <c r="K136" s="15" t="s">
        <v>2751</v>
      </c>
      <c r="L136" s="15" t="s">
        <v>2793</v>
      </c>
    </row>
    <row r="137" ht="56.25" customHeight="1">
      <c r="A137" s="13" t="s">
        <v>3909</v>
      </c>
      <c r="B137" s="15" t="str">
        <f>image("https://i.imgur.com/nWT0udV.png")</f>
        <v/>
      </c>
      <c r="C137" s="33" t="str">
        <f>HYPERLINK("https://imgur.com/a/9Q6dCDz","Yes")</f>
        <v>Yes</v>
      </c>
      <c r="D137" s="15"/>
      <c r="E137" s="13">
        <v>880.0</v>
      </c>
      <c r="F137" s="13">
        <v>220.0</v>
      </c>
      <c r="G137" s="15">
        <v>6054.0</v>
      </c>
      <c r="H137" s="15" t="s">
        <v>38</v>
      </c>
      <c r="I137" s="15" t="s">
        <v>43</v>
      </c>
      <c r="J137" s="15" t="s">
        <v>2749</v>
      </c>
      <c r="K137" s="15" t="s">
        <v>2764</v>
      </c>
      <c r="L137" s="15" t="s">
        <v>384</v>
      </c>
    </row>
    <row r="138" ht="56.25" customHeight="1">
      <c r="A138" s="13" t="s">
        <v>3911</v>
      </c>
      <c r="B138" s="15" t="str">
        <f>image("https://imgur.com/6BmkZ2O.png")</f>
        <v/>
      </c>
      <c r="C138" s="15" t="s">
        <v>40</v>
      </c>
      <c r="D138" s="25" t="s">
        <v>28</v>
      </c>
      <c r="E138" s="13">
        <v>1280.0</v>
      </c>
      <c r="F138" s="13">
        <v>320.0</v>
      </c>
      <c r="G138" s="15">
        <v>5689.0</v>
      </c>
      <c r="H138" s="15" t="s">
        <v>38</v>
      </c>
      <c r="I138" s="15" t="s">
        <v>43</v>
      </c>
      <c r="J138" s="15" t="s">
        <v>2749</v>
      </c>
      <c r="K138" s="15" t="s">
        <v>2751</v>
      </c>
      <c r="L138" s="15" t="s">
        <v>2756</v>
      </c>
    </row>
    <row r="139" ht="56.25" customHeight="1">
      <c r="A139" s="13" t="s">
        <v>3912</v>
      </c>
      <c r="B139" s="15" t="str">
        <f>image("https://i.imgur.com/FDILIdq.png")</f>
        <v/>
      </c>
      <c r="C139" s="33" t="str">
        <f>HYPERLINK("https://imgur.com/a/WGx1XHu","Yes")</f>
        <v>Yes</v>
      </c>
      <c r="D139" s="25" t="s">
        <v>28</v>
      </c>
      <c r="E139" s="13">
        <v>3220.0</v>
      </c>
      <c r="F139" s="13">
        <v>805.0</v>
      </c>
      <c r="G139" s="15">
        <v>5697.0</v>
      </c>
      <c r="H139" s="15" t="s">
        <v>38</v>
      </c>
      <c r="I139" s="15" t="s">
        <v>43</v>
      </c>
      <c r="J139" s="15" t="s">
        <v>2749</v>
      </c>
      <c r="K139" s="15" t="s">
        <v>2751</v>
      </c>
      <c r="L139" s="15" t="s">
        <v>2793</v>
      </c>
    </row>
    <row r="140" ht="56.25" customHeight="1">
      <c r="A140" s="13" t="s">
        <v>3914</v>
      </c>
      <c r="B140" s="15" t="str">
        <f>image("https://imgur.com/L6FazYy.png")</f>
        <v/>
      </c>
      <c r="C140" s="15" t="s">
        <v>40</v>
      </c>
      <c r="D140" s="25" t="s">
        <v>50</v>
      </c>
      <c r="E140" s="24" t="s">
        <v>51</v>
      </c>
      <c r="F140" s="13">
        <v>2880.0</v>
      </c>
      <c r="G140" s="15">
        <v>5098.0</v>
      </c>
      <c r="H140" s="15" t="s">
        <v>38</v>
      </c>
      <c r="I140" s="15" t="s">
        <v>54</v>
      </c>
      <c r="J140" s="15" t="s">
        <v>55</v>
      </c>
      <c r="K140" s="15"/>
      <c r="L140" s="15" t="s">
        <v>384</v>
      </c>
    </row>
    <row r="141" ht="56.25" customHeight="1">
      <c r="A141" s="13" t="s">
        <v>3916</v>
      </c>
      <c r="B141" s="15" t="str">
        <f>image("https://imgur.com/58iGwP4.png")</f>
        <v/>
      </c>
      <c r="C141" s="15" t="s">
        <v>40</v>
      </c>
      <c r="D141" s="25" t="s">
        <v>50</v>
      </c>
      <c r="E141" s="24" t="s">
        <v>51</v>
      </c>
      <c r="F141" s="13">
        <v>2880.0</v>
      </c>
      <c r="G141" s="15">
        <v>5107.0</v>
      </c>
      <c r="H141" s="15" t="s">
        <v>38</v>
      </c>
      <c r="I141" s="15" t="s">
        <v>54</v>
      </c>
      <c r="J141" s="15" t="s">
        <v>55</v>
      </c>
      <c r="K141" s="15"/>
      <c r="L141" s="15" t="s">
        <v>384</v>
      </c>
    </row>
    <row r="142" ht="56.25" customHeight="1">
      <c r="A142" s="13" t="s">
        <v>3918</v>
      </c>
      <c r="B142" s="15" t="str">
        <f>image("https://imgur.com/UkXBvjw.png")</f>
        <v/>
      </c>
      <c r="C142" s="15" t="s">
        <v>40</v>
      </c>
      <c r="D142" s="25" t="s">
        <v>50</v>
      </c>
      <c r="E142" s="24" t="s">
        <v>51</v>
      </c>
      <c r="F142" s="13">
        <v>2880.0</v>
      </c>
      <c r="G142" s="15">
        <v>5101.0</v>
      </c>
      <c r="H142" s="15" t="s">
        <v>38</v>
      </c>
      <c r="I142" s="15" t="s">
        <v>54</v>
      </c>
      <c r="J142" s="15" t="s">
        <v>55</v>
      </c>
      <c r="K142" s="15"/>
      <c r="L142" s="15" t="s">
        <v>384</v>
      </c>
    </row>
    <row r="143" ht="56.25" customHeight="1">
      <c r="A143" s="13" t="s">
        <v>3920</v>
      </c>
      <c r="B143" s="15" t="str">
        <f>image("https://i.imgur.com/ul0KbSv.png")</f>
        <v/>
      </c>
      <c r="C143" s="33" t="str">
        <f>HYPERLINK("https://imgur.com/a/L0MMy3d","Yes")</f>
        <v>Yes</v>
      </c>
      <c r="D143" s="15"/>
      <c r="E143" s="13">
        <v>1040.0</v>
      </c>
      <c r="F143" s="13">
        <v>260.0</v>
      </c>
      <c r="G143" s="15">
        <v>5443.0</v>
      </c>
      <c r="H143" s="15" t="s">
        <v>38</v>
      </c>
      <c r="I143" s="15" t="s">
        <v>43</v>
      </c>
      <c r="J143" s="15" t="s">
        <v>2749</v>
      </c>
      <c r="K143" s="15" t="s">
        <v>2751</v>
      </c>
      <c r="L143" s="15" t="s">
        <v>2756</v>
      </c>
    </row>
    <row r="144" ht="56.25" customHeight="1">
      <c r="A144" s="13" t="s">
        <v>3921</v>
      </c>
      <c r="B144" s="15" t="str">
        <f>image("https://i.imgur.com/PXmFrHW.png")</f>
        <v/>
      </c>
      <c r="C144" s="33" t="str">
        <f>HYPERLINK("https://imgur.com/a/KSLRV3w","Yes")</f>
        <v>Yes</v>
      </c>
      <c r="D144" s="25" t="s">
        <v>28</v>
      </c>
      <c r="E144" s="13">
        <v>880.0</v>
      </c>
      <c r="F144" s="13">
        <v>220.0</v>
      </c>
      <c r="G144" s="15">
        <v>7394.0</v>
      </c>
      <c r="H144" s="15" t="s">
        <v>38</v>
      </c>
      <c r="I144" s="15" t="s">
        <v>43</v>
      </c>
      <c r="J144" s="15" t="s">
        <v>2749</v>
      </c>
      <c r="K144" s="15" t="s">
        <v>2764</v>
      </c>
      <c r="L144" s="15" t="s">
        <v>2744</v>
      </c>
    </row>
    <row r="145" ht="56.25" customHeight="1">
      <c r="A145" s="13" t="s">
        <v>3922</v>
      </c>
      <c r="B145" s="15" t="str">
        <f>image("https://i.imgur.com/ZY30xxB.png")</f>
        <v/>
      </c>
      <c r="C145" s="33" t="str">
        <f>HYPERLINK("https://imgur.com/a/mKtd3Qi","Yes")</f>
        <v>Yes</v>
      </c>
      <c r="D145" s="15" t="s">
        <v>28</v>
      </c>
      <c r="E145" s="13">
        <v>490.0</v>
      </c>
      <c r="F145" s="13">
        <v>122.0</v>
      </c>
      <c r="G145" s="15">
        <v>2609.0</v>
      </c>
      <c r="H145" s="15" t="s">
        <v>38</v>
      </c>
      <c r="I145" s="15" t="s">
        <v>43</v>
      </c>
      <c r="J145" s="15" t="s">
        <v>2749</v>
      </c>
      <c r="K145" s="15" t="s">
        <v>2764</v>
      </c>
      <c r="L145" s="15" t="s">
        <v>384</v>
      </c>
    </row>
    <row r="146" ht="56.25" customHeight="1">
      <c r="A146" s="13" t="s">
        <v>3923</v>
      </c>
      <c r="B146" s="15" t="str">
        <f>image("https://i.imgur.com/E496HLX.png")</f>
        <v/>
      </c>
      <c r="C146" s="33" t="str">
        <f>HYPERLINK("https://imgur.com/a/Y8vNzld","Yes")</f>
        <v>Yes</v>
      </c>
      <c r="D146" s="15"/>
      <c r="E146" s="13">
        <v>700.0</v>
      </c>
      <c r="F146" s="13">
        <v>175.0</v>
      </c>
      <c r="G146" s="15">
        <v>9868.0</v>
      </c>
      <c r="H146" s="15" t="s">
        <v>38</v>
      </c>
      <c r="I146" s="15" t="s">
        <v>43</v>
      </c>
      <c r="J146" s="15" t="s">
        <v>2749</v>
      </c>
      <c r="K146" s="15" t="s">
        <v>2764</v>
      </c>
      <c r="L146" s="15" t="s">
        <v>384</v>
      </c>
    </row>
    <row r="147" ht="56.25" customHeight="1">
      <c r="A147" s="13" t="s">
        <v>3924</v>
      </c>
      <c r="B147" s="15" t="str">
        <f>image("https://i.imgur.com/wgpv63E.png")</f>
        <v/>
      </c>
      <c r="C147" s="33" t="str">
        <f>HYPERLINK("https://imgur.com/a/wWc1wkY","Yes")</f>
        <v>Yes</v>
      </c>
      <c r="D147" s="15"/>
      <c r="E147" s="13">
        <v>490.0</v>
      </c>
      <c r="F147" s="13">
        <v>122.0</v>
      </c>
      <c r="G147" s="15">
        <v>7273.0</v>
      </c>
      <c r="H147" s="15" t="s">
        <v>38</v>
      </c>
      <c r="I147" s="15" t="s">
        <v>43</v>
      </c>
      <c r="J147" s="15" t="s">
        <v>2749</v>
      </c>
      <c r="K147" s="15" t="s">
        <v>2751</v>
      </c>
      <c r="L147" s="15" t="s">
        <v>384</v>
      </c>
    </row>
    <row r="148" ht="56.25" customHeight="1">
      <c r="A148" s="13" t="s">
        <v>3927</v>
      </c>
      <c r="B148" s="15" t="str">
        <f>image("https://imgur.com/BrcWs4Z.png")</f>
        <v/>
      </c>
      <c r="C148" s="15" t="s">
        <v>40</v>
      </c>
      <c r="D148" s="25" t="s">
        <v>50</v>
      </c>
      <c r="E148" s="24" t="s">
        <v>51</v>
      </c>
      <c r="F148" s="13">
        <v>480.0</v>
      </c>
      <c r="G148" s="15">
        <v>5111.0</v>
      </c>
      <c r="H148" s="15" t="s">
        <v>38</v>
      </c>
      <c r="I148" s="15" t="s">
        <v>54</v>
      </c>
      <c r="J148" s="15" t="s">
        <v>55</v>
      </c>
      <c r="K148" s="15"/>
      <c r="L148" s="15" t="s">
        <v>384</v>
      </c>
    </row>
    <row r="149" ht="56.25" customHeight="1">
      <c r="A149" s="13" t="s">
        <v>3929</v>
      </c>
      <c r="B149" s="15" t="str">
        <f>image("https://imgur.com/Z5A3Lvd.png")</f>
        <v/>
      </c>
      <c r="C149" s="15" t="s">
        <v>40</v>
      </c>
      <c r="D149" s="15"/>
      <c r="E149" s="13">
        <v>1200000.0</v>
      </c>
      <c r="F149" s="65">
        <v>300000.0</v>
      </c>
      <c r="G149" s="15">
        <v>5307.0</v>
      </c>
      <c r="H149" s="15" t="s">
        <v>38</v>
      </c>
      <c r="I149" s="15" t="s">
        <v>43</v>
      </c>
      <c r="J149" s="15" t="s">
        <v>2749</v>
      </c>
      <c r="K149" s="15" t="s">
        <v>2751</v>
      </c>
      <c r="L149" s="15" t="s">
        <v>852</v>
      </c>
    </row>
    <row r="150" ht="56.25" customHeight="1">
      <c r="A150" s="13" t="s">
        <v>3930</v>
      </c>
      <c r="B150" s="15" t="str">
        <f>image("https://i.imgur.com/t7FEIYg.png")</f>
        <v/>
      </c>
      <c r="C150" s="33" t="str">
        <f>HYPERLINK("https://imgur.com/a/znznWNS","Yes")</f>
        <v>Yes</v>
      </c>
      <c r="D150" s="15" t="s">
        <v>28</v>
      </c>
      <c r="E150" s="13">
        <v>770.0</v>
      </c>
      <c r="F150" s="13">
        <v>192.0</v>
      </c>
      <c r="G150" s="15">
        <v>5139.0</v>
      </c>
      <c r="H150" s="15" t="s">
        <v>38</v>
      </c>
      <c r="I150" s="15" t="s">
        <v>43</v>
      </c>
      <c r="J150" s="15" t="s">
        <v>2749</v>
      </c>
      <c r="K150" s="15" t="s">
        <v>2764</v>
      </c>
      <c r="L150" s="15" t="s">
        <v>2793</v>
      </c>
    </row>
    <row r="151" ht="56.25" customHeight="1">
      <c r="A151" s="13" t="s">
        <v>3931</v>
      </c>
      <c r="B151" s="15" t="str">
        <f>image("https://i.imgur.com/gwk1omg.png")</f>
        <v/>
      </c>
      <c r="C151" s="33" t="str">
        <f>HYPERLINK("https://imgur.com/a/ECy7DrP","Yes")</f>
        <v>Yes</v>
      </c>
      <c r="D151" s="15"/>
      <c r="E151" s="13">
        <v>1680.0</v>
      </c>
      <c r="F151" s="13">
        <v>420.0</v>
      </c>
      <c r="G151" s="15">
        <v>5265.0</v>
      </c>
      <c r="H151" s="15" t="s">
        <v>38</v>
      </c>
      <c r="I151" s="15" t="s">
        <v>43</v>
      </c>
      <c r="J151" s="15" t="s">
        <v>2749</v>
      </c>
      <c r="K151" s="15" t="s">
        <v>2751</v>
      </c>
      <c r="L151" s="15" t="s">
        <v>2744</v>
      </c>
    </row>
    <row r="152" ht="56.25" customHeight="1">
      <c r="A152" s="13" t="s">
        <v>3933</v>
      </c>
      <c r="B152" s="15" t="str">
        <f>image("https://i.imgur.com/2AaAnD1.png")</f>
        <v/>
      </c>
      <c r="C152" s="33" t="str">
        <f>HYPERLINK("https://imgur.com/a/cvk9jmz","Yes")</f>
        <v>Yes</v>
      </c>
      <c r="D152" s="15"/>
      <c r="E152" s="13">
        <v>5880.0</v>
      </c>
      <c r="F152" s="13">
        <v>1470.0</v>
      </c>
      <c r="G152" s="15">
        <v>5386.0</v>
      </c>
      <c r="H152" s="15" t="s">
        <v>38</v>
      </c>
      <c r="I152" s="15" t="s">
        <v>43</v>
      </c>
      <c r="J152" s="15" t="s">
        <v>2749</v>
      </c>
      <c r="K152" s="15" t="s">
        <v>2751</v>
      </c>
      <c r="L152" s="15" t="s">
        <v>2793</v>
      </c>
    </row>
    <row r="153" ht="56.25" customHeight="1">
      <c r="A153" s="13" t="s">
        <v>3934</v>
      </c>
      <c r="B153" s="15" t="str">
        <f>image("https://imgur.com/8GgEywQ.png")</f>
        <v/>
      </c>
      <c r="C153" s="25" t="s">
        <v>40</v>
      </c>
      <c r="D153" s="15"/>
      <c r="E153" s="13">
        <v>3200.0</v>
      </c>
      <c r="F153" s="13">
        <v>800.0</v>
      </c>
      <c r="G153" s="15">
        <v>5690.0</v>
      </c>
      <c r="H153" s="15" t="s">
        <v>38</v>
      </c>
      <c r="I153" s="15" t="s">
        <v>54</v>
      </c>
      <c r="J153" s="15" t="s">
        <v>574</v>
      </c>
      <c r="K153" s="15"/>
      <c r="L153" s="15" t="s">
        <v>2863</v>
      </c>
    </row>
    <row r="154" ht="56.25" customHeight="1">
      <c r="A154" s="13" t="s">
        <v>3936</v>
      </c>
      <c r="B154" s="15" t="str">
        <f>image("https://i.imgur.com/ULHHiC9.png")</f>
        <v/>
      </c>
      <c r="C154" s="33" t="str">
        <f>HYPERLINK("https://imgur.com/a/3kJGDjS","Yes")</f>
        <v>Yes</v>
      </c>
      <c r="D154" s="15"/>
      <c r="E154" s="13">
        <v>3010.0</v>
      </c>
      <c r="F154" s="13">
        <v>752.0</v>
      </c>
      <c r="G154" s="15">
        <v>5137.0</v>
      </c>
      <c r="H154" s="15" t="s">
        <v>38</v>
      </c>
      <c r="I154" s="15" t="s">
        <v>43</v>
      </c>
      <c r="J154" s="15" t="s">
        <v>2749</v>
      </c>
      <c r="K154" s="15" t="s">
        <v>2751</v>
      </c>
      <c r="L154" s="15" t="s">
        <v>2744</v>
      </c>
    </row>
    <row r="155" ht="56.25" customHeight="1">
      <c r="A155" s="13" t="s">
        <v>3938</v>
      </c>
      <c r="B155" s="15" t="str">
        <f>image("https://i.imgur.com/qRQjnh6.png")</f>
        <v/>
      </c>
      <c r="C155" s="33" t="str">
        <f>HYPERLINK("https://imgur.com/a/PB06VSA","Yes")</f>
        <v>Yes</v>
      </c>
      <c r="D155" s="15"/>
      <c r="E155" s="13">
        <v>560.0</v>
      </c>
      <c r="F155" s="13">
        <v>140.0</v>
      </c>
      <c r="G155" s="15">
        <v>4739.0</v>
      </c>
      <c r="H155" s="15" t="s">
        <v>38</v>
      </c>
      <c r="I155" s="15" t="s">
        <v>43</v>
      </c>
      <c r="J155" s="15" t="s">
        <v>2749</v>
      </c>
      <c r="K155" s="15" t="s">
        <v>2751</v>
      </c>
      <c r="L155" s="15" t="s">
        <v>2744</v>
      </c>
    </row>
    <row r="156" ht="56.25" customHeight="1">
      <c r="A156" s="13" t="s">
        <v>3940</v>
      </c>
      <c r="B156" s="15" t="str">
        <f>image("https://i.imgur.com/W8BeIp0.png")</f>
        <v/>
      </c>
      <c r="C156" s="33" t="str">
        <f>HYPERLINK("https://imgur.com/a/s73a9nP","Yes")</f>
        <v>Yes</v>
      </c>
      <c r="D156" s="25" t="s">
        <v>28</v>
      </c>
      <c r="E156" s="13">
        <v>560.0</v>
      </c>
      <c r="F156" s="13">
        <v>140.0</v>
      </c>
      <c r="G156" s="15">
        <v>5329.0</v>
      </c>
      <c r="H156" s="15" t="s">
        <v>38</v>
      </c>
      <c r="I156" s="15" t="s">
        <v>43</v>
      </c>
      <c r="J156" s="15" t="s">
        <v>2749</v>
      </c>
      <c r="K156" s="15" t="s">
        <v>2764</v>
      </c>
      <c r="L156" s="15" t="s">
        <v>2744</v>
      </c>
    </row>
    <row r="157" ht="56.25" customHeight="1">
      <c r="A157" s="24" t="s">
        <v>3942</v>
      </c>
      <c r="B157" s="15" t="str">
        <f>image("https://i.imgur.com/MQx1YYO.png")</f>
        <v/>
      </c>
      <c r="C157" s="33" t="str">
        <f>HYPERLINK("https://imgur.com/a/qE5iYBF","Yes")</f>
        <v>Yes</v>
      </c>
      <c r="D157" s="25" t="s">
        <v>28</v>
      </c>
      <c r="E157" s="13">
        <v>980.0</v>
      </c>
      <c r="F157" s="13">
        <v>245.0</v>
      </c>
      <c r="G157" s="15">
        <v>5465.0</v>
      </c>
      <c r="H157" s="15" t="s">
        <v>38</v>
      </c>
      <c r="I157" s="15" t="s">
        <v>43</v>
      </c>
      <c r="J157" s="15" t="s">
        <v>2749</v>
      </c>
      <c r="K157" s="15" t="s">
        <v>2751</v>
      </c>
      <c r="L157" s="15" t="s">
        <v>384</v>
      </c>
    </row>
    <row r="158" ht="56.25" customHeight="1">
      <c r="A158" s="13" t="s">
        <v>3944</v>
      </c>
      <c r="B158" s="15" t="str">
        <f>image("https://i.imgur.com/Zln8cgH.png")</f>
        <v/>
      </c>
      <c r="C158" s="33" t="str">
        <f>HYPERLINK("https://imgur.com/a/7ad5Ua0","Yes")</f>
        <v>Yes</v>
      </c>
      <c r="D158" s="25" t="s">
        <v>28</v>
      </c>
      <c r="E158" s="24" t="s">
        <v>51</v>
      </c>
      <c r="F158" s="13">
        <v>500.0</v>
      </c>
      <c r="G158" s="15">
        <v>5284.0</v>
      </c>
      <c r="H158" s="15" t="s">
        <v>38</v>
      </c>
      <c r="I158" s="15" t="s">
        <v>54</v>
      </c>
      <c r="J158" s="15" t="s">
        <v>574</v>
      </c>
      <c r="K158" s="15"/>
      <c r="L158" s="15" t="s">
        <v>2863</v>
      </c>
    </row>
    <row r="159" ht="56.25" customHeight="1">
      <c r="A159" s="13" t="s">
        <v>3945</v>
      </c>
      <c r="B159" s="15" t="str">
        <f>image("https://imgur.com/zZPUONd.png")</f>
        <v/>
      </c>
      <c r="C159" s="15" t="s">
        <v>40</v>
      </c>
      <c r="D159" s="25" t="s">
        <v>50</v>
      </c>
      <c r="E159" s="24" t="s">
        <v>51</v>
      </c>
      <c r="F159" s="13">
        <v>2880.0</v>
      </c>
      <c r="G159" s="15">
        <v>5119.0</v>
      </c>
      <c r="H159" s="15" t="s">
        <v>38</v>
      </c>
      <c r="I159" s="15" t="s">
        <v>54</v>
      </c>
      <c r="J159" s="15" t="s">
        <v>55</v>
      </c>
      <c r="K159" s="15"/>
      <c r="L159" s="15" t="s">
        <v>384</v>
      </c>
    </row>
    <row r="160" ht="56.25" customHeight="1">
      <c r="A160" s="13" t="s">
        <v>3946</v>
      </c>
      <c r="B160" s="15" t="str">
        <f>image("https://i.imgur.com/OvRQuep.png")</f>
        <v/>
      </c>
      <c r="C160" s="33" t="str">
        <f>HYPERLINK("https://imgur.com/a/KRlB8sy","Yes")</f>
        <v>Yes</v>
      </c>
      <c r="D160" s="15"/>
      <c r="E160" s="13">
        <v>880.0</v>
      </c>
      <c r="F160" s="13">
        <v>220.0</v>
      </c>
      <c r="G160" s="15">
        <v>9863.0</v>
      </c>
      <c r="H160" s="15" t="s">
        <v>38</v>
      </c>
      <c r="I160" s="15" t="s">
        <v>43</v>
      </c>
      <c r="J160" s="15" t="s">
        <v>2749</v>
      </c>
      <c r="K160" s="15" t="s">
        <v>2751</v>
      </c>
      <c r="L160" s="15" t="s">
        <v>2793</v>
      </c>
    </row>
    <row r="161" ht="56.25" customHeight="1">
      <c r="A161" s="13" t="s">
        <v>3947</v>
      </c>
      <c r="B161" s="15" t="str">
        <f>image("https://imgur.com/PcI1otX.png")</f>
        <v/>
      </c>
      <c r="C161" s="15" t="s">
        <v>40</v>
      </c>
      <c r="D161" s="15"/>
      <c r="E161" s="13">
        <v>1400.0</v>
      </c>
      <c r="F161" s="13">
        <v>350.0</v>
      </c>
      <c r="G161" s="15">
        <v>5328.0</v>
      </c>
      <c r="H161" s="15" t="s">
        <v>38</v>
      </c>
      <c r="I161" s="15" t="s">
        <v>43</v>
      </c>
      <c r="J161" s="15" t="s">
        <v>2749</v>
      </c>
      <c r="K161" s="15" t="s">
        <v>2751</v>
      </c>
      <c r="L161" s="15" t="s">
        <v>2756</v>
      </c>
    </row>
    <row r="162" ht="56.25" customHeight="1">
      <c r="A162" s="13" t="s">
        <v>3948</v>
      </c>
      <c r="B162" s="15" t="str">
        <f>image("https://i.imgur.com/DwcBd17.png")</f>
        <v/>
      </c>
      <c r="C162" s="33" t="str">
        <f>HYPERLINK("https://imgur.com/a/UxKrRoa","Yes")</f>
        <v>Yes</v>
      </c>
      <c r="D162" s="25" t="s">
        <v>28</v>
      </c>
      <c r="E162" s="13">
        <v>560.0</v>
      </c>
      <c r="F162" s="13">
        <v>140.0</v>
      </c>
      <c r="G162" s="15">
        <v>5327.0</v>
      </c>
      <c r="H162" s="15" t="s">
        <v>38</v>
      </c>
      <c r="I162" s="15" t="s">
        <v>43</v>
      </c>
      <c r="J162" s="15" t="s">
        <v>2749</v>
      </c>
      <c r="K162" s="15" t="s">
        <v>2764</v>
      </c>
      <c r="L162" s="15" t="s">
        <v>2756</v>
      </c>
    </row>
    <row r="163" ht="56.25" customHeight="1">
      <c r="A163" s="13" t="s">
        <v>3950</v>
      </c>
      <c r="B163" s="15" t="str">
        <f>image("https://imgur.com/oEu3O8Y.png")</f>
        <v/>
      </c>
      <c r="C163" s="15" t="s">
        <v>40</v>
      </c>
      <c r="D163" s="15" t="s">
        <v>50</v>
      </c>
      <c r="E163" s="24" t="s">
        <v>51</v>
      </c>
      <c r="F163" s="24">
        <v>800.0</v>
      </c>
      <c r="G163" s="15"/>
      <c r="H163" s="15" t="s">
        <v>38</v>
      </c>
      <c r="I163" s="15" t="s">
        <v>54</v>
      </c>
      <c r="J163" s="15" t="s">
        <v>55</v>
      </c>
      <c r="K163" s="15"/>
      <c r="L163" s="15"/>
    </row>
    <row r="164" ht="56.25" customHeight="1">
      <c r="A164" s="13" t="s">
        <v>3952</v>
      </c>
      <c r="B164" s="15" t="str">
        <f>image("https://i.imgur.com/mxqmy9g.png")</f>
        <v/>
      </c>
      <c r="C164" s="33" t="str">
        <f>HYPERLINK("https://imgur.com/a/3uyx9cL","Yes")</f>
        <v>Yes</v>
      </c>
      <c r="D164" s="25" t="s">
        <v>28</v>
      </c>
      <c r="E164" s="13">
        <v>1820.0</v>
      </c>
      <c r="F164" s="13">
        <v>455.0</v>
      </c>
      <c r="G164" s="15">
        <v>7286.0</v>
      </c>
      <c r="H164" s="15" t="s">
        <v>38</v>
      </c>
      <c r="I164" s="15" t="s">
        <v>43</v>
      </c>
      <c r="J164" s="15" t="s">
        <v>2749</v>
      </c>
      <c r="K164" s="15" t="s">
        <v>2751</v>
      </c>
      <c r="L164" s="15" t="s">
        <v>384</v>
      </c>
    </row>
    <row r="165" ht="56.25" customHeight="1">
      <c r="A165" s="13" t="s">
        <v>3954</v>
      </c>
      <c r="B165" s="15" t="str">
        <f>image("https://imgur.com/SQXMMD2.png")</f>
        <v/>
      </c>
      <c r="C165" s="15" t="s">
        <v>40</v>
      </c>
      <c r="D165" s="25" t="s">
        <v>50</v>
      </c>
      <c r="E165" s="24" t="s">
        <v>51</v>
      </c>
      <c r="F165" s="13">
        <v>7000.0</v>
      </c>
      <c r="G165" s="15">
        <v>8609.0</v>
      </c>
      <c r="H165" s="15" t="s">
        <v>38</v>
      </c>
      <c r="I165" s="15" t="s">
        <v>54</v>
      </c>
      <c r="J165" s="15" t="s">
        <v>55</v>
      </c>
      <c r="K165" s="15" t="s">
        <v>1057</v>
      </c>
      <c r="L165" s="15" t="s">
        <v>384</v>
      </c>
    </row>
    <row r="166" ht="56.25" customHeight="1">
      <c r="A166" s="13" t="s">
        <v>3955</v>
      </c>
      <c r="B166" s="15" t="str">
        <f>image("https://i.imgur.com/q4LHtGt.png")</f>
        <v/>
      </c>
      <c r="C166" s="33" t="str">
        <f>HYPERLINK("https://imgur.com/a/CC2Bby1","Yes")</f>
        <v>Yes</v>
      </c>
      <c r="D166" s="15"/>
      <c r="E166" s="13">
        <v>700.0</v>
      </c>
      <c r="F166" s="13">
        <v>175.0</v>
      </c>
      <c r="G166" s="15">
        <v>5408.0</v>
      </c>
      <c r="H166" s="15" t="s">
        <v>38</v>
      </c>
      <c r="I166" s="15" t="s">
        <v>43</v>
      </c>
      <c r="J166" s="15" t="s">
        <v>2749</v>
      </c>
      <c r="K166" s="15" t="s">
        <v>2764</v>
      </c>
      <c r="L166" s="15" t="s">
        <v>2744</v>
      </c>
    </row>
    <row r="167" ht="56.25" customHeight="1">
      <c r="A167" s="13" t="s">
        <v>3956</v>
      </c>
      <c r="B167" s="15" t="str">
        <f>image("https://i.imgur.com/Vifmxbh.png")</f>
        <v/>
      </c>
      <c r="C167" s="33" t="str">
        <f>HYPERLINK("https://imgur.com/a/kPgGOQg","Yes")</f>
        <v>Yes</v>
      </c>
      <c r="D167" s="15"/>
      <c r="E167" s="13">
        <v>630.0</v>
      </c>
      <c r="F167" s="13">
        <v>157.0</v>
      </c>
      <c r="G167" s="15">
        <v>6998.0</v>
      </c>
      <c r="H167" s="15" t="s">
        <v>38</v>
      </c>
      <c r="I167" s="15" t="s">
        <v>43</v>
      </c>
      <c r="J167" s="15" t="s">
        <v>2749</v>
      </c>
      <c r="K167" s="15" t="s">
        <v>2751</v>
      </c>
      <c r="L167" s="15" t="s">
        <v>384</v>
      </c>
    </row>
    <row r="168" ht="56.25" customHeight="1">
      <c r="A168" s="13" t="s">
        <v>3957</v>
      </c>
      <c r="B168" s="15" t="str">
        <f>image("https://i.imgur.com/SfHCR8L.png")</f>
        <v/>
      </c>
      <c r="C168" s="33" t="str">
        <f>HYPERLINK("https://imgur.com/a/lN6oPdU","Yes")</f>
        <v>Yes</v>
      </c>
      <c r="D168" s="15" t="s">
        <v>28</v>
      </c>
      <c r="E168" s="24" t="s">
        <v>51</v>
      </c>
      <c r="F168" s="13">
        <v>500.0</v>
      </c>
      <c r="G168" s="15">
        <v>5138.0</v>
      </c>
      <c r="H168" s="15" t="s">
        <v>38</v>
      </c>
      <c r="I168" s="15" t="s">
        <v>54</v>
      </c>
      <c r="J168" s="15" t="s">
        <v>574</v>
      </c>
      <c r="K168" s="15"/>
      <c r="L168" s="15" t="s">
        <v>2793</v>
      </c>
    </row>
    <row r="169" ht="56.25" customHeight="1">
      <c r="A169" s="13" t="s">
        <v>3958</v>
      </c>
      <c r="B169" s="15" t="str">
        <f>image("https://imgur.com/tXP6OI2.png")</f>
        <v/>
      </c>
      <c r="C169" s="15" t="s">
        <v>40</v>
      </c>
      <c r="D169" s="25" t="s">
        <v>28</v>
      </c>
      <c r="E169" s="13">
        <v>4300.0</v>
      </c>
      <c r="F169" s="13">
        <v>1075.0</v>
      </c>
      <c r="G169" s="15">
        <v>5394.0</v>
      </c>
      <c r="H169" s="15" t="s">
        <v>38</v>
      </c>
      <c r="I169" s="15" t="s">
        <v>43</v>
      </c>
      <c r="J169" s="15" t="s">
        <v>2749</v>
      </c>
      <c r="K169" s="15" t="s">
        <v>2751</v>
      </c>
      <c r="L169" s="15" t="s">
        <v>2793</v>
      </c>
    </row>
    <row r="170" ht="56.25" customHeight="1">
      <c r="A170" s="13" t="s">
        <v>3959</v>
      </c>
      <c r="B170" s="15" t="str">
        <f>image("https://i.imgur.com/P9dWQo8.png")</f>
        <v/>
      </c>
      <c r="C170" s="33" t="str">
        <f>HYPERLINK("https://imgur.com/a/STitxba","Yes")</f>
        <v>Yes</v>
      </c>
      <c r="D170" s="15"/>
      <c r="E170" s="13">
        <v>560.0</v>
      </c>
      <c r="F170" s="13">
        <v>140.0</v>
      </c>
      <c r="G170" s="15">
        <v>5305.0</v>
      </c>
      <c r="H170" s="15" t="s">
        <v>38</v>
      </c>
      <c r="I170" s="15" t="s">
        <v>43</v>
      </c>
      <c r="J170" s="15" t="s">
        <v>2749</v>
      </c>
      <c r="K170" s="15" t="s">
        <v>2751</v>
      </c>
      <c r="L170" s="15" t="s">
        <v>2744</v>
      </c>
    </row>
    <row r="171" ht="56.25" customHeight="1">
      <c r="A171" s="13" t="s">
        <v>3962</v>
      </c>
      <c r="B171" s="15" t="str">
        <f>image("https://imgur.com/6VcA6vx.png")</f>
        <v/>
      </c>
      <c r="C171" s="15" t="s">
        <v>40</v>
      </c>
      <c r="D171" s="15"/>
      <c r="E171" s="13">
        <v>980.0</v>
      </c>
      <c r="F171" s="13">
        <v>245.0</v>
      </c>
      <c r="G171" s="15">
        <v>6053.0</v>
      </c>
      <c r="H171" s="15" t="s">
        <v>38</v>
      </c>
      <c r="I171" s="15" t="s">
        <v>43</v>
      </c>
      <c r="J171" s="15" t="s">
        <v>2749</v>
      </c>
      <c r="K171" s="15" t="s">
        <v>2751</v>
      </c>
      <c r="L171" s="15" t="s">
        <v>2756</v>
      </c>
    </row>
    <row r="172" ht="56.25" customHeight="1">
      <c r="A172" s="13" t="s">
        <v>3963</v>
      </c>
      <c r="B172" s="15" t="str">
        <f>image("https://i.imgur.com/2qyAVw3.png")</f>
        <v/>
      </c>
      <c r="C172" s="33" t="str">
        <f>HYPERLINK("https://imgur.com/a/PTi6Pu0","Yes")</f>
        <v>Yes</v>
      </c>
      <c r="D172" s="15"/>
      <c r="E172" s="13">
        <v>350.0</v>
      </c>
      <c r="F172" s="13">
        <v>87.0</v>
      </c>
      <c r="G172" s="15">
        <v>9856.0</v>
      </c>
      <c r="H172" s="15" t="s">
        <v>38</v>
      </c>
      <c r="I172" s="15" t="s">
        <v>43</v>
      </c>
      <c r="J172" s="15" t="s">
        <v>2749</v>
      </c>
      <c r="K172" s="15" t="s">
        <v>2764</v>
      </c>
      <c r="L172" s="15" t="s">
        <v>384</v>
      </c>
    </row>
    <row r="173" ht="56.25" customHeight="1">
      <c r="A173" s="13" t="s">
        <v>3964</v>
      </c>
      <c r="B173" s="15" t="str">
        <f>image("https://imgur.com/wSe3KZF.png")</f>
        <v/>
      </c>
      <c r="C173" s="15" t="s">
        <v>40</v>
      </c>
      <c r="D173" s="25" t="s">
        <v>50</v>
      </c>
      <c r="E173" s="24" t="s">
        <v>51</v>
      </c>
      <c r="F173" s="13">
        <v>2500.0</v>
      </c>
      <c r="G173" s="15">
        <v>9862.0</v>
      </c>
      <c r="H173" s="15" t="s">
        <v>38</v>
      </c>
      <c r="I173" s="15" t="s">
        <v>54</v>
      </c>
      <c r="J173" s="15" t="s">
        <v>55</v>
      </c>
      <c r="K173" s="15"/>
      <c r="L173" s="15" t="s">
        <v>384</v>
      </c>
    </row>
    <row r="174" ht="56.25" customHeight="1">
      <c r="A174" s="13" t="s">
        <v>3966</v>
      </c>
      <c r="B174" s="15" t="str">
        <f>image("https://imgur.com/b47f6wy.png")</f>
        <v/>
      </c>
      <c r="C174" s="15" t="s">
        <v>40</v>
      </c>
      <c r="D174" s="15" t="s">
        <v>50</v>
      </c>
      <c r="E174" s="24" t="s">
        <v>51</v>
      </c>
      <c r="F174" s="24">
        <v>800.0</v>
      </c>
      <c r="G174" s="15"/>
      <c r="H174" s="15" t="s">
        <v>38</v>
      </c>
      <c r="I174" s="15" t="s">
        <v>54</v>
      </c>
      <c r="J174" s="15" t="s">
        <v>55</v>
      </c>
      <c r="K174" s="15"/>
      <c r="L174" s="15"/>
    </row>
    <row r="175" ht="56.25" customHeight="1">
      <c r="A175" s="13" t="s">
        <v>3967</v>
      </c>
      <c r="B175" s="15" t="str">
        <f>image("https://i.imgur.com/5SsrZcZ.png")</f>
        <v/>
      </c>
      <c r="C175" s="33" t="str">
        <f>HYPERLINK("https://imgur.com/a/VfUQEdv","Yes")</f>
        <v>Yes</v>
      </c>
      <c r="D175" s="25" t="s">
        <v>28</v>
      </c>
      <c r="E175" s="13">
        <v>700.0</v>
      </c>
      <c r="F175" s="13">
        <v>175.0</v>
      </c>
      <c r="G175" s="15">
        <v>5259.0</v>
      </c>
      <c r="H175" s="15" t="s">
        <v>38</v>
      </c>
      <c r="I175" s="15" t="s">
        <v>43</v>
      </c>
      <c r="J175" s="15" t="s">
        <v>2749</v>
      </c>
      <c r="K175" s="15" t="s">
        <v>2764</v>
      </c>
      <c r="L175" s="15" t="s">
        <v>2744</v>
      </c>
    </row>
    <row r="176" ht="56.25" customHeight="1">
      <c r="A176" s="13" t="s">
        <v>3968</v>
      </c>
      <c r="B176" s="15" t="str">
        <f>image("https://i.imgur.com/LF7CkWg.png")</f>
        <v/>
      </c>
      <c r="C176" s="33" t="str">
        <f>HYPERLINK("https://imgur.com/a/wLA1wcy","Yes")</f>
        <v>Yes</v>
      </c>
      <c r="D176" s="15"/>
      <c r="E176" s="13">
        <v>490.0</v>
      </c>
      <c r="F176" s="13">
        <v>122.0</v>
      </c>
      <c r="G176" s="15">
        <v>5398.0</v>
      </c>
      <c r="H176" s="15" t="s">
        <v>38</v>
      </c>
      <c r="I176" s="15" t="s">
        <v>43</v>
      </c>
      <c r="J176" s="15" t="s">
        <v>2749</v>
      </c>
      <c r="K176" s="15" t="s">
        <v>2764</v>
      </c>
      <c r="L176" s="15" t="s">
        <v>2744</v>
      </c>
    </row>
    <row r="177" ht="56.25" customHeight="1">
      <c r="A177" s="13" t="s">
        <v>3969</v>
      </c>
      <c r="B177" s="15" t="str">
        <f>image("https://imgur.com/4mVzNTo.png")</f>
        <v/>
      </c>
      <c r="C177" s="15" t="s">
        <v>40</v>
      </c>
      <c r="D177" s="25" t="s">
        <v>50</v>
      </c>
      <c r="E177" s="24" t="s">
        <v>51</v>
      </c>
      <c r="F177" s="13">
        <v>200.0</v>
      </c>
      <c r="G177" s="15">
        <v>7254.0</v>
      </c>
      <c r="H177" s="15" t="s">
        <v>38</v>
      </c>
      <c r="I177" s="15" t="s">
        <v>54</v>
      </c>
      <c r="J177" s="15" t="s">
        <v>55</v>
      </c>
      <c r="K177" s="15"/>
      <c r="L177" s="15" t="s">
        <v>2756</v>
      </c>
    </row>
    <row r="178" ht="56.25" customHeight="1">
      <c r="A178" s="13" t="s">
        <v>3970</v>
      </c>
      <c r="B178" s="15" t="str">
        <f>image("https://imgur.com/epFegW3.png")</f>
        <v/>
      </c>
      <c r="C178" s="15" t="s">
        <v>40</v>
      </c>
      <c r="D178" s="15"/>
      <c r="E178" s="13">
        <v>700.0</v>
      </c>
      <c r="F178" s="13">
        <v>175.0</v>
      </c>
      <c r="G178" s="15">
        <v>5277.0</v>
      </c>
      <c r="H178" s="15" t="s">
        <v>38</v>
      </c>
      <c r="I178" s="15" t="s">
        <v>43</v>
      </c>
      <c r="J178" s="15" t="s">
        <v>2749</v>
      </c>
      <c r="K178" s="15" t="s">
        <v>2764</v>
      </c>
      <c r="L178" s="15" t="s">
        <v>384</v>
      </c>
    </row>
    <row r="179" ht="56.25" customHeight="1">
      <c r="A179" s="13" t="s">
        <v>3972</v>
      </c>
      <c r="B179" s="15" t="str">
        <f>image("https://i.imgur.com/3xN9zqO.png")</f>
        <v/>
      </c>
      <c r="C179" s="33" t="str">
        <f>HYPERLINK("https://imgur.com/a/zMYIWzw","Yes")</f>
        <v>Yes</v>
      </c>
      <c r="D179" s="25" t="s">
        <v>28</v>
      </c>
      <c r="E179" s="13">
        <v>1040.0</v>
      </c>
      <c r="F179" s="13">
        <v>260.0</v>
      </c>
      <c r="G179" s="15">
        <v>8613.0</v>
      </c>
      <c r="H179" s="15" t="s">
        <v>38</v>
      </c>
      <c r="I179" s="15" t="s">
        <v>43</v>
      </c>
      <c r="J179" s="15" t="s">
        <v>2749</v>
      </c>
      <c r="K179" s="15" t="s">
        <v>2751</v>
      </c>
      <c r="L179" s="15" t="s">
        <v>2744</v>
      </c>
    </row>
    <row r="180" ht="56.25" customHeight="1">
      <c r="A180" s="13" t="s">
        <v>3973</v>
      </c>
      <c r="B180" s="15" t="str">
        <f>image("https://i.imgur.com/r7v4zR3.png")</f>
        <v/>
      </c>
      <c r="C180" s="33" t="str">
        <f>HYPERLINK("https://imgur.com/a/N5TXtNp","Yes")</f>
        <v>Yes</v>
      </c>
      <c r="D180" s="15"/>
      <c r="E180" s="13">
        <v>880.0</v>
      </c>
      <c r="F180" s="13">
        <v>220.0</v>
      </c>
      <c r="G180" s="15">
        <v>5281.0</v>
      </c>
      <c r="H180" s="15" t="s">
        <v>38</v>
      </c>
      <c r="I180" s="15" t="s">
        <v>43</v>
      </c>
      <c r="J180" s="15" t="s">
        <v>2749</v>
      </c>
      <c r="K180" s="15" t="s">
        <v>2751</v>
      </c>
      <c r="L180" s="15" t="s">
        <v>2744</v>
      </c>
    </row>
    <row r="181" ht="56.25" customHeight="1">
      <c r="A181" s="13" t="s">
        <v>3975</v>
      </c>
      <c r="B181" s="15" t="str">
        <f>image("https://i.imgur.com/OQYNkFQ.png")</f>
        <v/>
      </c>
      <c r="C181" s="33" t="str">
        <f>HYPERLINK("https://imgur.com/a/JFCkfVe","Yes")</f>
        <v>Yes</v>
      </c>
      <c r="D181" s="15"/>
      <c r="E181" s="13">
        <v>560.0</v>
      </c>
      <c r="F181" s="13">
        <v>140.0</v>
      </c>
      <c r="G181" s="15">
        <v>5283.0</v>
      </c>
      <c r="H181" s="15" t="s">
        <v>38</v>
      </c>
      <c r="I181" s="15" t="s">
        <v>43</v>
      </c>
      <c r="J181" s="15" t="s">
        <v>2749</v>
      </c>
      <c r="K181" s="15" t="s">
        <v>2764</v>
      </c>
      <c r="L181" s="15" t="s">
        <v>2793</v>
      </c>
    </row>
    <row r="182" ht="56.25" customHeight="1">
      <c r="A182" s="13" t="s">
        <v>3976</v>
      </c>
      <c r="B182" s="15" t="str">
        <f>image("https://i.imgur.com/ghMHBiX.png")</f>
        <v/>
      </c>
      <c r="C182" s="33" t="str">
        <f>HYPERLINK("https://imgur.com/a/QjQTsmB","Yes")</f>
        <v>Yes</v>
      </c>
      <c r="D182" s="25" t="s">
        <v>28</v>
      </c>
      <c r="E182" s="24" t="s">
        <v>51</v>
      </c>
      <c r="F182" s="13">
        <v>500.0</v>
      </c>
      <c r="G182" s="15">
        <v>6055.0</v>
      </c>
      <c r="H182" s="15" t="s">
        <v>38</v>
      </c>
      <c r="I182" s="15" t="s">
        <v>54</v>
      </c>
      <c r="J182" s="15" t="s">
        <v>574</v>
      </c>
      <c r="K182" s="15"/>
      <c r="L182" s="15" t="s">
        <v>2863</v>
      </c>
    </row>
    <row r="183" ht="56.25" customHeight="1">
      <c r="A183" s="13" t="s">
        <v>3977</v>
      </c>
      <c r="B183" s="15" t="str">
        <f>image("https://i.imgur.com/SGUdmpR.png")</f>
        <v/>
      </c>
      <c r="C183" s="33" t="str">
        <f>HYPERLINK("https://imgur.com/a/HwbnCtI","Yes")</f>
        <v>Yes</v>
      </c>
      <c r="D183" s="15" t="s">
        <v>28</v>
      </c>
      <c r="E183" s="13">
        <v>490.0</v>
      </c>
      <c r="F183" s="13">
        <v>122.0</v>
      </c>
      <c r="G183" s="15">
        <v>5311.0</v>
      </c>
      <c r="H183" s="15" t="s">
        <v>38</v>
      </c>
      <c r="I183" s="15" t="s">
        <v>43</v>
      </c>
      <c r="J183" s="15" t="s">
        <v>2749</v>
      </c>
      <c r="K183" s="15" t="s">
        <v>2764</v>
      </c>
      <c r="L183" s="15" t="s">
        <v>2744</v>
      </c>
    </row>
    <row r="184" ht="56.25" customHeight="1">
      <c r="A184" s="13" t="s">
        <v>3978</v>
      </c>
      <c r="B184" s="15" t="str">
        <f>image("https://i.imgur.com/OgR0Rkh.png")</f>
        <v/>
      </c>
      <c r="C184" s="33" t="str">
        <f>HYPERLINK("https://imgur.com/a/U67OtYA","Yes")</f>
        <v>Yes</v>
      </c>
      <c r="D184" s="15"/>
      <c r="E184" s="13">
        <v>840.0</v>
      </c>
      <c r="F184" s="13">
        <v>210.0</v>
      </c>
      <c r="G184" s="15">
        <v>5304.0</v>
      </c>
      <c r="H184" s="15" t="s">
        <v>38</v>
      </c>
      <c r="I184" s="15" t="s">
        <v>43</v>
      </c>
      <c r="J184" s="15" t="s">
        <v>2749</v>
      </c>
      <c r="K184" s="15" t="s">
        <v>2751</v>
      </c>
      <c r="L184" s="15" t="s">
        <v>384</v>
      </c>
    </row>
    <row r="185" ht="56.25" customHeight="1">
      <c r="A185" s="13" t="s">
        <v>3979</v>
      </c>
      <c r="B185" s="15" t="str">
        <f>image("https://i.imgur.com/rGnCA0y.png")</f>
        <v/>
      </c>
      <c r="C185" s="33" t="str">
        <f>HYPERLINK("https://imgur.com/a/rTQVJyh","Yes")</f>
        <v>Yes</v>
      </c>
      <c r="D185" s="15"/>
      <c r="E185" s="13">
        <v>4300.0</v>
      </c>
      <c r="F185" s="13">
        <v>1075.0</v>
      </c>
      <c r="G185" s="15">
        <v>7412.0</v>
      </c>
      <c r="H185" s="15" t="s">
        <v>38</v>
      </c>
      <c r="I185" s="15" t="s">
        <v>43</v>
      </c>
      <c r="J185" s="15" t="s">
        <v>2749</v>
      </c>
      <c r="K185" s="15" t="s">
        <v>2751</v>
      </c>
      <c r="L185" s="15" t="s">
        <v>2863</v>
      </c>
    </row>
    <row r="186" ht="56.25" customHeight="1">
      <c r="A186" s="13" t="s">
        <v>3981</v>
      </c>
      <c r="B186" s="15" t="str">
        <f>image("https://i.imgur.com/k050bRh.png")</f>
        <v/>
      </c>
      <c r="C186" s="33" t="str">
        <f>HYPERLINK("https://imgur.com/a/apIpeqP","Yes")</f>
        <v>Yes</v>
      </c>
      <c r="D186" s="15"/>
      <c r="E186" s="13">
        <v>2940.0</v>
      </c>
      <c r="F186" s="13">
        <v>735.0</v>
      </c>
      <c r="G186" s="15">
        <v>6092.0</v>
      </c>
      <c r="H186" s="15" t="s">
        <v>38</v>
      </c>
      <c r="I186" s="15" t="s">
        <v>43</v>
      </c>
      <c r="J186" s="15" t="s">
        <v>2749</v>
      </c>
      <c r="K186" s="15" t="s">
        <v>2751</v>
      </c>
      <c r="L186" s="15" t="s">
        <v>852</v>
      </c>
    </row>
    <row r="187" ht="56.25" customHeight="1">
      <c r="A187" s="13" t="s">
        <v>3983</v>
      </c>
      <c r="B187" s="15" t="str">
        <f>image("https://i.imgur.com/MV2q2pU.png")</f>
        <v/>
      </c>
      <c r="C187" s="33" t="str">
        <f>HYPERLINK("https://imgur.com/a/LjKnsOR","Yes")</f>
        <v>Yes</v>
      </c>
      <c r="D187" s="15"/>
      <c r="E187" s="13">
        <v>2100.0</v>
      </c>
      <c r="F187" s="13">
        <v>525.0</v>
      </c>
      <c r="G187" s="15">
        <v>5129.0</v>
      </c>
      <c r="H187" s="15" t="s">
        <v>38</v>
      </c>
      <c r="I187" s="15" t="s">
        <v>43</v>
      </c>
      <c r="J187" s="15" t="s">
        <v>2749</v>
      </c>
      <c r="K187" s="15" t="s">
        <v>2751</v>
      </c>
      <c r="L187" s="15" t="s">
        <v>2863</v>
      </c>
    </row>
    <row r="188" ht="56.25" customHeight="1">
      <c r="A188" s="13" t="s">
        <v>3984</v>
      </c>
      <c r="B188" s="15" t="str">
        <f>image("https://i.imgur.com/6L9ZtH8.png")</f>
        <v/>
      </c>
      <c r="C188" s="33" t="str">
        <f>HYPERLINK("https://imgur.com/a/s2nPY4J","Yes")</f>
        <v>Yes</v>
      </c>
      <c r="D188" s="15"/>
      <c r="E188" s="13">
        <v>700.0</v>
      </c>
      <c r="F188" s="13">
        <v>175.0</v>
      </c>
      <c r="G188" s="15">
        <v>11061.0</v>
      </c>
      <c r="H188" s="15" t="s">
        <v>38</v>
      </c>
      <c r="I188" s="15" t="s">
        <v>43</v>
      </c>
      <c r="J188" s="15" t="s">
        <v>2749</v>
      </c>
      <c r="K188" s="15" t="s">
        <v>2764</v>
      </c>
      <c r="L188" s="15" t="s">
        <v>2793</v>
      </c>
    </row>
    <row r="189" ht="56.25" customHeight="1">
      <c r="A189" s="13" t="s">
        <v>3985</v>
      </c>
      <c r="B189" s="15" t="str">
        <f>image("https://i.imgur.com/eaOMYrF.png")</f>
        <v/>
      </c>
      <c r="C189" s="33" t="str">
        <f>HYPERLINK("https://imgur.com/a/u80cDte","Yes")</f>
        <v>Yes</v>
      </c>
      <c r="D189" s="25" t="s">
        <v>28</v>
      </c>
      <c r="E189" s="24" t="s">
        <v>51</v>
      </c>
      <c r="F189" s="13">
        <v>500.0</v>
      </c>
      <c r="G189" s="15">
        <v>10913.0</v>
      </c>
      <c r="H189" s="15" t="s">
        <v>38</v>
      </c>
      <c r="I189" s="15" t="s">
        <v>54</v>
      </c>
      <c r="J189" s="15" t="s">
        <v>574</v>
      </c>
      <c r="K189" s="15"/>
      <c r="L189" s="15" t="s">
        <v>852</v>
      </c>
    </row>
    <row r="190" ht="56.25" customHeight="1">
      <c r="A190" s="13" t="s">
        <v>3986</v>
      </c>
      <c r="B190" s="15" t="str">
        <f>image("https://imgur.com/sixqZZU.png")</f>
        <v/>
      </c>
      <c r="C190" s="25" t="s">
        <v>40</v>
      </c>
      <c r="D190" s="25" t="s">
        <v>50</v>
      </c>
      <c r="E190" s="24" t="s">
        <v>51</v>
      </c>
      <c r="F190" s="13">
        <v>400.0</v>
      </c>
      <c r="G190" s="15">
        <v>5102.0</v>
      </c>
      <c r="H190" s="15" t="s">
        <v>38</v>
      </c>
      <c r="I190" s="15" t="s">
        <v>54</v>
      </c>
      <c r="J190" s="15" t="s">
        <v>55</v>
      </c>
      <c r="K190" s="15"/>
      <c r="L190" s="15" t="s">
        <v>384</v>
      </c>
    </row>
    <row r="191" ht="56.25" customHeight="1">
      <c r="A191" s="13" t="s">
        <v>3987</v>
      </c>
      <c r="B191" s="15" t="str">
        <f>image("https://i.imgur.com/kjYI2oY.png")</f>
        <v/>
      </c>
      <c r="C191" s="33" t="str">
        <f>HYPERLINK("https://imgur.com/a/RsVaygP","Yes")</f>
        <v>Yes</v>
      </c>
      <c r="D191" s="25" t="s">
        <v>28</v>
      </c>
      <c r="E191" s="13">
        <v>630.0</v>
      </c>
      <c r="F191" s="13">
        <v>157.0</v>
      </c>
      <c r="G191" s="15">
        <v>5293.0</v>
      </c>
      <c r="H191" s="15" t="s">
        <v>38</v>
      </c>
      <c r="I191" s="15" t="s">
        <v>43</v>
      </c>
      <c r="J191" s="15" t="s">
        <v>2749</v>
      </c>
      <c r="K191" s="15" t="s">
        <v>2764</v>
      </c>
      <c r="L191" s="15" t="s">
        <v>2744</v>
      </c>
    </row>
    <row r="192" ht="56.25" customHeight="1">
      <c r="A192" s="13" t="s">
        <v>3988</v>
      </c>
      <c r="B192" s="15" t="str">
        <f>image("https://i.imgur.com/ij3hCfM.png")</f>
        <v/>
      </c>
      <c r="C192" s="33" t="str">
        <f>HYPERLINK("https://imgur.com/a/7EpIK06","Yes")</f>
        <v>Yes</v>
      </c>
      <c r="D192" s="25" t="s">
        <v>28</v>
      </c>
      <c r="E192" s="24" t="s">
        <v>51</v>
      </c>
      <c r="F192" s="13">
        <v>800.0</v>
      </c>
      <c r="G192" s="15">
        <v>5434.0</v>
      </c>
      <c r="H192" s="15" t="s">
        <v>38</v>
      </c>
      <c r="I192" s="15" t="s">
        <v>54</v>
      </c>
      <c r="J192" s="15" t="s">
        <v>574</v>
      </c>
      <c r="K192" s="15"/>
      <c r="L192" s="15" t="s">
        <v>2863</v>
      </c>
    </row>
    <row r="193" ht="56.25" customHeight="1">
      <c r="A193" s="13" t="s">
        <v>3990</v>
      </c>
      <c r="B193" s="15" t="str">
        <f>image("https://i.imgur.com/gMQsQUJ.png")</f>
        <v/>
      </c>
      <c r="C193" s="33" t="str">
        <f>HYPERLINK("https://imgur.com/a/cLTxCO1","Yes")</f>
        <v>Yes</v>
      </c>
      <c r="D193" s="15"/>
      <c r="E193" s="13">
        <v>1100.0</v>
      </c>
      <c r="F193" s="13">
        <v>275.0</v>
      </c>
      <c r="G193" s="15">
        <v>9769.0</v>
      </c>
      <c r="H193" s="15" t="s">
        <v>38</v>
      </c>
      <c r="I193" s="15" t="s">
        <v>43</v>
      </c>
      <c r="J193" s="15" t="s">
        <v>2749</v>
      </c>
      <c r="K193" s="15" t="s">
        <v>2764</v>
      </c>
      <c r="L193" s="15" t="s">
        <v>2863</v>
      </c>
    </row>
    <row r="194" ht="56.25" customHeight="1">
      <c r="A194" s="13" t="s">
        <v>3991</v>
      </c>
      <c r="B194" s="15" t="str">
        <f>image("https://i.imgur.com/2rnJQlJ.png")</f>
        <v/>
      </c>
      <c r="C194" s="33" t="str">
        <f>HYPERLINK("https://imgur.com/a/GY6UKhY","Yes")</f>
        <v>Yes</v>
      </c>
      <c r="D194" s="25" t="s">
        <v>28</v>
      </c>
      <c r="E194" s="24" t="s">
        <v>51</v>
      </c>
      <c r="F194" s="13">
        <v>800.0</v>
      </c>
      <c r="G194" s="15">
        <v>5684.0</v>
      </c>
      <c r="H194" s="15" t="s">
        <v>38</v>
      </c>
      <c r="I194" s="15" t="s">
        <v>54</v>
      </c>
      <c r="J194" s="15" t="s">
        <v>574</v>
      </c>
      <c r="K194" s="15"/>
      <c r="L194" s="15" t="s">
        <v>2863</v>
      </c>
    </row>
    <row r="195" ht="56.25" customHeight="1">
      <c r="A195" s="13" t="s">
        <v>3993</v>
      </c>
      <c r="B195" s="15" t="str">
        <f>image("https://i.imgur.com/cRI302H.png")</f>
        <v/>
      </c>
      <c r="C195" s="33" t="str">
        <f>HYPERLINK("https://imgur.com/a/2322tuT","Yes")</f>
        <v>Yes</v>
      </c>
      <c r="D195" s="15"/>
      <c r="E195" s="13">
        <v>560.0</v>
      </c>
      <c r="F195" s="13">
        <v>140.0</v>
      </c>
      <c r="G195" s="15">
        <v>5669.0</v>
      </c>
      <c r="H195" s="15" t="s">
        <v>38</v>
      </c>
      <c r="I195" s="15" t="s">
        <v>43</v>
      </c>
      <c r="J195" s="15" t="s">
        <v>2749</v>
      </c>
      <c r="K195" s="15" t="s">
        <v>2764</v>
      </c>
      <c r="L195" s="15" t="s">
        <v>2793</v>
      </c>
    </row>
    <row r="196" ht="56.25" customHeight="1">
      <c r="A196" s="13" t="s">
        <v>3995</v>
      </c>
      <c r="B196" s="15" t="str">
        <f>image("https://i.imgur.com/PAqJGSi.png")</f>
        <v/>
      </c>
      <c r="C196" s="33" t="str">
        <f>HYPERLINK("https://imgur.com/a/Ay4EKL5","Yes")</f>
        <v>Yes</v>
      </c>
      <c r="D196" s="15"/>
      <c r="E196" s="13">
        <v>2100.0</v>
      </c>
      <c r="F196" s="13">
        <v>525.0</v>
      </c>
      <c r="G196" s="15">
        <v>5266.0</v>
      </c>
      <c r="H196" s="15" t="s">
        <v>38</v>
      </c>
      <c r="I196" s="15" t="s">
        <v>43</v>
      </c>
      <c r="J196" s="15" t="s">
        <v>2749</v>
      </c>
      <c r="K196" s="15" t="s">
        <v>2751</v>
      </c>
      <c r="L196" s="15" t="s">
        <v>2793</v>
      </c>
    </row>
    <row r="197" ht="56.25" customHeight="1">
      <c r="A197" s="13" t="s">
        <v>3996</v>
      </c>
      <c r="B197" s="15" t="str">
        <f>image("https://imgur.com/IbssYsF.png")</f>
        <v/>
      </c>
      <c r="C197" s="25" t="s">
        <v>40</v>
      </c>
      <c r="D197" s="15"/>
      <c r="E197" s="13">
        <v>1400.0</v>
      </c>
      <c r="F197" s="13">
        <v>350.0</v>
      </c>
      <c r="G197" s="15">
        <v>5832.0</v>
      </c>
      <c r="H197" s="15" t="s">
        <v>38</v>
      </c>
      <c r="I197" s="15" t="s">
        <v>43</v>
      </c>
      <c r="J197" s="15" t="s">
        <v>2749</v>
      </c>
      <c r="K197" s="15" t="s">
        <v>2751</v>
      </c>
      <c r="L197" s="15" t="s">
        <v>2756</v>
      </c>
    </row>
    <row r="198" ht="56.25" customHeight="1">
      <c r="A198" s="13" t="s">
        <v>3997</v>
      </c>
      <c r="B198" s="15" t="str">
        <f>image("https://imgur.com/5ZzJjD4.png")</f>
        <v/>
      </c>
      <c r="C198" s="15" t="s">
        <v>40</v>
      </c>
      <c r="D198" s="25" t="s">
        <v>50</v>
      </c>
      <c r="E198" s="24" t="s">
        <v>51</v>
      </c>
      <c r="F198" s="24">
        <v>800.0</v>
      </c>
      <c r="G198" s="15"/>
      <c r="H198" s="15" t="s">
        <v>38</v>
      </c>
      <c r="I198" s="15" t="s">
        <v>54</v>
      </c>
      <c r="J198" s="15" t="s">
        <v>55</v>
      </c>
      <c r="K198" s="15"/>
      <c r="L198" s="15"/>
    </row>
    <row r="199" ht="56.25" customHeight="1">
      <c r="A199" s="13" t="s">
        <v>3998</v>
      </c>
      <c r="B199" s="15" t="str">
        <f>image("https://imgur.com/IFX1FyB.png")</f>
        <v/>
      </c>
      <c r="C199" s="15" t="s">
        <v>40</v>
      </c>
      <c r="D199" s="15"/>
      <c r="E199" s="13">
        <v>980.0</v>
      </c>
      <c r="F199" s="13">
        <v>245.0</v>
      </c>
      <c r="G199" s="15">
        <v>5280.0</v>
      </c>
      <c r="H199" s="15" t="s">
        <v>38</v>
      </c>
      <c r="I199" s="15" t="s">
        <v>43</v>
      </c>
      <c r="J199" s="15" t="s">
        <v>2749</v>
      </c>
      <c r="K199" s="15" t="s">
        <v>2764</v>
      </c>
      <c r="L199" s="15" t="s">
        <v>384</v>
      </c>
    </row>
    <row r="200" ht="56.25" customHeight="1">
      <c r="A200" s="13" t="s">
        <v>3999</v>
      </c>
      <c r="B200" s="15" t="str">
        <f>image("https://imgur.com/pPRyaL4.png")</f>
        <v/>
      </c>
      <c r="C200" s="15" t="s">
        <v>40</v>
      </c>
      <c r="D200" s="15" t="s">
        <v>28</v>
      </c>
      <c r="E200" s="13">
        <v>1040.0</v>
      </c>
      <c r="F200" s="13">
        <v>260.0</v>
      </c>
      <c r="G200" s="15">
        <v>5381.0</v>
      </c>
      <c r="H200" s="15" t="s">
        <v>38</v>
      </c>
      <c r="I200" s="15" t="s">
        <v>43</v>
      </c>
      <c r="J200" s="15" t="s">
        <v>2749</v>
      </c>
      <c r="K200" s="15" t="s">
        <v>2751</v>
      </c>
      <c r="L200" s="15" t="s">
        <v>2793</v>
      </c>
    </row>
    <row r="201" ht="56.25" customHeight="1">
      <c r="A201" s="13" t="s">
        <v>4001</v>
      </c>
      <c r="B201" s="15" t="str">
        <f>image("https://i.imgur.com/mDQiw3K.png")</f>
        <v/>
      </c>
      <c r="C201" s="33" t="str">
        <f>HYPERLINK("https://imgur.com/a/Qsfh23q","Yes")</f>
        <v>Yes</v>
      </c>
      <c r="D201" s="15"/>
      <c r="E201" s="13">
        <v>1320.0</v>
      </c>
      <c r="F201" s="13">
        <v>330.0</v>
      </c>
      <c r="G201" s="15">
        <v>5297.0</v>
      </c>
      <c r="H201" s="15" t="s">
        <v>38</v>
      </c>
      <c r="I201" s="15" t="s">
        <v>43</v>
      </c>
      <c r="J201" s="15" t="s">
        <v>2749</v>
      </c>
      <c r="K201" s="15" t="s">
        <v>2764</v>
      </c>
      <c r="L201" s="15" t="s">
        <v>2863</v>
      </c>
    </row>
    <row r="202" ht="56.25" customHeight="1">
      <c r="A202" s="13" t="s">
        <v>4002</v>
      </c>
      <c r="B202" s="15" t="str">
        <f>image("https://imgur.com/DnTLBdj.png")</f>
        <v/>
      </c>
      <c r="C202" s="15" t="s">
        <v>40</v>
      </c>
      <c r="D202" s="15" t="s">
        <v>50</v>
      </c>
      <c r="E202" s="24" t="s">
        <v>51</v>
      </c>
      <c r="F202" s="13">
        <v>480.0</v>
      </c>
      <c r="G202" s="15">
        <v>5099.0</v>
      </c>
      <c r="H202" s="15" t="s">
        <v>38</v>
      </c>
      <c r="I202" s="15" t="s">
        <v>54</v>
      </c>
      <c r="J202" s="15" t="s">
        <v>55</v>
      </c>
      <c r="K202" s="15"/>
      <c r="L202" s="15" t="s">
        <v>384</v>
      </c>
    </row>
    <row r="203" ht="56.25" customHeight="1">
      <c r="A203" s="13" t="s">
        <v>4003</v>
      </c>
      <c r="B203" s="15" t="str">
        <f>image("https://i.imgur.com/yjusQaF.png")</f>
        <v/>
      </c>
      <c r="C203" s="33" t="str">
        <f>HYPERLINK("https://imgur.com/a/i8Jjx5y","Yes")</f>
        <v>Yes</v>
      </c>
      <c r="D203" s="15"/>
      <c r="E203" s="13">
        <v>880.0</v>
      </c>
      <c r="F203" s="13">
        <v>220.0</v>
      </c>
      <c r="G203" s="15">
        <v>5336.0</v>
      </c>
      <c r="H203" s="15" t="s">
        <v>38</v>
      </c>
      <c r="I203" s="15" t="s">
        <v>43</v>
      </c>
      <c r="J203" s="15" t="s">
        <v>2749</v>
      </c>
      <c r="K203" s="15" t="s">
        <v>2751</v>
      </c>
      <c r="L203" s="15" t="s">
        <v>2793</v>
      </c>
    </row>
    <row r="204" ht="56.25" customHeight="1">
      <c r="A204" s="13" t="s">
        <v>4005</v>
      </c>
      <c r="B204" s="15" t="str">
        <f>image("https://imgur.com/jZEeJ5c.png")</f>
        <v/>
      </c>
      <c r="C204" s="15" t="s">
        <v>40</v>
      </c>
      <c r="D204" s="25" t="s">
        <v>50</v>
      </c>
      <c r="E204" s="24" t="s">
        <v>51</v>
      </c>
      <c r="F204" s="24">
        <v>800.0</v>
      </c>
      <c r="G204" s="15"/>
      <c r="H204" s="15" t="s">
        <v>38</v>
      </c>
      <c r="I204" s="15" t="s">
        <v>54</v>
      </c>
      <c r="J204" s="15" t="s">
        <v>55</v>
      </c>
      <c r="K204" s="15"/>
      <c r="L204" s="15"/>
    </row>
    <row r="205" ht="56.25" customHeight="1">
      <c r="A205" s="13" t="s">
        <v>4006</v>
      </c>
      <c r="B205" s="15" t="str">
        <f>image("https://i.imgur.com/PFYoJ2z.png")</f>
        <v/>
      </c>
      <c r="C205" s="33" t="str">
        <f>HYPERLINK("https://imgur.com/a/MNTt34V","Yes")</f>
        <v>Yes</v>
      </c>
      <c r="D205" s="25" t="s">
        <v>28</v>
      </c>
      <c r="E205" s="13">
        <v>1120.0</v>
      </c>
      <c r="F205" s="13">
        <v>280.0</v>
      </c>
      <c r="G205" s="15">
        <v>5368.0</v>
      </c>
      <c r="H205" s="15" t="s">
        <v>38</v>
      </c>
      <c r="I205" s="15" t="s">
        <v>43</v>
      </c>
      <c r="J205" s="15" t="s">
        <v>2749</v>
      </c>
      <c r="K205" s="15" t="s">
        <v>2751</v>
      </c>
      <c r="L205" s="15" t="s">
        <v>2793</v>
      </c>
    </row>
    <row r="206" ht="56.25" customHeight="1">
      <c r="A206" s="24" t="s">
        <v>4007</v>
      </c>
      <c r="B206" s="15" t="str">
        <f>image("https://i.imgur.com/YGba7kJ.png")</f>
        <v/>
      </c>
      <c r="C206" s="33" t="str">
        <f>HYPERLINK("https://imgur.com/a/IgnC0Dh","Yes")</f>
        <v>Yes</v>
      </c>
      <c r="D206" s="25" t="s">
        <v>28</v>
      </c>
      <c r="E206" s="13">
        <v>1600.0</v>
      </c>
      <c r="F206" s="13">
        <v>400.0</v>
      </c>
      <c r="G206" s="15">
        <v>5423.0</v>
      </c>
      <c r="H206" s="15" t="s">
        <v>38</v>
      </c>
      <c r="I206" s="15" t="s">
        <v>43</v>
      </c>
      <c r="J206" s="15" t="s">
        <v>2749</v>
      </c>
      <c r="K206" s="15" t="s">
        <v>2751</v>
      </c>
      <c r="L206" s="15" t="s">
        <v>2793</v>
      </c>
    </row>
    <row r="207" ht="56.25" customHeight="1">
      <c r="A207" s="13" t="s">
        <v>4010</v>
      </c>
      <c r="B207" s="15" t="str">
        <f>image("https://i.imgur.com/NW7nkw7.png")</f>
        <v/>
      </c>
      <c r="C207" s="33" t="str">
        <f>HYPERLINK("https://imgur.com/a/tx5VZ6Y","Yes")</f>
        <v>Yes</v>
      </c>
      <c r="D207" s="15"/>
      <c r="E207" s="13">
        <v>4300.0</v>
      </c>
      <c r="F207" s="13">
        <v>1075.0</v>
      </c>
      <c r="G207" s="15">
        <v>8610.0</v>
      </c>
      <c r="H207" s="15" t="s">
        <v>38</v>
      </c>
      <c r="I207" s="15" t="s">
        <v>43</v>
      </c>
      <c r="J207" s="15" t="s">
        <v>2749</v>
      </c>
      <c r="K207" s="15" t="s">
        <v>2751</v>
      </c>
      <c r="L207" s="15" t="s">
        <v>384</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43"/>
    <col customWidth="1" min="2" max="2" width="10.86"/>
    <col customWidth="1" min="3" max="3" width="8.86"/>
    <col customWidth="1" min="4" max="4" width="4.29"/>
    <col customWidth="1" min="5" max="5" width="10.57"/>
    <col customWidth="1" min="6" max="6" width="5.14"/>
    <col customWidth="1" min="7" max="7" width="5.71"/>
    <col customWidth="1" min="8" max="8" width="10.57"/>
    <col customWidth="1" min="9" max="9" width="5.14"/>
    <col customWidth="1" min="10" max="10" width="19.14"/>
    <col customWidth="1" min="11" max="11" width="15.29"/>
    <col customWidth="1" min="12" max="12" width="55.43"/>
  </cols>
  <sheetData>
    <row r="1" ht="21.0" customHeight="1">
      <c r="A1" s="47" t="s">
        <v>0</v>
      </c>
      <c r="B1" s="3" t="s">
        <v>1</v>
      </c>
      <c r="C1" s="54" t="s">
        <v>3</v>
      </c>
      <c r="D1" s="55" t="s">
        <v>4</v>
      </c>
      <c r="E1" s="7" t="s">
        <v>18</v>
      </c>
      <c r="F1" s="1" t="s">
        <v>6</v>
      </c>
      <c r="G1" s="1" t="s">
        <v>7</v>
      </c>
      <c r="H1" s="7" t="s">
        <v>8</v>
      </c>
      <c r="I1" s="7" t="s">
        <v>12</v>
      </c>
      <c r="J1" s="7" t="s">
        <v>2739</v>
      </c>
      <c r="K1" s="7" t="s">
        <v>19</v>
      </c>
      <c r="L1" s="7" t="s">
        <v>20</v>
      </c>
    </row>
    <row r="2" ht="56.25" customHeight="1">
      <c r="A2" s="13" t="s">
        <v>3798</v>
      </c>
      <c r="B2" s="63" t="str">
        <f>image("https://storage.googleapis.com/acdb/accessories/AccessoryGlassThreed0.png")</f>
        <v/>
      </c>
      <c r="C2" s="15"/>
      <c r="D2" s="15" t="s">
        <v>28</v>
      </c>
      <c r="E2" s="15" t="s">
        <v>43</v>
      </c>
      <c r="F2" s="13">
        <v>490.0</v>
      </c>
      <c r="G2" s="13">
        <v>122.0</v>
      </c>
      <c r="H2" s="15">
        <v>4463.0</v>
      </c>
      <c r="I2" s="15" t="s">
        <v>38</v>
      </c>
      <c r="J2" s="15" t="s">
        <v>2793</v>
      </c>
      <c r="K2" s="15" t="s">
        <v>2749</v>
      </c>
      <c r="L2" s="15" t="s">
        <v>2751</v>
      </c>
    </row>
    <row r="3" ht="56.25" customHeight="1">
      <c r="A3" s="13" t="s">
        <v>3798</v>
      </c>
      <c r="B3" s="63" t="str">
        <f>image("https://storage.googleapis.com/acdb/accessories/AccessoryGlassThreed1.png")</f>
        <v/>
      </c>
      <c r="C3" s="15"/>
      <c r="D3" s="15" t="s">
        <v>28</v>
      </c>
      <c r="E3" s="15" t="s">
        <v>43</v>
      </c>
      <c r="F3" s="13">
        <v>490.0</v>
      </c>
      <c r="G3" s="13">
        <v>122.0</v>
      </c>
      <c r="H3" s="15">
        <v>4463.0</v>
      </c>
      <c r="I3" s="15" t="s">
        <v>38</v>
      </c>
      <c r="J3" s="15" t="s">
        <v>2793</v>
      </c>
      <c r="K3" s="15" t="s">
        <v>2749</v>
      </c>
      <c r="L3" s="15" t="s">
        <v>2751</v>
      </c>
    </row>
    <row r="4" ht="56.25" customHeight="1">
      <c r="A4" s="13" t="s">
        <v>3801</v>
      </c>
      <c r="B4" s="63" t="str">
        <f>image("https://storage.googleapis.com/acdb/accessories/AccessoryMouthBandageSkin.png")</f>
        <v/>
      </c>
      <c r="C4" s="15"/>
      <c r="D4" s="15" t="s">
        <v>28</v>
      </c>
      <c r="E4" s="15" t="s">
        <v>43</v>
      </c>
      <c r="F4" s="13">
        <v>140.0</v>
      </c>
      <c r="G4" s="13">
        <v>35.0</v>
      </c>
      <c r="H4" s="15">
        <v>4677.0</v>
      </c>
      <c r="I4" s="15" t="s">
        <v>38</v>
      </c>
      <c r="J4" s="15" t="s">
        <v>2793</v>
      </c>
      <c r="K4" s="15" t="s">
        <v>2749</v>
      </c>
      <c r="L4" s="15" t="s">
        <v>2764</v>
      </c>
    </row>
    <row r="5" ht="56.25" customHeight="1">
      <c r="A5" s="13" t="s">
        <v>3804</v>
      </c>
      <c r="B5" s="63" t="str">
        <f>image("https://storage.googleapis.com/acdb/accessories/AccessoryMouthBeakYellow.png")</f>
        <v/>
      </c>
      <c r="C5" s="15"/>
      <c r="D5" s="15" t="s">
        <v>28</v>
      </c>
      <c r="E5" s="15" t="s">
        <v>43</v>
      </c>
      <c r="F5" s="24">
        <v>490.0</v>
      </c>
      <c r="G5" s="13">
        <v>122.0</v>
      </c>
      <c r="H5" s="15">
        <v>3549.0</v>
      </c>
      <c r="I5" s="15" t="s">
        <v>38</v>
      </c>
      <c r="J5" s="15" t="s">
        <v>384</v>
      </c>
      <c r="K5" s="15" t="s">
        <v>2749</v>
      </c>
      <c r="L5" s="15" t="s">
        <v>2764</v>
      </c>
    </row>
    <row r="6" ht="56.25" customHeight="1">
      <c r="A6" s="13" t="s">
        <v>3805</v>
      </c>
      <c r="B6" s="63" t="str">
        <f>image("https://storage.googleapis.com/acdb/accessories/AccessoryGlassBirthday0.png")</f>
        <v/>
      </c>
      <c r="C6" s="15"/>
      <c r="D6" s="25" t="s">
        <v>28</v>
      </c>
      <c r="E6" s="15" t="s">
        <v>54</v>
      </c>
      <c r="F6" s="24" t="s">
        <v>51</v>
      </c>
      <c r="G6" s="13">
        <v>620.0</v>
      </c>
      <c r="H6" s="15">
        <v>4510.0</v>
      </c>
      <c r="I6" s="15" t="s">
        <v>38</v>
      </c>
      <c r="J6" s="15" t="s">
        <v>852</v>
      </c>
      <c r="K6" s="15" t="s">
        <v>220</v>
      </c>
      <c r="L6" s="15"/>
    </row>
    <row r="7" ht="56.25" customHeight="1">
      <c r="A7" s="13" t="s">
        <v>3805</v>
      </c>
      <c r="B7" s="63" t="str">
        <f>image("https://storage.googleapis.com/acdb/accessories/AccessoryGlassBirthday1.png")</f>
        <v/>
      </c>
      <c r="C7" s="15"/>
      <c r="D7" s="25" t="s">
        <v>28</v>
      </c>
      <c r="E7" s="15" t="s">
        <v>54</v>
      </c>
      <c r="F7" s="24" t="s">
        <v>51</v>
      </c>
      <c r="G7" s="13">
        <v>620.0</v>
      </c>
      <c r="H7" s="15">
        <v>4510.0</v>
      </c>
      <c r="I7" s="15" t="s">
        <v>38</v>
      </c>
      <c r="J7" s="15" t="s">
        <v>852</v>
      </c>
      <c r="K7" s="15" t="s">
        <v>220</v>
      </c>
      <c r="L7" s="15"/>
    </row>
    <row r="8" ht="56.25" customHeight="1">
      <c r="A8" s="13" t="s">
        <v>3805</v>
      </c>
      <c r="B8" s="63" t="str">
        <f>image("https://storage.googleapis.com/acdb/accessories/AccessoryGlassBirthday2.png")</f>
        <v/>
      </c>
      <c r="C8" s="15"/>
      <c r="D8" s="25" t="s">
        <v>28</v>
      </c>
      <c r="E8" s="15" t="s">
        <v>54</v>
      </c>
      <c r="F8" s="24" t="s">
        <v>51</v>
      </c>
      <c r="G8" s="13">
        <v>620.0</v>
      </c>
      <c r="H8" s="15">
        <v>4510.0</v>
      </c>
      <c r="I8" s="15" t="s">
        <v>38</v>
      </c>
      <c r="J8" s="15" t="s">
        <v>852</v>
      </c>
      <c r="K8" s="15" t="s">
        <v>220</v>
      </c>
      <c r="L8" s="15"/>
    </row>
    <row r="9" ht="56.25" customHeight="1">
      <c r="A9" s="13" t="s">
        <v>3805</v>
      </c>
      <c r="B9" s="63" t="str">
        <f>image("https://storage.googleapis.com/acdb/accessories/AccessoryGlassBirthday3.png")</f>
        <v/>
      </c>
      <c r="C9" s="15"/>
      <c r="D9" s="25" t="s">
        <v>28</v>
      </c>
      <c r="E9" s="15" t="s">
        <v>54</v>
      </c>
      <c r="F9" s="24" t="s">
        <v>51</v>
      </c>
      <c r="G9" s="13">
        <v>620.0</v>
      </c>
      <c r="H9" s="15">
        <v>4510.0</v>
      </c>
      <c r="I9" s="15" t="s">
        <v>38</v>
      </c>
      <c r="J9" s="15" t="s">
        <v>852</v>
      </c>
      <c r="K9" s="15" t="s">
        <v>220</v>
      </c>
      <c r="L9" s="15"/>
    </row>
    <row r="10" ht="56.25" customHeight="1">
      <c r="A10" s="64" t="s">
        <v>3809</v>
      </c>
      <c r="B10" s="48" t="str">
        <f>image("https://storage.googleapis.com/acdb/accessories/AccessoryGlassLoose0.png")</f>
        <v/>
      </c>
      <c r="C10" s="15"/>
      <c r="D10" s="15" t="s">
        <v>28</v>
      </c>
      <c r="E10" s="15" t="s">
        <v>43</v>
      </c>
      <c r="F10" s="13">
        <v>1100.0</v>
      </c>
      <c r="G10" s="13">
        <v>275.0</v>
      </c>
      <c r="H10" s="15">
        <v>4597.0</v>
      </c>
      <c r="I10" s="15" t="s">
        <v>38</v>
      </c>
      <c r="J10" s="15" t="s">
        <v>2744</v>
      </c>
      <c r="K10" s="15" t="s">
        <v>2749</v>
      </c>
      <c r="L10" s="15" t="s">
        <v>2751</v>
      </c>
    </row>
    <row r="11" ht="56.25" customHeight="1">
      <c r="A11" s="64" t="s">
        <v>3809</v>
      </c>
      <c r="B11" s="48" t="str">
        <f>image("https://storage.googleapis.com/acdb/accessories/AccessoryGlassLoose1.png")</f>
        <v/>
      </c>
      <c r="C11" s="15"/>
      <c r="D11" s="15" t="s">
        <v>28</v>
      </c>
      <c r="E11" s="15" t="s">
        <v>43</v>
      </c>
      <c r="F11" s="13">
        <v>1100.0</v>
      </c>
      <c r="G11" s="13">
        <v>275.0</v>
      </c>
      <c r="H11" s="15">
        <v>4597.0</v>
      </c>
      <c r="I11" s="15" t="s">
        <v>38</v>
      </c>
      <c r="J11" s="15" t="s">
        <v>2744</v>
      </c>
      <c r="K11" s="15" t="s">
        <v>2749</v>
      </c>
      <c r="L11" s="15" t="s">
        <v>2751</v>
      </c>
    </row>
    <row r="12" ht="56.25" customHeight="1">
      <c r="A12" s="64" t="s">
        <v>3809</v>
      </c>
      <c r="B12" s="48" t="str">
        <f>image("https://storage.googleapis.com/acdb/accessories/AccessoryGlassLoose2.png")</f>
        <v/>
      </c>
      <c r="C12" s="15"/>
      <c r="D12" s="15" t="s">
        <v>28</v>
      </c>
      <c r="E12" s="15" t="s">
        <v>43</v>
      </c>
      <c r="F12" s="13">
        <v>1100.0</v>
      </c>
      <c r="G12" s="13">
        <v>275.0</v>
      </c>
      <c r="H12" s="15">
        <v>4597.0</v>
      </c>
      <c r="I12" s="15" t="s">
        <v>38</v>
      </c>
      <c r="J12" s="15" t="s">
        <v>2744</v>
      </c>
      <c r="K12" s="15" t="s">
        <v>2749</v>
      </c>
      <c r="L12" s="15" t="s">
        <v>2751</v>
      </c>
    </row>
    <row r="13" ht="56.25" customHeight="1">
      <c r="A13" s="64" t="s">
        <v>3809</v>
      </c>
      <c r="B13" s="48" t="str">
        <f>image("https://storage.googleapis.com/acdb/accessories/AccessoryGlassLoose3.png")</f>
        <v/>
      </c>
      <c r="C13" s="15"/>
      <c r="D13" s="15" t="s">
        <v>28</v>
      </c>
      <c r="E13" s="15" t="s">
        <v>43</v>
      </c>
      <c r="F13" s="13">
        <v>1100.0</v>
      </c>
      <c r="G13" s="13">
        <v>275.0</v>
      </c>
      <c r="H13" s="15">
        <v>4597.0</v>
      </c>
      <c r="I13" s="15" t="s">
        <v>38</v>
      </c>
      <c r="J13" s="15" t="s">
        <v>2744</v>
      </c>
      <c r="K13" s="15" t="s">
        <v>2749</v>
      </c>
      <c r="L13" s="15" t="s">
        <v>2751</v>
      </c>
    </row>
    <row r="14" ht="56.25" customHeight="1">
      <c r="A14" s="64" t="s">
        <v>3809</v>
      </c>
      <c r="B14" s="48" t="str">
        <f>image("https://storage.googleapis.com/acdb/accessories/AccessoryGlassLoose4.png")</f>
        <v/>
      </c>
      <c r="C14" s="15"/>
      <c r="D14" s="15" t="s">
        <v>28</v>
      </c>
      <c r="E14" s="15" t="s">
        <v>43</v>
      </c>
      <c r="F14" s="13">
        <v>1100.0</v>
      </c>
      <c r="G14" s="13">
        <v>275.0</v>
      </c>
      <c r="H14" s="15">
        <v>4597.0</v>
      </c>
      <c r="I14" s="15" t="s">
        <v>38</v>
      </c>
      <c r="J14" s="15" t="s">
        <v>2744</v>
      </c>
      <c r="K14" s="15" t="s">
        <v>2749</v>
      </c>
      <c r="L14" s="15" t="s">
        <v>2751</v>
      </c>
    </row>
    <row r="15" ht="56.25" customHeight="1">
      <c r="A15" s="64" t="s">
        <v>3809</v>
      </c>
      <c r="B15" s="48" t="str">
        <f>image("https://storage.googleapis.com/acdb/accessories/AccessoryGlassLoose5.png")</f>
        <v/>
      </c>
      <c r="C15" s="15"/>
      <c r="D15" s="15" t="s">
        <v>28</v>
      </c>
      <c r="E15" s="15" t="s">
        <v>43</v>
      </c>
      <c r="F15" s="13">
        <v>1100.0</v>
      </c>
      <c r="G15" s="13">
        <v>275.0</v>
      </c>
      <c r="H15" s="15">
        <v>4597.0</v>
      </c>
      <c r="I15" s="15" t="s">
        <v>38</v>
      </c>
      <c r="J15" s="15" t="s">
        <v>2744</v>
      </c>
      <c r="K15" s="15" t="s">
        <v>2749</v>
      </c>
      <c r="L15" s="15" t="s">
        <v>2751</v>
      </c>
    </row>
    <row r="16" ht="56.25" customHeight="1">
      <c r="A16" s="64" t="s">
        <v>3809</v>
      </c>
      <c r="B16" s="48" t="str">
        <f>image("https://storage.googleapis.com/acdb/accessories/AccessoryGlassLoose6.png")</f>
        <v/>
      </c>
      <c r="C16" s="15"/>
      <c r="D16" s="15" t="s">
        <v>28</v>
      </c>
      <c r="E16" s="15" t="s">
        <v>43</v>
      </c>
      <c r="F16" s="13">
        <v>1100.0</v>
      </c>
      <c r="G16" s="13">
        <v>275.0</v>
      </c>
      <c r="H16" s="15">
        <v>4597.0</v>
      </c>
      <c r="I16" s="15" t="s">
        <v>38</v>
      </c>
      <c r="J16" s="15" t="s">
        <v>2744</v>
      </c>
      <c r="K16" s="15" t="s">
        <v>2749</v>
      </c>
      <c r="L16" s="15" t="s">
        <v>2751</v>
      </c>
    </row>
    <row r="17" ht="56.25" customHeight="1">
      <c r="A17" s="64" t="s">
        <v>3819</v>
      </c>
      <c r="B17" s="48" t="str">
        <f>image("https://storage.googleapis.com/acdb/accessories/AccessoryGlassThurmont0.png")</f>
        <v/>
      </c>
      <c r="C17" s="15"/>
      <c r="D17" s="15" t="s">
        <v>28</v>
      </c>
      <c r="E17" s="15" t="s">
        <v>43</v>
      </c>
      <c r="F17" s="13">
        <v>1040.0</v>
      </c>
      <c r="G17" s="13">
        <v>260.0</v>
      </c>
      <c r="H17" s="15">
        <v>4238.0</v>
      </c>
      <c r="I17" s="15" t="s">
        <v>38</v>
      </c>
      <c r="J17" s="15" t="s">
        <v>2744</v>
      </c>
      <c r="K17" s="15" t="s">
        <v>2749</v>
      </c>
      <c r="L17" s="15" t="s">
        <v>2751</v>
      </c>
    </row>
    <row r="18" ht="56.25" customHeight="1">
      <c r="A18" s="64" t="s">
        <v>3819</v>
      </c>
      <c r="B18" s="48" t="str">
        <f>image("https://storage.googleapis.com/acdb/accessories/AccessoryGlassThurmont1.png")</f>
        <v/>
      </c>
      <c r="C18" s="15"/>
      <c r="D18" s="15" t="s">
        <v>28</v>
      </c>
      <c r="E18" s="15" t="s">
        <v>43</v>
      </c>
      <c r="F18" s="13">
        <v>1040.0</v>
      </c>
      <c r="G18" s="13">
        <v>260.0</v>
      </c>
      <c r="H18" s="15">
        <v>4238.0</v>
      </c>
      <c r="I18" s="15" t="s">
        <v>38</v>
      </c>
      <c r="J18" s="15" t="s">
        <v>2744</v>
      </c>
      <c r="K18" s="15" t="s">
        <v>2749</v>
      </c>
      <c r="L18" s="15" t="s">
        <v>2751</v>
      </c>
    </row>
    <row r="19" ht="56.25" customHeight="1">
      <c r="A19" s="64" t="s">
        <v>3819</v>
      </c>
      <c r="B19" s="48" t="str">
        <f>image("https://storage.googleapis.com/acdb/accessories/AccessoryGlassThurmont2.png")</f>
        <v/>
      </c>
      <c r="C19" s="15"/>
      <c r="D19" s="15" t="s">
        <v>28</v>
      </c>
      <c r="E19" s="15" t="s">
        <v>43</v>
      </c>
      <c r="F19" s="13">
        <v>1040.0</v>
      </c>
      <c r="G19" s="13">
        <v>260.0</v>
      </c>
      <c r="H19" s="15">
        <v>4238.0</v>
      </c>
      <c r="I19" s="15" t="s">
        <v>38</v>
      </c>
      <c r="J19" s="15" t="s">
        <v>2744</v>
      </c>
      <c r="K19" s="15" t="s">
        <v>2749</v>
      </c>
      <c r="L19" s="15" t="s">
        <v>2751</v>
      </c>
    </row>
    <row r="20" ht="56.25" customHeight="1">
      <c r="A20" s="64" t="s">
        <v>3819</v>
      </c>
      <c r="B20" s="48" t="str">
        <f>image("https://storage.googleapis.com/acdb/accessories/AccessoryGlassThurmont3.png")</f>
        <v/>
      </c>
      <c r="C20" s="15"/>
      <c r="D20" s="15" t="s">
        <v>28</v>
      </c>
      <c r="E20" s="15" t="s">
        <v>43</v>
      </c>
      <c r="F20" s="13">
        <v>1040.0</v>
      </c>
      <c r="G20" s="13">
        <v>260.0</v>
      </c>
      <c r="H20" s="15">
        <v>4238.0</v>
      </c>
      <c r="I20" s="15" t="s">
        <v>38</v>
      </c>
      <c r="J20" s="15" t="s">
        <v>2744</v>
      </c>
      <c r="K20" s="15" t="s">
        <v>2749</v>
      </c>
      <c r="L20" s="15" t="s">
        <v>2751</v>
      </c>
    </row>
    <row r="21" ht="56.25" customHeight="1">
      <c r="A21" s="64" t="s">
        <v>3827</v>
      </c>
      <c r="B21" s="48" t="str">
        <f>image("https://storage.googleapis.com/acdb/accessories/AccessoryMouthBubblegum0.png")</f>
        <v/>
      </c>
      <c r="C21" s="15"/>
      <c r="D21" s="15" t="s">
        <v>28</v>
      </c>
      <c r="E21" s="15" t="s">
        <v>43</v>
      </c>
      <c r="F21" s="13">
        <v>140.0</v>
      </c>
      <c r="G21" s="13">
        <v>35.0</v>
      </c>
      <c r="H21" s="15">
        <v>5738.0</v>
      </c>
      <c r="I21" s="15" t="s">
        <v>38</v>
      </c>
      <c r="J21" s="15" t="s">
        <v>2744</v>
      </c>
      <c r="K21" s="15" t="s">
        <v>2749</v>
      </c>
      <c r="L21" s="15" t="s">
        <v>2764</v>
      </c>
    </row>
    <row r="22" ht="56.25" customHeight="1">
      <c r="A22" s="64" t="s">
        <v>3827</v>
      </c>
      <c r="B22" s="48" t="str">
        <f>image("https://storage.googleapis.com/acdb/accessories/AccessoryMouthBubblegum1.png")</f>
        <v/>
      </c>
      <c r="C22" s="15"/>
      <c r="D22" s="15" t="s">
        <v>28</v>
      </c>
      <c r="E22" s="15" t="s">
        <v>43</v>
      </c>
      <c r="F22" s="13">
        <v>140.0</v>
      </c>
      <c r="G22" s="13">
        <v>35.0</v>
      </c>
      <c r="H22" s="15">
        <v>5738.0</v>
      </c>
      <c r="I22" s="15" t="s">
        <v>38</v>
      </c>
      <c r="J22" s="15" t="s">
        <v>2744</v>
      </c>
      <c r="K22" s="15" t="s">
        <v>2749</v>
      </c>
      <c r="L22" s="15" t="s">
        <v>2764</v>
      </c>
    </row>
    <row r="23" ht="56.25" customHeight="1">
      <c r="A23" s="64" t="s">
        <v>3827</v>
      </c>
      <c r="B23" s="48" t="str">
        <f>image("https://storage.googleapis.com/acdb/accessories/AccessoryMouthBubblegum2.png")</f>
        <v/>
      </c>
      <c r="C23" s="15"/>
      <c r="D23" s="15" t="s">
        <v>28</v>
      </c>
      <c r="E23" s="15" t="s">
        <v>43</v>
      </c>
      <c r="F23" s="13">
        <v>140.0</v>
      </c>
      <c r="G23" s="13">
        <v>35.0</v>
      </c>
      <c r="H23" s="15">
        <v>5738.0</v>
      </c>
      <c r="I23" s="15" t="s">
        <v>38</v>
      </c>
      <c r="J23" s="15" t="s">
        <v>2744</v>
      </c>
      <c r="K23" s="15" t="s">
        <v>2749</v>
      </c>
      <c r="L23" s="15" t="s">
        <v>2764</v>
      </c>
    </row>
    <row r="24" ht="56.25" customHeight="1">
      <c r="A24" s="64" t="s">
        <v>3827</v>
      </c>
      <c r="B24" s="48" t="str">
        <f>image("https://storage.googleapis.com/acdb/accessories/AccessoryMouthBubblegum3.png")</f>
        <v/>
      </c>
      <c r="C24" s="15"/>
      <c r="D24" s="15" t="s">
        <v>28</v>
      </c>
      <c r="E24" s="15" t="s">
        <v>43</v>
      </c>
      <c r="F24" s="13">
        <v>140.0</v>
      </c>
      <c r="G24" s="13">
        <v>35.0</v>
      </c>
      <c r="H24" s="15">
        <v>5738.0</v>
      </c>
      <c r="I24" s="15" t="s">
        <v>38</v>
      </c>
      <c r="J24" s="15" t="s">
        <v>2744</v>
      </c>
      <c r="K24" s="15" t="s">
        <v>2749</v>
      </c>
      <c r="L24" s="15" t="s">
        <v>2764</v>
      </c>
    </row>
    <row r="25" ht="56.25" customHeight="1">
      <c r="A25" s="64" t="s">
        <v>3827</v>
      </c>
      <c r="B25" s="48" t="str">
        <f>image("https://storage.googleapis.com/acdb/accessories/AccessoryMouthBubblegum4.png")</f>
        <v/>
      </c>
      <c r="C25" s="15"/>
      <c r="D25" s="15" t="s">
        <v>28</v>
      </c>
      <c r="E25" s="15" t="s">
        <v>43</v>
      </c>
      <c r="F25" s="13">
        <v>140.0</v>
      </c>
      <c r="G25" s="13">
        <v>35.0</v>
      </c>
      <c r="H25" s="15">
        <v>5738.0</v>
      </c>
      <c r="I25" s="15" t="s">
        <v>38</v>
      </c>
      <c r="J25" s="15" t="s">
        <v>2744</v>
      </c>
      <c r="K25" s="15" t="s">
        <v>2749</v>
      </c>
      <c r="L25" s="15" t="s">
        <v>2764</v>
      </c>
    </row>
    <row r="26" ht="56.25" customHeight="1">
      <c r="A26" s="64" t="s">
        <v>3836</v>
      </c>
      <c r="B26" s="48" t="str">
        <f>image("https://storage.googleapis.com/acdb/accessories/AccessoryMouthRabbit0.png")</f>
        <v/>
      </c>
      <c r="C26" s="15"/>
      <c r="D26" s="15" t="s">
        <v>28</v>
      </c>
      <c r="E26" s="15" t="s">
        <v>43</v>
      </c>
      <c r="F26" s="13">
        <v>560.0</v>
      </c>
      <c r="G26" s="13">
        <v>140.0</v>
      </c>
      <c r="H26" s="15">
        <v>4600.0</v>
      </c>
      <c r="I26" s="15" t="s">
        <v>38</v>
      </c>
      <c r="J26" s="15" t="s">
        <v>384</v>
      </c>
      <c r="K26" s="15" t="s">
        <v>2749</v>
      </c>
      <c r="L26" s="15" t="s">
        <v>2751</v>
      </c>
    </row>
    <row r="27" ht="56.25" customHeight="1">
      <c r="A27" s="64" t="s">
        <v>3836</v>
      </c>
      <c r="B27" s="48" t="str">
        <f>image("https://storage.googleapis.com/acdb/accessories/AccessoryMouthRabbit1.png")</f>
        <v/>
      </c>
      <c r="C27" s="15"/>
      <c r="D27" s="15" t="s">
        <v>28</v>
      </c>
      <c r="E27" s="15" t="s">
        <v>43</v>
      </c>
      <c r="F27" s="13">
        <v>560.0</v>
      </c>
      <c r="G27" s="13">
        <v>140.0</v>
      </c>
      <c r="H27" s="15">
        <v>4600.0</v>
      </c>
      <c r="I27" s="15" t="s">
        <v>38</v>
      </c>
      <c r="J27" s="15" t="s">
        <v>384</v>
      </c>
      <c r="K27" s="15" t="s">
        <v>2749</v>
      </c>
      <c r="L27" s="15" t="s">
        <v>2751</v>
      </c>
    </row>
    <row r="28" ht="56.25" customHeight="1">
      <c r="A28" s="64" t="s">
        <v>3836</v>
      </c>
      <c r="B28" s="48" t="str">
        <f>image("https://storage.googleapis.com/acdb/accessories/AccessoryMouthRabbit2.png")</f>
        <v/>
      </c>
      <c r="C28" s="15"/>
      <c r="D28" s="15" t="s">
        <v>28</v>
      </c>
      <c r="E28" s="15" t="s">
        <v>43</v>
      </c>
      <c r="F28" s="13">
        <v>560.0</v>
      </c>
      <c r="G28" s="13">
        <v>140.0</v>
      </c>
      <c r="H28" s="15">
        <v>4600.0</v>
      </c>
      <c r="I28" s="15" t="s">
        <v>38</v>
      </c>
      <c r="J28" s="15" t="s">
        <v>384</v>
      </c>
      <c r="K28" s="15" t="s">
        <v>2749</v>
      </c>
      <c r="L28" s="15" t="s">
        <v>2751</v>
      </c>
    </row>
    <row r="29" ht="56.25" customHeight="1">
      <c r="A29" s="64" t="s">
        <v>3843</v>
      </c>
      <c r="B29" s="48" t="str">
        <f>image("https://storage.googleapis.com/acdb/accessories/AccessoryGlassButterfly0.png")</f>
        <v/>
      </c>
      <c r="C29" s="15"/>
      <c r="D29" s="15" t="s">
        <v>28</v>
      </c>
      <c r="E29" s="15" t="s">
        <v>43</v>
      </c>
      <c r="F29" s="13">
        <v>1040.0</v>
      </c>
      <c r="G29" s="13">
        <v>260.0</v>
      </c>
      <c r="H29" s="15">
        <v>4608.0</v>
      </c>
      <c r="I29" s="15" t="s">
        <v>38</v>
      </c>
      <c r="J29" s="15" t="s">
        <v>2756</v>
      </c>
      <c r="K29" s="15" t="s">
        <v>2749</v>
      </c>
      <c r="L29" s="15" t="s">
        <v>2764</v>
      </c>
    </row>
    <row r="30" ht="56.25" customHeight="1">
      <c r="A30" s="64" t="s">
        <v>3843</v>
      </c>
      <c r="B30" s="48" t="str">
        <f>image("https://storage.googleapis.com/acdb/accessories/AccessoryGlassButterfly1.png")</f>
        <v/>
      </c>
      <c r="C30" s="15"/>
      <c r="D30" s="15" t="s">
        <v>28</v>
      </c>
      <c r="E30" s="15" t="s">
        <v>43</v>
      </c>
      <c r="F30" s="13">
        <v>1040.0</v>
      </c>
      <c r="G30" s="13">
        <v>260.0</v>
      </c>
      <c r="H30" s="15">
        <v>4608.0</v>
      </c>
      <c r="I30" s="15" t="s">
        <v>38</v>
      </c>
      <c r="J30" s="15" t="s">
        <v>2756</v>
      </c>
      <c r="K30" s="15" t="s">
        <v>2749</v>
      </c>
      <c r="L30" s="15" t="s">
        <v>2764</v>
      </c>
    </row>
    <row r="31" ht="56.25" customHeight="1">
      <c r="A31" s="64" t="s">
        <v>3843</v>
      </c>
      <c r="B31" s="48" t="str">
        <f>image("https://storage.googleapis.com/acdb/accessories/AccessoryGlassButterfly2.png")</f>
        <v/>
      </c>
      <c r="C31" s="15"/>
      <c r="D31" s="15" t="s">
        <v>28</v>
      </c>
      <c r="E31" s="15" t="s">
        <v>43</v>
      </c>
      <c r="F31" s="13">
        <v>1040.0</v>
      </c>
      <c r="G31" s="13">
        <v>260.0</v>
      </c>
      <c r="H31" s="15">
        <v>4608.0</v>
      </c>
      <c r="I31" s="15" t="s">
        <v>38</v>
      </c>
      <c r="J31" s="15" t="s">
        <v>2756</v>
      </c>
      <c r="K31" s="15" t="s">
        <v>2749</v>
      </c>
      <c r="L31" s="15" t="s">
        <v>2764</v>
      </c>
    </row>
    <row r="32" ht="56.25" customHeight="1">
      <c r="A32" s="64" t="s">
        <v>3849</v>
      </c>
      <c r="B32" s="48" t="str">
        <f>image("https://storage.googleapis.com/acdb/accessories/AccessoryGlassmouthCatrina0.png")</f>
        <v/>
      </c>
      <c r="C32" s="15"/>
      <c r="D32" s="25" t="s">
        <v>28</v>
      </c>
      <c r="E32" s="15" t="s">
        <v>54</v>
      </c>
      <c r="F32" s="24" t="s">
        <v>51</v>
      </c>
      <c r="G32" s="13">
        <v>800.0</v>
      </c>
      <c r="H32" s="15">
        <v>5666.0</v>
      </c>
      <c r="I32" s="15" t="s">
        <v>38</v>
      </c>
      <c r="J32" s="15" t="s">
        <v>852</v>
      </c>
      <c r="K32" s="15" t="s">
        <v>574</v>
      </c>
      <c r="L32" s="15"/>
    </row>
    <row r="33" ht="56.25" customHeight="1">
      <c r="A33" s="64" t="s">
        <v>3849</v>
      </c>
      <c r="B33" s="48" t="str">
        <f>image("https://storage.googleapis.com/acdb/accessories/AccessoryGlassmouthCatrina1.png")</f>
        <v/>
      </c>
      <c r="C33" s="15"/>
      <c r="D33" s="25" t="s">
        <v>28</v>
      </c>
      <c r="E33" s="15" t="s">
        <v>54</v>
      </c>
      <c r="F33" s="24" t="s">
        <v>51</v>
      </c>
      <c r="G33" s="13">
        <v>800.0</v>
      </c>
      <c r="H33" s="15">
        <v>5666.0</v>
      </c>
      <c r="I33" s="15" t="s">
        <v>38</v>
      </c>
      <c r="J33" s="15" t="s">
        <v>852</v>
      </c>
      <c r="K33" s="15" t="s">
        <v>574</v>
      </c>
      <c r="L33" s="15"/>
    </row>
    <row r="34" ht="56.25" customHeight="1">
      <c r="A34" s="64" t="s">
        <v>3849</v>
      </c>
      <c r="B34" s="48" t="str">
        <f>image("https://storage.googleapis.com/acdb/accessories/AccessoryGlassmouthCatrina2.png")</f>
        <v/>
      </c>
      <c r="C34" s="15"/>
      <c r="D34" s="25" t="s">
        <v>28</v>
      </c>
      <c r="E34" s="15" t="s">
        <v>54</v>
      </c>
      <c r="F34" s="24" t="s">
        <v>51</v>
      </c>
      <c r="G34" s="13">
        <v>800.0</v>
      </c>
      <c r="H34" s="15">
        <v>5666.0</v>
      </c>
      <c r="I34" s="15" t="s">
        <v>38</v>
      </c>
      <c r="J34" s="15" t="s">
        <v>852</v>
      </c>
      <c r="K34" s="15" t="s">
        <v>574</v>
      </c>
      <c r="L34" s="15"/>
    </row>
    <row r="35" ht="56.25" customHeight="1">
      <c r="A35" s="64" t="s">
        <v>3857</v>
      </c>
      <c r="B35" s="48" t="str">
        <f>image("https://storage.googleapis.com/acdb/accessories/AccessoryMouthCat0.png")</f>
        <v/>
      </c>
      <c r="C35" s="15"/>
      <c r="D35" s="15" t="s">
        <v>28</v>
      </c>
      <c r="E35" s="15" t="s">
        <v>43</v>
      </c>
      <c r="F35" s="13">
        <v>560.0</v>
      </c>
      <c r="G35" s="13">
        <v>140.0</v>
      </c>
      <c r="H35" s="15">
        <v>4483.0</v>
      </c>
      <c r="I35" s="15" t="s">
        <v>38</v>
      </c>
      <c r="J35" s="15" t="s">
        <v>384</v>
      </c>
      <c r="K35" s="15" t="s">
        <v>2749</v>
      </c>
      <c r="L35" s="15" t="s">
        <v>2751</v>
      </c>
    </row>
    <row r="36" ht="56.25" customHeight="1">
      <c r="A36" s="64" t="s">
        <v>3857</v>
      </c>
      <c r="B36" s="48" t="str">
        <f>image("https://storage.googleapis.com/acdb/accessories/AccessoryMouthCat1.png")</f>
        <v/>
      </c>
      <c r="C36" s="15"/>
      <c r="D36" s="15" t="s">
        <v>28</v>
      </c>
      <c r="E36" s="15" t="s">
        <v>43</v>
      </c>
      <c r="F36" s="13">
        <v>560.0</v>
      </c>
      <c r="G36" s="13">
        <v>140.0</v>
      </c>
      <c r="H36" s="15">
        <v>4483.0</v>
      </c>
      <c r="I36" s="15" t="s">
        <v>38</v>
      </c>
      <c r="J36" s="15" t="s">
        <v>384</v>
      </c>
      <c r="K36" s="15" t="s">
        <v>2749</v>
      </c>
      <c r="L36" s="15" t="s">
        <v>2751</v>
      </c>
    </row>
    <row r="37" ht="56.25" customHeight="1">
      <c r="A37" s="64" t="s">
        <v>3857</v>
      </c>
      <c r="B37" s="48" t="str">
        <f>image("https://storage.googleapis.com/acdb/accessories/AccessoryMouthCat2.png")</f>
        <v/>
      </c>
      <c r="C37" s="15"/>
      <c r="D37" s="15" t="s">
        <v>28</v>
      </c>
      <c r="E37" s="15" t="s">
        <v>43</v>
      </c>
      <c r="F37" s="13">
        <v>560.0</v>
      </c>
      <c r="G37" s="13">
        <v>140.0</v>
      </c>
      <c r="H37" s="15">
        <v>4483.0</v>
      </c>
      <c r="I37" s="15" t="s">
        <v>38</v>
      </c>
      <c r="J37" s="15" t="s">
        <v>384</v>
      </c>
      <c r="K37" s="15" t="s">
        <v>2749</v>
      </c>
      <c r="L37" s="15" t="s">
        <v>2751</v>
      </c>
    </row>
    <row r="38" ht="56.25" customHeight="1">
      <c r="A38" s="64" t="s">
        <v>3862</v>
      </c>
      <c r="B38" s="48" t="str">
        <f>image("https://storage.googleapis.com/acdb/accessories/AccessoryMouthCucumber.png")</f>
        <v/>
      </c>
      <c r="C38" s="15"/>
      <c r="D38" s="15" t="s">
        <v>28</v>
      </c>
      <c r="E38" s="15" t="s">
        <v>43</v>
      </c>
      <c r="F38" s="13">
        <v>490.0</v>
      </c>
      <c r="G38" s="13">
        <v>122.0</v>
      </c>
      <c r="H38" s="15">
        <v>4491.0</v>
      </c>
      <c r="I38" s="15" t="s">
        <v>38</v>
      </c>
      <c r="J38" s="15" t="s">
        <v>2744</v>
      </c>
      <c r="K38" s="15" t="s">
        <v>2749</v>
      </c>
      <c r="L38" s="15" t="s">
        <v>2764</v>
      </c>
    </row>
    <row r="39" ht="56.25" customHeight="1">
      <c r="A39" s="64" t="s">
        <v>3865</v>
      </c>
      <c r="B39" s="48" t="str">
        <f>image("https://storage.googleapis.com/acdb/accessories/AccessoryMouthRollingmustacheBlack.png")</f>
        <v/>
      </c>
      <c r="C39" s="15"/>
      <c r="D39" s="15" t="s">
        <v>28</v>
      </c>
      <c r="E39" s="15" t="s">
        <v>43</v>
      </c>
      <c r="F39" s="13">
        <v>700.0</v>
      </c>
      <c r="G39" s="13">
        <v>175.0</v>
      </c>
      <c r="H39" s="15">
        <v>4672.0</v>
      </c>
      <c r="I39" s="15" t="s">
        <v>38</v>
      </c>
      <c r="J39" s="15" t="s">
        <v>2744</v>
      </c>
      <c r="K39" s="15" t="s">
        <v>2749</v>
      </c>
      <c r="L39" s="15" t="s">
        <v>2751</v>
      </c>
    </row>
    <row r="40" ht="56.25" customHeight="1">
      <c r="A40" s="64" t="s">
        <v>3867</v>
      </c>
      <c r="B40" s="48" t="str">
        <f>image("https://storage.googleapis.com/acdb/accessories/AccessoryGlassCyber0.png")</f>
        <v/>
      </c>
      <c r="C40" s="15"/>
      <c r="D40" s="15" t="s">
        <v>28</v>
      </c>
      <c r="E40" s="15" t="s">
        <v>43</v>
      </c>
      <c r="F40" s="13">
        <v>1300.0</v>
      </c>
      <c r="G40" s="13">
        <v>325.0</v>
      </c>
      <c r="H40" s="15">
        <v>4552.0</v>
      </c>
      <c r="I40" s="15" t="s">
        <v>38</v>
      </c>
      <c r="J40" s="15" t="s">
        <v>2793</v>
      </c>
      <c r="K40" s="15" t="s">
        <v>2749</v>
      </c>
      <c r="L40" s="15" t="s">
        <v>2751</v>
      </c>
    </row>
    <row r="41" ht="56.25" customHeight="1">
      <c r="A41" s="64" t="s">
        <v>3867</v>
      </c>
      <c r="B41" s="48" t="str">
        <f>image("https://storage.googleapis.com/acdb/accessories/AccessoryGlassCyber1.png")</f>
        <v/>
      </c>
      <c r="C41" s="15"/>
      <c r="D41" s="15" t="s">
        <v>28</v>
      </c>
      <c r="E41" s="15" t="s">
        <v>43</v>
      </c>
      <c r="F41" s="13">
        <v>1300.0</v>
      </c>
      <c r="G41" s="13">
        <v>325.0</v>
      </c>
      <c r="H41" s="15">
        <v>4552.0</v>
      </c>
      <c r="I41" s="15" t="s">
        <v>38</v>
      </c>
      <c r="J41" s="15" t="s">
        <v>2793</v>
      </c>
      <c r="K41" s="15" t="s">
        <v>2749</v>
      </c>
      <c r="L41" s="15" t="s">
        <v>2751</v>
      </c>
    </row>
    <row r="42" ht="56.25" customHeight="1">
      <c r="A42" s="64" t="s">
        <v>3867</v>
      </c>
      <c r="B42" s="48" t="str">
        <f>image("https://storage.googleapis.com/acdb/accessories/AccessoryGlassCyber2.png")</f>
        <v/>
      </c>
      <c r="C42" s="15"/>
      <c r="D42" s="15" t="s">
        <v>28</v>
      </c>
      <c r="E42" s="15" t="s">
        <v>43</v>
      </c>
      <c r="F42" s="13">
        <v>1300.0</v>
      </c>
      <c r="G42" s="13">
        <v>325.0</v>
      </c>
      <c r="H42" s="15">
        <v>4552.0</v>
      </c>
      <c r="I42" s="15" t="s">
        <v>38</v>
      </c>
      <c r="J42" s="15" t="s">
        <v>2793</v>
      </c>
      <c r="K42" s="15" t="s">
        <v>2749</v>
      </c>
      <c r="L42" s="15" t="s">
        <v>2751</v>
      </c>
    </row>
    <row r="43" ht="56.25" customHeight="1">
      <c r="A43" s="64" t="s">
        <v>3867</v>
      </c>
      <c r="B43" s="48" t="str">
        <f>image("https://storage.googleapis.com/acdb/accessories/AccessoryGlassCyber3.png")</f>
        <v/>
      </c>
      <c r="C43" s="15"/>
      <c r="D43" s="15" t="s">
        <v>28</v>
      </c>
      <c r="E43" s="15" t="s">
        <v>43</v>
      </c>
      <c r="F43" s="13">
        <v>1300.0</v>
      </c>
      <c r="G43" s="13">
        <v>325.0</v>
      </c>
      <c r="H43" s="15">
        <v>4552.0</v>
      </c>
      <c r="I43" s="15" t="s">
        <v>38</v>
      </c>
      <c r="J43" s="15" t="s">
        <v>2793</v>
      </c>
      <c r="K43" s="15" t="s">
        <v>2749</v>
      </c>
      <c r="L43" s="15" t="s">
        <v>2751</v>
      </c>
    </row>
    <row r="44" ht="56.25" customHeight="1">
      <c r="A44" s="64" t="s">
        <v>3867</v>
      </c>
      <c r="B44" s="48" t="str">
        <f>image("https://storage.googleapis.com/acdb/accessories/AccessoryGlassCyber4.png")</f>
        <v/>
      </c>
      <c r="C44" s="15"/>
      <c r="D44" s="15" t="s">
        <v>28</v>
      </c>
      <c r="E44" s="15" t="s">
        <v>43</v>
      </c>
      <c r="F44" s="13">
        <v>1300.0</v>
      </c>
      <c r="G44" s="13">
        <v>325.0</v>
      </c>
      <c r="H44" s="15">
        <v>4552.0</v>
      </c>
      <c r="I44" s="15" t="s">
        <v>38</v>
      </c>
      <c r="J44" s="15" t="s">
        <v>2793</v>
      </c>
      <c r="K44" s="15" t="s">
        <v>2749</v>
      </c>
      <c r="L44" s="15" t="s">
        <v>2751</v>
      </c>
    </row>
    <row r="45" ht="56.25" customHeight="1">
      <c r="A45" s="64" t="s">
        <v>3867</v>
      </c>
      <c r="B45" s="48" t="str">
        <f>image("https://storage.googleapis.com/acdb/accessories/AccessoryGlassCyber5.png")</f>
        <v/>
      </c>
      <c r="C45" s="15"/>
      <c r="D45" s="15" t="s">
        <v>28</v>
      </c>
      <c r="E45" s="15" t="s">
        <v>43</v>
      </c>
      <c r="F45" s="13">
        <v>1300.0</v>
      </c>
      <c r="G45" s="13">
        <v>325.0</v>
      </c>
      <c r="H45" s="15">
        <v>4552.0</v>
      </c>
      <c r="I45" s="15" t="s">
        <v>38</v>
      </c>
      <c r="J45" s="15" t="s">
        <v>2793</v>
      </c>
      <c r="K45" s="15" t="s">
        <v>2749</v>
      </c>
      <c r="L45" s="15" t="s">
        <v>2751</v>
      </c>
    </row>
    <row r="46" ht="56.25" customHeight="1">
      <c r="A46" s="64" t="s">
        <v>3878</v>
      </c>
      <c r="B46" s="48" t="str">
        <f>image("https://storage.googleapis.com/acdb/accessories/AccessoryGlassDalmask0.png")</f>
        <v/>
      </c>
      <c r="C46" s="15"/>
      <c r="D46" s="15" t="s">
        <v>28</v>
      </c>
      <c r="E46" s="15" t="s">
        <v>54</v>
      </c>
      <c r="F46" s="24" t="s">
        <v>51</v>
      </c>
      <c r="G46" s="13">
        <v>1010.0</v>
      </c>
      <c r="H46" s="15">
        <v>12128.0</v>
      </c>
      <c r="I46" s="15" t="s">
        <v>38</v>
      </c>
      <c r="J46" s="15" t="s">
        <v>2744</v>
      </c>
      <c r="K46" s="15" t="s">
        <v>563</v>
      </c>
      <c r="L46" s="15" t="s">
        <v>565</v>
      </c>
    </row>
    <row r="47" ht="56.25" customHeight="1">
      <c r="A47" s="64" t="s">
        <v>3880</v>
      </c>
      <c r="B47" s="48" t="str">
        <f>image("https://storage.googleapis.com/acdb/accessories/AccessoryGlassDalglass0.png")</f>
        <v/>
      </c>
      <c r="C47" s="15"/>
      <c r="D47" s="25" t="s">
        <v>28</v>
      </c>
      <c r="E47" s="15" t="s">
        <v>54</v>
      </c>
      <c r="F47" s="24" t="s">
        <v>51</v>
      </c>
      <c r="G47" s="13">
        <v>1010.0</v>
      </c>
      <c r="H47" s="15">
        <v>12129.0</v>
      </c>
      <c r="I47" s="15" t="s">
        <v>38</v>
      </c>
      <c r="J47" s="15" t="s">
        <v>852</v>
      </c>
      <c r="K47" s="15" t="s">
        <v>563</v>
      </c>
      <c r="L47" s="15" t="s">
        <v>565</v>
      </c>
    </row>
    <row r="48" ht="56.25" customHeight="1">
      <c r="A48" s="64" t="s">
        <v>3882</v>
      </c>
      <c r="B48" s="48" t="str">
        <f>image("https://storage.googleapis.com/acdb/accessories/AccessoryMouthMaskWhite.png")</f>
        <v/>
      </c>
      <c r="C48" s="15"/>
      <c r="D48" s="15" t="s">
        <v>28</v>
      </c>
      <c r="E48" s="15" t="s">
        <v>43</v>
      </c>
      <c r="F48" s="13">
        <v>140.0</v>
      </c>
      <c r="G48" s="13">
        <v>35.0</v>
      </c>
      <c r="H48" s="15">
        <v>4451.0</v>
      </c>
      <c r="I48" s="15" t="s">
        <v>38</v>
      </c>
      <c r="J48" s="15" t="s">
        <v>2744</v>
      </c>
      <c r="K48" s="15" t="s">
        <v>2749</v>
      </c>
      <c r="L48" s="15" t="s">
        <v>2764</v>
      </c>
    </row>
    <row r="49" ht="56.25" customHeight="1">
      <c r="A49" s="64" t="s">
        <v>3884</v>
      </c>
      <c r="B49" s="48" t="str">
        <f>image("https://storage.googleapis.com/acdb/accessories/AccessoryMouthDog0.png")</f>
        <v/>
      </c>
      <c r="C49" s="15"/>
      <c r="D49" s="15" t="s">
        <v>28</v>
      </c>
      <c r="E49" s="15" t="s">
        <v>43</v>
      </c>
      <c r="F49" s="13">
        <v>560.0</v>
      </c>
      <c r="G49" s="13">
        <v>140.0</v>
      </c>
      <c r="H49" s="15">
        <v>5244.0</v>
      </c>
      <c r="I49" s="15" t="s">
        <v>38</v>
      </c>
      <c r="J49" s="15" t="s">
        <v>384</v>
      </c>
      <c r="K49" s="15" t="s">
        <v>2749</v>
      </c>
      <c r="L49" s="15" t="s">
        <v>2751</v>
      </c>
    </row>
    <row r="50" ht="56.25" customHeight="1">
      <c r="A50" s="64" t="s">
        <v>3884</v>
      </c>
      <c r="B50" s="48" t="str">
        <f>image("https://storage.googleapis.com/acdb/accessories/AccessoryMouthDog1.png")</f>
        <v/>
      </c>
      <c r="C50" s="15"/>
      <c r="D50" s="15" t="s">
        <v>28</v>
      </c>
      <c r="E50" s="15" t="s">
        <v>43</v>
      </c>
      <c r="F50" s="13">
        <v>560.0</v>
      </c>
      <c r="G50" s="13">
        <v>140.0</v>
      </c>
      <c r="H50" s="15">
        <v>5244.0</v>
      </c>
      <c r="I50" s="15" t="s">
        <v>38</v>
      </c>
      <c r="J50" s="15" t="s">
        <v>384</v>
      </c>
      <c r="K50" s="15" t="s">
        <v>2749</v>
      </c>
      <c r="L50" s="15" t="s">
        <v>2751</v>
      </c>
    </row>
    <row r="51" ht="56.25" customHeight="1">
      <c r="A51" s="64" t="s">
        <v>3884</v>
      </c>
      <c r="B51" s="48" t="str">
        <f>image("https://storage.googleapis.com/acdb/accessories/AccessoryMouthDog2.png")</f>
        <v/>
      </c>
      <c r="C51" s="15"/>
      <c r="D51" s="15" t="s">
        <v>28</v>
      </c>
      <c r="E51" s="15" t="s">
        <v>43</v>
      </c>
      <c r="F51" s="13">
        <v>560.0</v>
      </c>
      <c r="G51" s="13">
        <v>140.0</v>
      </c>
      <c r="H51" s="15">
        <v>5244.0</v>
      </c>
      <c r="I51" s="15" t="s">
        <v>38</v>
      </c>
      <c r="J51" s="15" t="s">
        <v>384</v>
      </c>
      <c r="K51" s="15" t="s">
        <v>2749</v>
      </c>
      <c r="L51" s="15" t="s">
        <v>2751</v>
      </c>
    </row>
    <row r="52" ht="56.25" customHeight="1">
      <c r="A52" s="64" t="s">
        <v>3889</v>
      </c>
      <c r="B52" s="48" t="str">
        <f>image("https://storage.googleapis.com/acdb/accessories/AccessoryGlassDoublebridge0.png")</f>
        <v/>
      </c>
      <c r="C52" s="15"/>
      <c r="D52" s="15" t="s">
        <v>28</v>
      </c>
      <c r="E52" s="15" t="s">
        <v>43</v>
      </c>
      <c r="F52" s="13">
        <v>1100.0</v>
      </c>
      <c r="G52" s="13">
        <v>275.0</v>
      </c>
      <c r="H52" s="15">
        <v>4263.0</v>
      </c>
      <c r="I52" s="15" t="s">
        <v>38</v>
      </c>
      <c r="J52" s="15" t="s">
        <v>2863</v>
      </c>
      <c r="K52" s="15" t="s">
        <v>2749</v>
      </c>
      <c r="L52" s="15" t="s">
        <v>2751</v>
      </c>
    </row>
    <row r="53" ht="56.25" customHeight="1">
      <c r="A53" s="64" t="s">
        <v>3889</v>
      </c>
      <c r="B53" s="48" t="str">
        <f>image("https://storage.googleapis.com/acdb/accessories/AccessoryGlassDoublebridge1.png")</f>
        <v/>
      </c>
      <c r="C53" s="15"/>
      <c r="D53" s="15" t="s">
        <v>28</v>
      </c>
      <c r="E53" s="15" t="s">
        <v>43</v>
      </c>
      <c r="F53" s="13">
        <v>1100.0</v>
      </c>
      <c r="G53" s="13">
        <v>275.0</v>
      </c>
      <c r="H53" s="15">
        <v>4263.0</v>
      </c>
      <c r="I53" s="15" t="s">
        <v>38</v>
      </c>
      <c r="J53" s="15" t="s">
        <v>2863</v>
      </c>
      <c r="K53" s="15" t="s">
        <v>2749</v>
      </c>
      <c r="L53" s="15" t="s">
        <v>2751</v>
      </c>
    </row>
    <row r="54" ht="56.25" customHeight="1">
      <c r="A54" s="64" t="s">
        <v>3889</v>
      </c>
      <c r="B54" s="48" t="str">
        <f>image("https://storage.googleapis.com/acdb/accessories/AccessoryGlassDoublebridge2.png")</f>
        <v/>
      </c>
      <c r="C54" s="15"/>
      <c r="D54" s="15" t="s">
        <v>28</v>
      </c>
      <c r="E54" s="15" t="s">
        <v>43</v>
      </c>
      <c r="F54" s="13">
        <v>1100.0</v>
      </c>
      <c r="G54" s="13">
        <v>275.0</v>
      </c>
      <c r="H54" s="15">
        <v>4263.0</v>
      </c>
      <c r="I54" s="15" t="s">
        <v>38</v>
      </c>
      <c r="J54" s="15" t="s">
        <v>2863</v>
      </c>
      <c r="K54" s="15" t="s">
        <v>2749</v>
      </c>
      <c r="L54" s="15" t="s">
        <v>2751</v>
      </c>
    </row>
    <row r="55" ht="56.25" customHeight="1">
      <c r="A55" s="64" t="s">
        <v>3889</v>
      </c>
      <c r="B55" s="48" t="str">
        <f>image("https://storage.googleapis.com/acdb/accessories/AccessoryGlassDoublebridge3.png")</f>
        <v/>
      </c>
      <c r="C55" s="15"/>
      <c r="D55" s="15" t="s">
        <v>28</v>
      </c>
      <c r="E55" s="15" t="s">
        <v>43</v>
      </c>
      <c r="F55" s="13">
        <v>1100.0</v>
      </c>
      <c r="G55" s="13">
        <v>275.0</v>
      </c>
      <c r="H55" s="15">
        <v>4263.0</v>
      </c>
      <c r="I55" s="15" t="s">
        <v>38</v>
      </c>
      <c r="J55" s="15" t="s">
        <v>2863</v>
      </c>
      <c r="K55" s="15" t="s">
        <v>2749</v>
      </c>
      <c r="L55" s="15" t="s">
        <v>2751</v>
      </c>
    </row>
    <row r="56" ht="56.25" customHeight="1">
      <c r="A56" s="64" t="s">
        <v>3894</v>
      </c>
      <c r="B56" s="48" t="str">
        <f>image("https://storage.googleapis.com/acdb/accessories/AccessoryGlassmouthStraw0.png")</f>
        <v/>
      </c>
      <c r="C56" s="15"/>
      <c r="D56" s="15" t="s">
        <v>28</v>
      </c>
      <c r="E56" s="15" t="s">
        <v>43</v>
      </c>
      <c r="F56" s="13">
        <v>560.0</v>
      </c>
      <c r="G56" s="13">
        <v>140.0</v>
      </c>
      <c r="H56" s="15">
        <v>5773.0</v>
      </c>
      <c r="I56" s="15" t="s">
        <v>38</v>
      </c>
      <c r="J56" s="15" t="s">
        <v>2793</v>
      </c>
      <c r="K56" s="15" t="s">
        <v>2749</v>
      </c>
      <c r="L56" s="15" t="s">
        <v>2764</v>
      </c>
    </row>
    <row r="57" ht="56.25" customHeight="1">
      <c r="A57" s="64" t="s">
        <v>3894</v>
      </c>
      <c r="B57" s="48" t="str">
        <f>image("https://storage.googleapis.com/acdb/accessories/AccessoryGlassmouthStraw1.png")</f>
        <v/>
      </c>
      <c r="C57" s="15"/>
      <c r="D57" s="15" t="s">
        <v>28</v>
      </c>
      <c r="E57" s="15" t="s">
        <v>43</v>
      </c>
      <c r="F57" s="13">
        <v>560.0</v>
      </c>
      <c r="G57" s="13">
        <v>140.0</v>
      </c>
      <c r="H57" s="15">
        <v>5773.0</v>
      </c>
      <c r="I57" s="15" t="s">
        <v>38</v>
      </c>
      <c r="J57" s="15" t="s">
        <v>2793</v>
      </c>
      <c r="K57" s="15" t="s">
        <v>2749</v>
      </c>
      <c r="L57" s="15" t="s">
        <v>2764</v>
      </c>
    </row>
    <row r="58" ht="56.25" customHeight="1">
      <c r="A58" s="64" t="s">
        <v>3894</v>
      </c>
      <c r="B58" s="48" t="str">
        <f>image("https://storage.googleapis.com/acdb/accessories/AccessoryGlassmouthStraw2.png")</f>
        <v/>
      </c>
      <c r="C58" s="15"/>
      <c r="D58" s="15" t="s">
        <v>28</v>
      </c>
      <c r="E58" s="15" t="s">
        <v>43</v>
      </c>
      <c r="F58" s="13">
        <v>560.0</v>
      </c>
      <c r="G58" s="13">
        <v>140.0</v>
      </c>
      <c r="H58" s="15">
        <v>5773.0</v>
      </c>
      <c r="I58" s="15" t="s">
        <v>38</v>
      </c>
      <c r="J58" s="15" t="s">
        <v>2793</v>
      </c>
      <c r="K58" s="15" t="s">
        <v>2749</v>
      </c>
      <c r="L58" s="15" t="s">
        <v>2764</v>
      </c>
    </row>
    <row r="59" ht="56.25" customHeight="1">
      <c r="A59" s="64" t="s">
        <v>3894</v>
      </c>
      <c r="B59" s="48" t="str">
        <f>image("https://storage.googleapis.com/acdb/accessories/AccessoryGlassmouthStraw3.png")</f>
        <v/>
      </c>
      <c r="C59" s="15"/>
      <c r="D59" s="15" t="s">
        <v>28</v>
      </c>
      <c r="E59" s="15" t="s">
        <v>43</v>
      </c>
      <c r="F59" s="13">
        <v>560.0</v>
      </c>
      <c r="G59" s="13">
        <v>140.0</v>
      </c>
      <c r="H59" s="15">
        <v>5773.0</v>
      </c>
      <c r="I59" s="15" t="s">
        <v>38</v>
      </c>
      <c r="J59" s="15" t="s">
        <v>2793</v>
      </c>
      <c r="K59" s="15" t="s">
        <v>2749</v>
      </c>
      <c r="L59" s="15" t="s">
        <v>2764</v>
      </c>
    </row>
    <row r="60" ht="56.25" customHeight="1">
      <c r="A60" s="64" t="s">
        <v>3901</v>
      </c>
      <c r="B60" s="48" t="str">
        <f>image("https://storage.googleapis.com/acdb/accessories/AccessoryGlassMask0.png")</f>
        <v/>
      </c>
      <c r="C60" s="15"/>
      <c r="D60" s="15" t="s">
        <v>28</v>
      </c>
      <c r="E60" s="15" t="s">
        <v>43</v>
      </c>
      <c r="F60" s="13">
        <v>560.0</v>
      </c>
      <c r="G60" s="13">
        <v>140.0</v>
      </c>
      <c r="H60" s="15">
        <v>4425.0</v>
      </c>
      <c r="I60" s="15" t="s">
        <v>38</v>
      </c>
      <c r="J60" s="15" t="s">
        <v>2744</v>
      </c>
      <c r="K60" s="15" t="s">
        <v>2749</v>
      </c>
      <c r="L60" s="15" t="s">
        <v>2764</v>
      </c>
    </row>
    <row r="61" ht="56.25" customHeight="1">
      <c r="A61" s="64" t="s">
        <v>3901</v>
      </c>
      <c r="B61" s="48" t="str">
        <f>image("https://storage.googleapis.com/acdb/accessories/AccessoryGlassMask1.png")</f>
        <v/>
      </c>
      <c r="C61" s="15"/>
      <c r="D61" s="15" t="s">
        <v>28</v>
      </c>
      <c r="E61" s="15" t="s">
        <v>43</v>
      </c>
      <c r="F61" s="13">
        <v>560.0</v>
      </c>
      <c r="G61" s="13">
        <v>140.0</v>
      </c>
      <c r="H61" s="15">
        <v>4425.0</v>
      </c>
      <c r="I61" s="15" t="s">
        <v>38</v>
      </c>
      <c r="J61" s="15" t="s">
        <v>2744</v>
      </c>
      <c r="K61" s="15" t="s">
        <v>2749</v>
      </c>
      <c r="L61" s="15" t="s">
        <v>2764</v>
      </c>
    </row>
    <row r="62" ht="56.25" customHeight="1">
      <c r="A62" s="64" t="s">
        <v>3901</v>
      </c>
      <c r="B62" s="48" t="str">
        <f>image("https://storage.googleapis.com/acdb/accessories/AccessoryGlassMask2.png")</f>
        <v/>
      </c>
      <c r="C62" s="15"/>
      <c r="D62" s="15" t="s">
        <v>28</v>
      </c>
      <c r="E62" s="15" t="s">
        <v>43</v>
      </c>
      <c r="F62" s="13">
        <v>560.0</v>
      </c>
      <c r="G62" s="13">
        <v>140.0</v>
      </c>
      <c r="H62" s="15">
        <v>4425.0</v>
      </c>
      <c r="I62" s="15" t="s">
        <v>38</v>
      </c>
      <c r="J62" s="15" t="s">
        <v>2744</v>
      </c>
      <c r="K62" s="15" t="s">
        <v>2749</v>
      </c>
      <c r="L62" s="15" t="s">
        <v>2764</v>
      </c>
    </row>
    <row r="63" ht="56.25" customHeight="1">
      <c r="A63" s="64" t="s">
        <v>3901</v>
      </c>
      <c r="B63" s="48" t="str">
        <f>image("https://storage.googleapis.com/acdb/accessories/AccessoryGlassMask3.png")</f>
        <v/>
      </c>
      <c r="C63" s="15"/>
      <c r="D63" s="15" t="s">
        <v>28</v>
      </c>
      <c r="E63" s="15" t="s">
        <v>43</v>
      </c>
      <c r="F63" s="13">
        <v>560.0</v>
      </c>
      <c r="G63" s="13">
        <v>140.0</v>
      </c>
      <c r="H63" s="15">
        <v>4425.0</v>
      </c>
      <c r="I63" s="15" t="s">
        <v>38</v>
      </c>
      <c r="J63" s="15" t="s">
        <v>2744</v>
      </c>
      <c r="K63" s="15" t="s">
        <v>2749</v>
      </c>
      <c r="L63" s="15" t="s">
        <v>2764</v>
      </c>
    </row>
    <row r="64" ht="56.25" customHeight="1">
      <c r="A64" s="64" t="s">
        <v>3901</v>
      </c>
      <c r="B64" s="48" t="str">
        <f>image("https://storage.googleapis.com/acdb/accessories/AccessoryGlassMask4.png")</f>
        <v/>
      </c>
      <c r="C64" s="15"/>
      <c r="D64" s="15" t="s">
        <v>28</v>
      </c>
      <c r="E64" s="15" t="s">
        <v>43</v>
      </c>
      <c r="F64" s="13">
        <v>560.0</v>
      </c>
      <c r="G64" s="13">
        <v>140.0</v>
      </c>
      <c r="H64" s="15">
        <v>4425.0</v>
      </c>
      <c r="I64" s="15" t="s">
        <v>38</v>
      </c>
      <c r="J64" s="15" t="s">
        <v>2744</v>
      </c>
      <c r="K64" s="15" t="s">
        <v>2749</v>
      </c>
      <c r="L64" s="15" t="s">
        <v>2764</v>
      </c>
    </row>
    <row r="65" ht="56.25" customHeight="1">
      <c r="A65" s="64" t="s">
        <v>3901</v>
      </c>
      <c r="B65" s="48" t="str">
        <f>image("https://storage.googleapis.com/acdb/accessories/AccessoryGlassMask5.png")</f>
        <v/>
      </c>
      <c r="C65" s="15"/>
      <c r="D65" s="15" t="s">
        <v>28</v>
      </c>
      <c r="E65" s="15" t="s">
        <v>43</v>
      </c>
      <c r="F65" s="13">
        <v>560.0</v>
      </c>
      <c r="G65" s="13">
        <v>140.0</v>
      </c>
      <c r="H65" s="15">
        <v>4425.0</v>
      </c>
      <c r="I65" s="15" t="s">
        <v>38</v>
      </c>
      <c r="J65" s="15" t="s">
        <v>2744</v>
      </c>
      <c r="K65" s="15" t="s">
        <v>2749</v>
      </c>
      <c r="L65" s="15" t="s">
        <v>2764</v>
      </c>
    </row>
    <row r="66" ht="56.25" customHeight="1">
      <c r="A66" s="64" t="s">
        <v>3910</v>
      </c>
      <c r="B66" s="48" t="str">
        <f>image("https://storage.googleapis.com/acdb/accessories/AccessoryGlassPatchBlack.png")</f>
        <v/>
      </c>
      <c r="C66" s="15"/>
      <c r="D66" s="15" t="s">
        <v>28</v>
      </c>
      <c r="E66" s="15" t="s">
        <v>43</v>
      </c>
      <c r="F66" s="13">
        <v>140.0</v>
      </c>
      <c r="G66" s="13">
        <v>35.0</v>
      </c>
      <c r="H66" s="15">
        <v>4457.0</v>
      </c>
      <c r="I66" s="15" t="s">
        <v>38</v>
      </c>
      <c r="J66" s="15" t="s">
        <v>2756</v>
      </c>
      <c r="K66" s="15" t="s">
        <v>2749</v>
      </c>
      <c r="L66" s="15" t="s">
        <v>2751</v>
      </c>
    </row>
    <row r="67" ht="56.25" customHeight="1">
      <c r="A67" s="64" t="s">
        <v>3913</v>
      </c>
      <c r="B67" s="48" t="str">
        <f>image("https://storage.googleapis.com/acdb/accessories/AccessoryGlassmouthPackWhite.png")</f>
        <v/>
      </c>
      <c r="C67" s="15"/>
      <c r="D67" s="15" t="s">
        <v>28</v>
      </c>
      <c r="E67" s="15" t="s">
        <v>43</v>
      </c>
      <c r="F67" s="13">
        <v>560.0</v>
      </c>
      <c r="G67" s="13">
        <v>140.0</v>
      </c>
      <c r="H67" s="15">
        <v>4512.0</v>
      </c>
      <c r="I67" s="15" t="s">
        <v>38</v>
      </c>
      <c r="J67" s="15" t="s">
        <v>2744</v>
      </c>
      <c r="K67" s="15" t="s">
        <v>2749</v>
      </c>
      <c r="L67" s="15" t="s">
        <v>2751</v>
      </c>
    </row>
    <row r="68" ht="56.25" customHeight="1">
      <c r="A68" s="64" t="s">
        <v>3915</v>
      </c>
      <c r="B68" s="48" t="str">
        <f>image("https://storage.googleapis.com/acdb/accessories/AccessoryGlassmouthNoseRed.png")</f>
        <v/>
      </c>
      <c r="C68" s="15"/>
      <c r="D68" s="15" t="s">
        <v>28</v>
      </c>
      <c r="E68" s="15" t="s">
        <v>43</v>
      </c>
      <c r="F68" s="13">
        <v>490.0</v>
      </c>
      <c r="G68" s="13">
        <v>122.0</v>
      </c>
      <c r="H68" s="15">
        <v>4496.0</v>
      </c>
      <c r="I68" s="15" t="s">
        <v>38</v>
      </c>
      <c r="J68" s="15" t="s">
        <v>384</v>
      </c>
      <c r="K68" s="15" t="s">
        <v>2749</v>
      </c>
      <c r="L68" s="15" t="s">
        <v>2751</v>
      </c>
    </row>
    <row r="69" ht="56.25" customHeight="1">
      <c r="A69" s="64" t="s">
        <v>3919</v>
      </c>
      <c r="B69" s="48" t="str">
        <f>image("https://storage.googleapis.com/acdb/accessories/AccessoryGlassFlower0.png")</f>
        <v/>
      </c>
      <c r="C69" s="15"/>
      <c r="D69" s="15" t="s">
        <v>28</v>
      </c>
      <c r="E69" s="15" t="s">
        <v>43</v>
      </c>
      <c r="F69" s="13">
        <v>770.0</v>
      </c>
      <c r="G69" s="13">
        <v>192.0</v>
      </c>
      <c r="H69" s="15">
        <v>5739.0</v>
      </c>
      <c r="I69" s="15" t="s">
        <v>38</v>
      </c>
      <c r="J69" s="15" t="s">
        <v>384</v>
      </c>
      <c r="K69" s="15" t="s">
        <v>2749</v>
      </c>
      <c r="L69" s="15" t="s">
        <v>2764</v>
      </c>
    </row>
    <row r="70" ht="56.25" customHeight="1">
      <c r="A70" s="64" t="s">
        <v>3919</v>
      </c>
      <c r="B70" s="48" t="str">
        <f>image("https://storage.googleapis.com/acdb/accessories/AccessoryGlassFlower1.png")</f>
        <v/>
      </c>
      <c r="C70" s="15"/>
      <c r="D70" s="15" t="s">
        <v>28</v>
      </c>
      <c r="E70" s="15" t="s">
        <v>43</v>
      </c>
      <c r="F70" s="13">
        <v>770.0</v>
      </c>
      <c r="G70" s="13">
        <v>192.0</v>
      </c>
      <c r="H70" s="15">
        <v>5739.0</v>
      </c>
      <c r="I70" s="15" t="s">
        <v>38</v>
      </c>
      <c r="J70" s="15" t="s">
        <v>384</v>
      </c>
      <c r="K70" s="15" t="s">
        <v>2749</v>
      </c>
      <c r="L70" s="15" t="s">
        <v>2764</v>
      </c>
    </row>
    <row r="71" ht="56.25" customHeight="1">
      <c r="A71" s="64" t="s">
        <v>3919</v>
      </c>
      <c r="B71" s="48" t="str">
        <f>image("https://storage.googleapis.com/acdb/accessories/AccessoryGlassFlower2.png")</f>
        <v/>
      </c>
      <c r="C71" s="15"/>
      <c r="D71" s="15" t="s">
        <v>28</v>
      </c>
      <c r="E71" s="15" t="s">
        <v>43</v>
      </c>
      <c r="F71" s="13">
        <v>770.0</v>
      </c>
      <c r="G71" s="13">
        <v>192.0</v>
      </c>
      <c r="H71" s="15">
        <v>5739.0</v>
      </c>
      <c r="I71" s="15" t="s">
        <v>38</v>
      </c>
      <c r="J71" s="15" t="s">
        <v>384</v>
      </c>
      <c r="K71" s="15" t="s">
        <v>2749</v>
      </c>
      <c r="L71" s="15" t="s">
        <v>2764</v>
      </c>
    </row>
    <row r="72" ht="56.25" customHeight="1">
      <c r="A72" s="64" t="s">
        <v>3919</v>
      </c>
      <c r="B72" s="48" t="str">
        <f>image("https://storage.googleapis.com/acdb/accessories/AccessoryGlassFlower3.png")</f>
        <v/>
      </c>
      <c r="C72" s="15"/>
      <c r="D72" s="15" t="s">
        <v>28</v>
      </c>
      <c r="E72" s="15" t="s">
        <v>43</v>
      </c>
      <c r="F72" s="13">
        <v>770.0</v>
      </c>
      <c r="G72" s="13">
        <v>192.0</v>
      </c>
      <c r="H72" s="15">
        <v>5739.0</v>
      </c>
      <c r="I72" s="15" t="s">
        <v>38</v>
      </c>
      <c r="J72" s="15" t="s">
        <v>384</v>
      </c>
      <c r="K72" s="15" t="s">
        <v>2749</v>
      </c>
      <c r="L72" s="15" t="s">
        <v>2764</v>
      </c>
    </row>
    <row r="73" ht="56.25" customHeight="1">
      <c r="A73" s="64" t="s">
        <v>3919</v>
      </c>
      <c r="B73" s="48" t="str">
        <f>image("https://storage.googleapis.com/acdb/accessories/AccessoryGlassFlower4.png")</f>
        <v/>
      </c>
      <c r="C73" s="15"/>
      <c r="D73" s="15" t="s">
        <v>28</v>
      </c>
      <c r="E73" s="15" t="s">
        <v>43</v>
      </c>
      <c r="F73" s="13">
        <v>770.0</v>
      </c>
      <c r="G73" s="13">
        <v>192.0</v>
      </c>
      <c r="H73" s="15">
        <v>5739.0</v>
      </c>
      <c r="I73" s="15" t="s">
        <v>38</v>
      </c>
      <c r="J73" s="15" t="s">
        <v>384</v>
      </c>
      <c r="K73" s="15" t="s">
        <v>2749</v>
      </c>
      <c r="L73" s="15" t="s">
        <v>2764</v>
      </c>
    </row>
    <row r="74" ht="56.25" customHeight="1">
      <c r="A74" s="64" t="s">
        <v>3925</v>
      </c>
      <c r="B74" s="48" t="str">
        <f>image("https://storage.googleapis.com/acdb/accessories/AccessoryMouthPasta.png")</f>
        <v/>
      </c>
      <c r="C74" s="15"/>
      <c r="D74" s="15" t="s">
        <v>28</v>
      </c>
      <c r="E74" s="15" t="s">
        <v>43</v>
      </c>
      <c r="F74" s="13">
        <v>490.0</v>
      </c>
      <c r="G74" s="13">
        <v>122.0</v>
      </c>
      <c r="H74" s="15">
        <v>5857.0</v>
      </c>
      <c r="I74" s="15" t="s">
        <v>38</v>
      </c>
      <c r="J74" s="15" t="s">
        <v>2744</v>
      </c>
      <c r="K74" s="15" t="s">
        <v>2749</v>
      </c>
      <c r="L74" s="15" t="s">
        <v>2764</v>
      </c>
    </row>
    <row r="75" ht="56.25" customHeight="1">
      <c r="A75" s="64" t="s">
        <v>3928</v>
      </c>
      <c r="B75" s="48" t="str">
        <f>image("https://storage.googleapis.com/acdb/accessories/AccessoryGlassEyes0.png")</f>
        <v/>
      </c>
      <c r="C75" s="15"/>
      <c r="D75" s="15" t="s">
        <v>28</v>
      </c>
      <c r="E75" s="15" t="s">
        <v>43</v>
      </c>
      <c r="F75" s="13">
        <v>1100.0</v>
      </c>
      <c r="G75" s="13">
        <v>275.0</v>
      </c>
      <c r="H75" s="15">
        <v>4513.0</v>
      </c>
      <c r="I75" s="15" t="s">
        <v>38</v>
      </c>
      <c r="J75" s="15" t="s">
        <v>384</v>
      </c>
      <c r="K75" s="15" t="s">
        <v>2749</v>
      </c>
      <c r="L75" s="15" t="s">
        <v>2751</v>
      </c>
    </row>
    <row r="76" ht="56.25" customHeight="1">
      <c r="A76" s="64" t="s">
        <v>3928</v>
      </c>
      <c r="B76" s="48" t="str">
        <f>image("https://storage.googleapis.com/acdb/accessories/AccessoryGlassEyes1.png")</f>
        <v/>
      </c>
      <c r="C76" s="15"/>
      <c r="D76" s="15" t="s">
        <v>28</v>
      </c>
      <c r="E76" s="15" t="s">
        <v>43</v>
      </c>
      <c r="F76" s="13">
        <v>1100.0</v>
      </c>
      <c r="G76" s="13">
        <v>275.0</v>
      </c>
      <c r="H76" s="15">
        <v>4513.0</v>
      </c>
      <c r="I76" s="15" t="s">
        <v>38</v>
      </c>
      <c r="J76" s="15" t="s">
        <v>384</v>
      </c>
      <c r="K76" s="15" t="s">
        <v>2749</v>
      </c>
      <c r="L76" s="15" t="s">
        <v>2751</v>
      </c>
    </row>
    <row r="77" ht="56.25" customHeight="1">
      <c r="A77" s="64" t="s">
        <v>3928</v>
      </c>
      <c r="B77" s="48" t="str">
        <f>image("https://storage.googleapis.com/acdb/accessories/AccessoryGlassEyes2.png")</f>
        <v/>
      </c>
      <c r="C77" s="15"/>
      <c r="D77" s="15" t="s">
        <v>28</v>
      </c>
      <c r="E77" s="15" t="s">
        <v>43</v>
      </c>
      <c r="F77" s="13">
        <v>1100.0</v>
      </c>
      <c r="G77" s="13">
        <v>275.0</v>
      </c>
      <c r="H77" s="15">
        <v>4513.0</v>
      </c>
      <c r="I77" s="15" t="s">
        <v>38</v>
      </c>
      <c r="J77" s="15" t="s">
        <v>384</v>
      </c>
      <c r="K77" s="15" t="s">
        <v>2749</v>
      </c>
      <c r="L77" s="15" t="s">
        <v>2751</v>
      </c>
    </row>
    <row r="78" ht="56.25" customHeight="1">
      <c r="A78" s="64" t="s">
        <v>3932</v>
      </c>
      <c r="B78" s="48" t="str">
        <f>image("https://storage.googleapis.com/acdb/accessories/AccessoryGlassmouthGasmask0.png")</f>
        <v/>
      </c>
      <c r="C78" s="15"/>
      <c r="D78" s="15" t="s">
        <v>28</v>
      </c>
      <c r="E78" s="15" t="s">
        <v>43</v>
      </c>
      <c r="F78" s="13">
        <v>1100.0</v>
      </c>
      <c r="G78" s="13">
        <v>275.0</v>
      </c>
      <c r="H78" s="15">
        <v>4649.0</v>
      </c>
      <c r="I78" s="15" t="s">
        <v>38</v>
      </c>
      <c r="J78" s="15" t="s">
        <v>2756</v>
      </c>
      <c r="K78" s="15" t="s">
        <v>2749</v>
      </c>
      <c r="L78" s="15" t="s">
        <v>2751</v>
      </c>
    </row>
    <row r="79" ht="56.25" customHeight="1">
      <c r="A79" s="64" t="s">
        <v>3932</v>
      </c>
      <c r="B79" s="48" t="str">
        <f>image("https://storage.googleapis.com/acdb/accessories/AccessoryGlassmouthGasmask1.png")</f>
        <v/>
      </c>
      <c r="C79" s="15"/>
      <c r="D79" s="15" t="s">
        <v>28</v>
      </c>
      <c r="E79" s="15" t="s">
        <v>43</v>
      </c>
      <c r="F79" s="13">
        <v>1100.0</v>
      </c>
      <c r="G79" s="13">
        <v>275.0</v>
      </c>
      <c r="H79" s="15">
        <v>4649.0</v>
      </c>
      <c r="I79" s="15" t="s">
        <v>38</v>
      </c>
      <c r="J79" s="15" t="s">
        <v>2756</v>
      </c>
      <c r="K79" s="15" t="s">
        <v>2749</v>
      </c>
      <c r="L79" s="15" t="s">
        <v>2751</v>
      </c>
    </row>
    <row r="80" ht="56.25" customHeight="1">
      <c r="A80" s="64" t="s">
        <v>3935</v>
      </c>
      <c r="B80" s="48" t="str">
        <f>image("https://storage.googleapis.com/acdb/accessories/AccessoryGlassBottleBlack.png")</f>
        <v/>
      </c>
      <c r="C80" s="15"/>
      <c r="D80" s="15" t="s">
        <v>28</v>
      </c>
      <c r="E80" s="15" t="s">
        <v>43</v>
      </c>
      <c r="F80" s="13">
        <v>1100.0</v>
      </c>
      <c r="G80" s="13">
        <v>275.0</v>
      </c>
      <c r="H80" s="15">
        <v>4282.0</v>
      </c>
      <c r="I80" s="15" t="s">
        <v>38</v>
      </c>
      <c r="J80" s="15" t="s">
        <v>2744</v>
      </c>
      <c r="K80" s="15" t="s">
        <v>2749</v>
      </c>
      <c r="L80" s="15" t="s">
        <v>2764</v>
      </c>
    </row>
    <row r="81" ht="56.25" customHeight="1">
      <c r="A81" s="64" t="s">
        <v>3939</v>
      </c>
      <c r="B81" s="48" t="str">
        <f>image("https://storage.googleapis.com/acdb/accessories/AccessoryMouthBeardChinBlack.png")</f>
        <v/>
      </c>
      <c r="C81" s="15"/>
      <c r="D81" s="15" t="s">
        <v>28</v>
      </c>
      <c r="E81" s="15" t="s">
        <v>43</v>
      </c>
      <c r="F81" s="13">
        <v>980.0</v>
      </c>
      <c r="G81" s="13">
        <v>245.0</v>
      </c>
      <c r="H81" s="15">
        <v>4676.0</v>
      </c>
      <c r="I81" s="15" t="s">
        <v>38</v>
      </c>
      <c r="J81" s="15" t="s">
        <v>2756</v>
      </c>
      <c r="K81" s="15" t="s">
        <v>2749</v>
      </c>
      <c r="L81" s="15" t="s">
        <v>2751</v>
      </c>
    </row>
    <row r="82" ht="56.25" customHeight="1">
      <c r="A82" s="64" t="s">
        <v>3941</v>
      </c>
      <c r="B82" s="48" t="str">
        <f>image("https://storage.googleapis.com/acdb/accessories/AccessoryGlassGoggles0.png")</f>
        <v/>
      </c>
      <c r="C82" s="15"/>
      <c r="D82" s="15" t="s">
        <v>28</v>
      </c>
      <c r="E82" s="15" t="s">
        <v>43</v>
      </c>
      <c r="F82" s="13">
        <v>560.0</v>
      </c>
      <c r="G82" s="13">
        <v>140.0</v>
      </c>
      <c r="H82" s="15">
        <v>4454.0</v>
      </c>
      <c r="I82" s="15" t="s">
        <v>38</v>
      </c>
      <c r="J82" s="15" t="s">
        <v>2793</v>
      </c>
      <c r="K82" s="15" t="s">
        <v>2749</v>
      </c>
      <c r="L82" s="15" t="s">
        <v>2764</v>
      </c>
    </row>
    <row r="83" ht="56.25" customHeight="1">
      <c r="A83" s="64" t="s">
        <v>3941</v>
      </c>
      <c r="B83" s="48" t="str">
        <f>image("https://storage.googleapis.com/acdb/accessories/AccessoryGlassGoggles1.png")</f>
        <v/>
      </c>
      <c r="C83" s="15"/>
      <c r="D83" s="15" t="s">
        <v>28</v>
      </c>
      <c r="E83" s="15" t="s">
        <v>43</v>
      </c>
      <c r="F83" s="13">
        <v>560.0</v>
      </c>
      <c r="G83" s="13">
        <v>140.0</v>
      </c>
      <c r="H83" s="15">
        <v>4454.0</v>
      </c>
      <c r="I83" s="15" t="s">
        <v>38</v>
      </c>
      <c r="J83" s="15" t="s">
        <v>2793</v>
      </c>
      <c r="K83" s="15" t="s">
        <v>2749</v>
      </c>
      <c r="L83" s="15" t="s">
        <v>2764</v>
      </c>
    </row>
    <row r="84" ht="56.25" customHeight="1">
      <c r="A84" s="64" t="s">
        <v>3941</v>
      </c>
      <c r="B84" s="48" t="str">
        <f>image("https://storage.googleapis.com/acdb/accessories/AccessoryGlassGoggles2.png")</f>
        <v/>
      </c>
      <c r="C84" s="15"/>
      <c r="D84" s="15" t="s">
        <v>28</v>
      </c>
      <c r="E84" s="15" t="s">
        <v>43</v>
      </c>
      <c r="F84" s="13">
        <v>560.0</v>
      </c>
      <c r="G84" s="13">
        <v>140.0</v>
      </c>
      <c r="H84" s="15">
        <v>4454.0</v>
      </c>
      <c r="I84" s="15" t="s">
        <v>38</v>
      </c>
      <c r="J84" s="15" t="s">
        <v>2793</v>
      </c>
      <c r="K84" s="15" t="s">
        <v>2749</v>
      </c>
      <c r="L84" s="15" t="s">
        <v>2764</v>
      </c>
    </row>
    <row r="85" ht="56.25" customHeight="1">
      <c r="A85" s="64" t="s">
        <v>3941</v>
      </c>
      <c r="B85" s="48" t="str">
        <f>image("https://storage.googleapis.com/acdb/accessories/AccessoryGlassGoggles3.png")</f>
        <v/>
      </c>
      <c r="C85" s="15"/>
      <c r="D85" s="15" t="s">
        <v>28</v>
      </c>
      <c r="E85" s="15" t="s">
        <v>43</v>
      </c>
      <c r="F85" s="13">
        <v>560.0</v>
      </c>
      <c r="G85" s="13">
        <v>140.0</v>
      </c>
      <c r="H85" s="15">
        <v>4454.0</v>
      </c>
      <c r="I85" s="15" t="s">
        <v>38</v>
      </c>
      <c r="J85" s="15" t="s">
        <v>2793</v>
      </c>
      <c r="K85" s="15" t="s">
        <v>2749</v>
      </c>
      <c r="L85" s="15" t="s">
        <v>2764</v>
      </c>
    </row>
    <row r="86" ht="56.25" customHeight="1">
      <c r="A86" s="64" t="s">
        <v>3941</v>
      </c>
      <c r="B86" s="48" t="str">
        <f>image("https://storage.googleapis.com/acdb/accessories/AccessoryGlassGoggles4.png")</f>
        <v/>
      </c>
      <c r="C86" s="15"/>
      <c r="D86" s="15" t="s">
        <v>28</v>
      </c>
      <c r="E86" s="15" t="s">
        <v>43</v>
      </c>
      <c r="F86" s="13">
        <v>560.0</v>
      </c>
      <c r="G86" s="13">
        <v>140.0</v>
      </c>
      <c r="H86" s="15">
        <v>4454.0</v>
      </c>
      <c r="I86" s="15" t="s">
        <v>38</v>
      </c>
      <c r="J86" s="15" t="s">
        <v>2793</v>
      </c>
      <c r="K86" s="15" t="s">
        <v>2749</v>
      </c>
      <c r="L86" s="15" t="s">
        <v>2764</v>
      </c>
    </row>
    <row r="87" ht="56.25" customHeight="1">
      <c r="A87" s="64" t="s">
        <v>3941</v>
      </c>
      <c r="B87" s="48" t="str">
        <f>image("https://storage.googleapis.com/acdb/accessories/AccessoryGlassGoggles5.png")</f>
        <v/>
      </c>
      <c r="C87" s="15"/>
      <c r="D87" s="15" t="s">
        <v>28</v>
      </c>
      <c r="E87" s="15" t="s">
        <v>43</v>
      </c>
      <c r="F87" s="13">
        <v>560.0</v>
      </c>
      <c r="G87" s="13">
        <v>140.0</v>
      </c>
      <c r="H87" s="15">
        <v>4454.0</v>
      </c>
      <c r="I87" s="15" t="s">
        <v>38</v>
      </c>
      <c r="J87" s="15" t="s">
        <v>2793</v>
      </c>
      <c r="K87" s="15" t="s">
        <v>2749</v>
      </c>
      <c r="L87" s="15" t="s">
        <v>2764</v>
      </c>
    </row>
    <row r="88" ht="56.25" customHeight="1">
      <c r="A88" s="64" t="s">
        <v>3949</v>
      </c>
      <c r="B88" s="48" t="str">
        <f>image("https://storage.googleapis.com/acdb/accessories/AccessoryMouthBeardBlack.png")</f>
        <v/>
      </c>
      <c r="C88" s="15"/>
      <c r="D88" s="15" t="s">
        <v>28</v>
      </c>
      <c r="E88" s="15" t="s">
        <v>43</v>
      </c>
      <c r="F88" s="13">
        <v>1120.0</v>
      </c>
      <c r="G88" s="13">
        <v>280.0</v>
      </c>
      <c r="H88" s="15">
        <v>3550.0</v>
      </c>
      <c r="I88" s="15" t="s">
        <v>38</v>
      </c>
      <c r="J88" s="15" t="s">
        <v>2863</v>
      </c>
      <c r="K88" s="15" t="s">
        <v>2749</v>
      </c>
      <c r="L88" s="15" t="s">
        <v>2751</v>
      </c>
    </row>
    <row r="89" ht="56.25" customHeight="1">
      <c r="A89" s="64" t="s">
        <v>3951</v>
      </c>
      <c r="B89" s="48" t="str">
        <f>image("https://storage.googleapis.com/acdb/accessories/AccessoryGlassHeart0.png")</f>
        <v/>
      </c>
      <c r="C89" s="15"/>
      <c r="D89" s="15" t="s">
        <v>28</v>
      </c>
      <c r="E89" s="15" t="s">
        <v>43</v>
      </c>
      <c r="F89" s="13">
        <v>1040.0</v>
      </c>
      <c r="G89" s="13">
        <v>260.0</v>
      </c>
      <c r="H89" s="15">
        <v>4237.0</v>
      </c>
      <c r="I89" s="15" t="s">
        <v>38</v>
      </c>
      <c r="J89" s="15" t="s">
        <v>384</v>
      </c>
      <c r="K89" s="15" t="s">
        <v>2749</v>
      </c>
      <c r="L89" s="15" t="s">
        <v>2764</v>
      </c>
    </row>
    <row r="90" ht="56.25" customHeight="1">
      <c r="A90" s="64" t="s">
        <v>3951</v>
      </c>
      <c r="B90" s="48" t="str">
        <f>image("https://storage.googleapis.com/acdb/accessories/AccessoryGlassHeart1.png")</f>
        <v/>
      </c>
      <c r="C90" s="15"/>
      <c r="D90" s="15" t="s">
        <v>28</v>
      </c>
      <c r="E90" s="15" t="s">
        <v>43</v>
      </c>
      <c r="F90" s="13">
        <v>1040.0</v>
      </c>
      <c r="G90" s="13">
        <v>260.0</v>
      </c>
      <c r="H90" s="15">
        <v>4237.0</v>
      </c>
      <c r="I90" s="15" t="s">
        <v>38</v>
      </c>
      <c r="J90" s="15" t="s">
        <v>384</v>
      </c>
      <c r="K90" s="15" t="s">
        <v>2749</v>
      </c>
      <c r="L90" s="15" t="s">
        <v>2764</v>
      </c>
    </row>
    <row r="91" ht="56.25" customHeight="1">
      <c r="A91" s="64" t="s">
        <v>3951</v>
      </c>
      <c r="B91" s="48" t="str">
        <f>image("https://storage.googleapis.com/acdb/accessories/AccessoryGlassHeart2.png")</f>
        <v/>
      </c>
      <c r="C91" s="15"/>
      <c r="D91" s="15" t="s">
        <v>28</v>
      </c>
      <c r="E91" s="15" t="s">
        <v>43</v>
      </c>
      <c r="F91" s="13">
        <v>1040.0</v>
      </c>
      <c r="G91" s="13">
        <v>260.0</v>
      </c>
      <c r="H91" s="15">
        <v>4237.0</v>
      </c>
      <c r="I91" s="15" t="s">
        <v>38</v>
      </c>
      <c r="J91" s="15" t="s">
        <v>384</v>
      </c>
      <c r="K91" s="15" t="s">
        <v>2749</v>
      </c>
      <c r="L91" s="15" t="s">
        <v>2764</v>
      </c>
    </row>
    <row r="92" ht="56.25" customHeight="1">
      <c r="A92" s="64" t="s">
        <v>3951</v>
      </c>
      <c r="B92" s="48" t="str">
        <f>image("https://storage.googleapis.com/acdb/accessories/AccessoryGlassHeart3.png")</f>
        <v/>
      </c>
      <c r="C92" s="15"/>
      <c r="D92" s="15" t="s">
        <v>28</v>
      </c>
      <c r="E92" s="15" t="s">
        <v>43</v>
      </c>
      <c r="F92" s="13">
        <v>1040.0</v>
      </c>
      <c r="G92" s="13">
        <v>260.0</v>
      </c>
      <c r="H92" s="15">
        <v>4237.0</v>
      </c>
      <c r="I92" s="15" t="s">
        <v>38</v>
      </c>
      <c r="J92" s="15" t="s">
        <v>384</v>
      </c>
      <c r="K92" s="15" t="s">
        <v>2749</v>
      </c>
      <c r="L92" s="15" t="s">
        <v>2764</v>
      </c>
    </row>
    <row r="93" ht="56.25" customHeight="1">
      <c r="A93" s="64" t="s">
        <v>3951</v>
      </c>
      <c r="B93" s="48" t="str">
        <f>image("https://storage.googleapis.com/acdb/accessories/AccessoryGlassHeart4.png")</f>
        <v/>
      </c>
      <c r="C93" s="15"/>
      <c r="D93" s="15" t="s">
        <v>28</v>
      </c>
      <c r="E93" s="15" t="s">
        <v>43</v>
      </c>
      <c r="F93" s="13">
        <v>1040.0</v>
      </c>
      <c r="G93" s="13">
        <v>260.0</v>
      </c>
      <c r="H93" s="15">
        <v>4237.0</v>
      </c>
      <c r="I93" s="15" t="s">
        <v>38</v>
      </c>
      <c r="J93" s="15" t="s">
        <v>384</v>
      </c>
      <c r="K93" s="15" t="s">
        <v>2749</v>
      </c>
      <c r="L93" s="15" t="s">
        <v>2764</v>
      </c>
    </row>
    <row r="94" ht="56.25" customHeight="1">
      <c r="A94" s="64" t="s">
        <v>3960</v>
      </c>
      <c r="B94" s="48" t="str">
        <f>image("https://storage.googleapis.com/acdb/accessories/AccessoryGlassHmdWhite.png")</f>
        <v/>
      </c>
      <c r="C94" s="15"/>
      <c r="D94" s="15" t="s">
        <v>28</v>
      </c>
      <c r="E94" s="15" t="s">
        <v>43</v>
      </c>
      <c r="F94" s="13">
        <v>2000.0</v>
      </c>
      <c r="G94" s="13">
        <v>500.0</v>
      </c>
      <c r="H94" s="15">
        <v>5182.0</v>
      </c>
      <c r="I94" s="15" t="s">
        <v>38</v>
      </c>
      <c r="J94" s="15" t="s">
        <v>2756</v>
      </c>
      <c r="K94" s="15" t="s">
        <v>2749</v>
      </c>
      <c r="L94" s="15" t="s">
        <v>2751</v>
      </c>
    </row>
    <row r="95" ht="56.25" customHeight="1">
      <c r="A95" s="64" t="s">
        <v>3833</v>
      </c>
      <c r="B95" s="48" t="str">
        <f>image("https://storage.googleapis.com/acdb/accessories/AccessoryGlassmouthHockeyWhite.png")</f>
        <v/>
      </c>
      <c r="C95" s="15"/>
      <c r="D95" s="66" t="s">
        <v>28</v>
      </c>
      <c r="E95" s="67" t="s">
        <v>43</v>
      </c>
      <c r="F95" s="39">
        <v>1440.0</v>
      </c>
      <c r="G95" s="13"/>
      <c r="H95" s="15"/>
      <c r="I95" s="67" t="s">
        <v>38</v>
      </c>
      <c r="J95" s="15"/>
      <c r="K95" s="67" t="s">
        <v>2749</v>
      </c>
      <c r="L95" s="15"/>
    </row>
    <row r="96" ht="56.25" customHeight="1">
      <c r="A96" s="64" t="s">
        <v>3965</v>
      </c>
      <c r="B96" s="48" t="str">
        <f>image("https://storage.googleapis.com/acdb/accessories/AccessoryGlassmouthPierrot0.png")</f>
        <v/>
      </c>
      <c r="C96" s="15"/>
      <c r="D96" s="15" t="s">
        <v>28</v>
      </c>
      <c r="E96" s="15" t="s">
        <v>43</v>
      </c>
      <c r="F96" s="13">
        <v>1760.0</v>
      </c>
      <c r="G96" s="13">
        <v>440.0</v>
      </c>
      <c r="H96" s="15">
        <v>4678.0</v>
      </c>
      <c r="I96" s="15" t="s">
        <v>38</v>
      </c>
      <c r="J96" s="15" t="s">
        <v>2756</v>
      </c>
      <c r="K96" s="15" t="s">
        <v>2749</v>
      </c>
      <c r="L96" s="15" t="s">
        <v>2751</v>
      </c>
    </row>
    <row r="97" ht="56.25" customHeight="1">
      <c r="A97" s="64" t="s">
        <v>3965</v>
      </c>
      <c r="B97" s="48" t="str">
        <f>image("https://storage.googleapis.com/acdb/accessories/AccessoryGlassmouthPierrot1.png")</f>
        <v/>
      </c>
      <c r="C97" s="15"/>
      <c r="D97" s="15" t="s">
        <v>28</v>
      </c>
      <c r="E97" s="15" t="s">
        <v>43</v>
      </c>
      <c r="F97" s="13">
        <v>1760.0</v>
      </c>
      <c r="G97" s="13">
        <v>440.0</v>
      </c>
      <c r="H97" s="15">
        <v>4678.0</v>
      </c>
      <c r="I97" s="15" t="s">
        <v>38</v>
      </c>
      <c r="J97" s="15" t="s">
        <v>2756</v>
      </c>
      <c r="K97" s="15" t="s">
        <v>2749</v>
      </c>
      <c r="L97" s="15" t="s">
        <v>2751</v>
      </c>
    </row>
    <row r="98" ht="56.25" customHeight="1">
      <c r="A98" s="64" t="s">
        <v>3965</v>
      </c>
      <c r="B98" s="48" t="str">
        <f>image("https://storage.googleapis.com/acdb/accessories/AccessoryGlassmouthPierrot2.png")</f>
        <v/>
      </c>
      <c r="C98" s="15"/>
      <c r="D98" s="15" t="s">
        <v>28</v>
      </c>
      <c r="E98" s="15" t="s">
        <v>43</v>
      </c>
      <c r="F98" s="13">
        <v>1760.0</v>
      </c>
      <c r="G98" s="13">
        <v>440.0</v>
      </c>
      <c r="H98" s="15">
        <v>4678.0</v>
      </c>
      <c r="I98" s="15" t="s">
        <v>38</v>
      </c>
      <c r="J98" s="15" t="s">
        <v>2756</v>
      </c>
      <c r="K98" s="15" t="s">
        <v>2749</v>
      </c>
      <c r="L98" s="15" t="s">
        <v>2751</v>
      </c>
    </row>
    <row r="99" ht="56.25" customHeight="1">
      <c r="A99" s="64" t="s">
        <v>3965</v>
      </c>
      <c r="B99" s="48" t="str">
        <f>image("https://storage.googleapis.com/acdb/accessories/AccessoryGlassmouthPierrot3.png")</f>
        <v/>
      </c>
      <c r="C99" s="15"/>
      <c r="D99" s="15" t="s">
        <v>28</v>
      </c>
      <c r="E99" s="15" t="s">
        <v>43</v>
      </c>
      <c r="F99" s="13">
        <v>1760.0</v>
      </c>
      <c r="G99" s="13">
        <v>440.0</v>
      </c>
      <c r="H99" s="15">
        <v>4678.0</v>
      </c>
      <c r="I99" s="15" t="s">
        <v>38</v>
      </c>
      <c r="J99" s="15" t="s">
        <v>2756</v>
      </c>
      <c r="K99" s="15" t="s">
        <v>2749</v>
      </c>
      <c r="L99" s="15" t="s">
        <v>2751</v>
      </c>
    </row>
    <row r="100" ht="56.25" customHeight="1">
      <c r="A100" s="64" t="s">
        <v>3974</v>
      </c>
      <c r="B100" s="48" t="str">
        <f>image("https://storage.googleapis.com/acdb/accessories/AccessoryGlassKate0.png")</f>
        <v/>
      </c>
      <c r="C100" s="15"/>
      <c r="D100" s="15" t="s">
        <v>28</v>
      </c>
      <c r="E100" s="15" t="s">
        <v>43</v>
      </c>
      <c r="F100" s="13">
        <v>2000.0</v>
      </c>
      <c r="G100" s="13">
        <v>500.0</v>
      </c>
      <c r="H100" s="15">
        <v>9887.0</v>
      </c>
      <c r="I100" s="15" t="s">
        <v>38</v>
      </c>
      <c r="J100" s="15" t="s">
        <v>852</v>
      </c>
      <c r="K100" s="15" t="s">
        <v>3134</v>
      </c>
      <c r="L100" s="15"/>
    </row>
    <row r="101" ht="56.25" customHeight="1">
      <c r="A101" s="64" t="s">
        <v>3974</v>
      </c>
      <c r="B101" s="48" t="str">
        <f>image("https://storage.googleapis.com/acdb/accessories/AccessoryGlassKate1.png")</f>
        <v/>
      </c>
      <c r="C101" s="15"/>
      <c r="D101" s="15" t="s">
        <v>28</v>
      </c>
      <c r="E101" s="15" t="s">
        <v>43</v>
      </c>
      <c r="F101" s="13">
        <v>2000.0</v>
      </c>
      <c r="G101" s="13">
        <v>500.0</v>
      </c>
      <c r="H101" s="15">
        <v>9887.0</v>
      </c>
      <c r="I101" s="15" t="s">
        <v>38</v>
      </c>
      <c r="J101" s="15" t="s">
        <v>852</v>
      </c>
      <c r="K101" s="15" t="s">
        <v>3134</v>
      </c>
      <c r="L101" s="15"/>
    </row>
    <row r="102" ht="56.25" customHeight="1">
      <c r="A102" s="64" t="s">
        <v>3974</v>
      </c>
      <c r="B102" s="48" t="str">
        <f>image("https://storage.googleapis.com/acdb/accessories/AccessoryGlassKate2.png")</f>
        <v/>
      </c>
      <c r="C102" s="15"/>
      <c r="D102" s="15" t="s">
        <v>28</v>
      </c>
      <c r="E102" s="15" t="s">
        <v>43</v>
      </c>
      <c r="F102" s="13">
        <v>2000.0</v>
      </c>
      <c r="G102" s="13">
        <v>500.0</v>
      </c>
      <c r="H102" s="15">
        <v>9887.0</v>
      </c>
      <c r="I102" s="15" t="s">
        <v>38</v>
      </c>
      <c r="J102" s="15" t="s">
        <v>852</v>
      </c>
      <c r="K102" s="15" t="s">
        <v>3134</v>
      </c>
      <c r="L102" s="15"/>
    </row>
    <row r="103" ht="56.25" customHeight="1">
      <c r="A103" s="64" t="s">
        <v>3974</v>
      </c>
      <c r="B103" s="48" t="str">
        <f>image("https://storage.googleapis.com/acdb/accessories/AccessoryGlassKate3.png")</f>
        <v/>
      </c>
      <c r="C103" s="15"/>
      <c r="D103" s="15" t="s">
        <v>28</v>
      </c>
      <c r="E103" s="15" t="s">
        <v>43</v>
      </c>
      <c r="F103" s="13">
        <v>2000.0</v>
      </c>
      <c r="G103" s="13">
        <v>500.0</v>
      </c>
      <c r="H103" s="15">
        <v>9887.0</v>
      </c>
      <c r="I103" s="15" t="s">
        <v>38</v>
      </c>
      <c r="J103" s="15" t="s">
        <v>852</v>
      </c>
      <c r="K103" s="15" t="s">
        <v>3134</v>
      </c>
      <c r="L103" s="15"/>
    </row>
    <row r="104" ht="56.25" customHeight="1">
      <c r="A104" s="64" t="s">
        <v>3974</v>
      </c>
      <c r="B104" s="48" t="str">
        <f>image("https://storage.googleapis.com/acdb/accessories/AccessoryGlassKate4.png")</f>
        <v/>
      </c>
      <c r="C104" s="15"/>
      <c r="D104" s="15" t="s">
        <v>28</v>
      </c>
      <c r="E104" s="15" t="s">
        <v>43</v>
      </c>
      <c r="F104" s="13">
        <v>2000.0</v>
      </c>
      <c r="G104" s="13">
        <v>500.0</v>
      </c>
      <c r="H104" s="15">
        <v>9887.0</v>
      </c>
      <c r="I104" s="15" t="s">
        <v>38</v>
      </c>
      <c r="J104" s="15" t="s">
        <v>852</v>
      </c>
      <c r="K104" s="15" t="s">
        <v>3134</v>
      </c>
      <c r="L104" s="15"/>
    </row>
    <row r="105" ht="56.25" customHeight="1">
      <c r="A105" s="64" t="s">
        <v>3974</v>
      </c>
      <c r="B105" s="48" t="str">
        <f>image("https://storage.googleapis.com/acdb/accessories/AccessoryGlassKate5.png")</f>
        <v/>
      </c>
      <c r="C105" s="15"/>
      <c r="D105" s="15" t="s">
        <v>28</v>
      </c>
      <c r="E105" s="15" t="s">
        <v>43</v>
      </c>
      <c r="F105" s="13">
        <v>2000.0</v>
      </c>
      <c r="G105" s="13">
        <v>500.0</v>
      </c>
      <c r="H105" s="15">
        <v>9887.0</v>
      </c>
      <c r="I105" s="15" t="s">
        <v>38</v>
      </c>
      <c r="J105" s="15" t="s">
        <v>852</v>
      </c>
      <c r="K105" s="15" t="s">
        <v>3134</v>
      </c>
      <c r="L105" s="15"/>
    </row>
    <row r="106" ht="56.25" customHeight="1">
      <c r="A106" s="13" t="s">
        <v>3982</v>
      </c>
      <c r="B106" s="63" t="str">
        <f>image("https://storage.googleapis.com/acdb/accessories/AccessoryGlassBlind0.png")</f>
        <v/>
      </c>
      <c r="C106" s="15"/>
      <c r="D106" s="15" t="s">
        <v>28</v>
      </c>
      <c r="E106" s="15" t="s">
        <v>43</v>
      </c>
      <c r="F106" s="13">
        <v>880.0</v>
      </c>
      <c r="G106" s="13">
        <v>220.0</v>
      </c>
      <c r="H106" s="15">
        <v>4464.0</v>
      </c>
      <c r="I106" s="15" t="s">
        <v>38</v>
      </c>
      <c r="J106" s="15" t="s">
        <v>2793</v>
      </c>
      <c r="K106" s="15" t="s">
        <v>2749</v>
      </c>
      <c r="L106" s="15" t="s">
        <v>2751</v>
      </c>
    </row>
    <row r="107" ht="56.25" customHeight="1">
      <c r="A107" s="13" t="s">
        <v>3982</v>
      </c>
      <c r="B107" s="63" t="str">
        <f>image("https://storage.googleapis.com/acdb/accessories/AccessoryGlassBlind1.png")</f>
        <v/>
      </c>
      <c r="C107" s="15"/>
      <c r="D107" s="15" t="s">
        <v>28</v>
      </c>
      <c r="E107" s="15" t="s">
        <v>43</v>
      </c>
      <c r="F107" s="13">
        <v>880.0</v>
      </c>
      <c r="G107" s="13">
        <v>220.0</v>
      </c>
      <c r="H107" s="15">
        <v>4464.0</v>
      </c>
      <c r="I107" s="15" t="s">
        <v>38</v>
      </c>
      <c r="J107" s="15" t="s">
        <v>2793</v>
      </c>
      <c r="K107" s="15" t="s">
        <v>2749</v>
      </c>
      <c r="L107" s="15" t="s">
        <v>2751</v>
      </c>
    </row>
    <row r="108" ht="56.25" customHeight="1">
      <c r="A108" s="13" t="s">
        <v>3982</v>
      </c>
      <c r="B108" s="63" t="str">
        <f>image("https://storage.googleapis.com/acdb/accessories/AccessoryGlassBlind2.png")</f>
        <v/>
      </c>
      <c r="C108" s="15"/>
      <c r="D108" s="15" t="s">
        <v>28</v>
      </c>
      <c r="E108" s="15" t="s">
        <v>43</v>
      </c>
      <c r="F108" s="13">
        <v>880.0</v>
      </c>
      <c r="G108" s="13">
        <v>220.0</v>
      </c>
      <c r="H108" s="15">
        <v>4464.0</v>
      </c>
      <c r="I108" s="15" t="s">
        <v>38</v>
      </c>
      <c r="J108" s="15" t="s">
        <v>2793</v>
      </c>
      <c r="K108" s="15" t="s">
        <v>2749</v>
      </c>
      <c r="L108" s="15" t="s">
        <v>2751</v>
      </c>
    </row>
    <row r="109" ht="56.25" customHeight="1">
      <c r="A109" s="13" t="s">
        <v>3982</v>
      </c>
      <c r="B109" s="63" t="str">
        <f>image("https://storage.googleapis.com/acdb/accessories/AccessoryGlassBlind3.png")</f>
        <v/>
      </c>
      <c r="C109" s="15"/>
      <c r="D109" s="15" t="s">
        <v>28</v>
      </c>
      <c r="E109" s="15" t="s">
        <v>43</v>
      </c>
      <c r="F109" s="13">
        <v>880.0</v>
      </c>
      <c r="G109" s="13">
        <v>220.0</v>
      </c>
      <c r="H109" s="15">
        <v>4464.0</v>
      </c>
      <c r="I109" s="15" t="s">
        <v>38</v>
      </c>
      <c r="J109" s="15" t="s">
        <v>2793</v>
      </c>
      <c r="K109" s="15" t="s">
        <v>2749</v>
      </c>
      <c r="L109" s="15" t="s">
        <v>2751</v>
      </c>
    </row>
    <row r="110" ht="56.25" customHeight="1">
      <c r="A110" s="13" t="s">
        <v>3982</v>
      </c>
      <c r="B110" s="63" t="str">
        <f>image("https://storage.googleapis.com/acdb/accessories/AccessoryGlassBlind4.png")</f>
        <v/>
      </c>
      <c r="C110" s="15"/>
      <c r="D110" s="15" t="s">
        <v>28</v>
      </c>
      <c r="E110" s="15" t="s">
        <v>43</v>
      </c>
      <c r="F110" s="13">
        <v>880.0</v>
      </c>
      <c r="G110" s="13">
        <v>220.0</v>
      </c>
      <c r="H110" s="15">
        <v>4464.0</v>
      </c>
      <c r="I110" s="15" t="s">
        <v>38</v>
      </c>
      <c r="J110" s="15" t="s">
        <v>2793</v>
      </c>
      <c r="K110" s="15" t="s">
        <v>2749</v>
      </c>
      <c r="L110" s="15" t="s">
        <v>2751</v>
      </c>
    </row>
    <row r="111" ht="56.25" customHeight="1">
      <c r="A111" s="13" t="s">
        <v>3982</v>
      </c>
      <c r="B111" s="63" t="str">
        <f>image("https://storage.googleapis.com/acdb/accessories/AccessoryGlassBlind5.png")</f>
        <v/>
      </c>
      <c r="C111" s="15"/>
      <c r="D111" s="15" t="s">
        <v>28</v>
      </c>
      <c r="E111" s="15" t="s">
        <v>43</v>
      </c>
      <c r="F111" s="13">
        <v>880.0</v>
      </c>
      <c r="G111" s="13">
        <v>220.0</v>
      </c>
      <c r="H111" s="15">
        <v>4464.0</v>
      </c>
      <c r="I111" s="15" t="s">
        <v>38</v>
      </c>
      <c r="J111" s="15" t="s">
        <v>2793</v>
      </c>
      <c r="K111" s="15" t="s">
        <v>2749</v>
      </c>
      <c r="L111" s="15" t="s">
        <v>2751</v>
      </c>
    </row>
    <row r="112" ht="56.25" customHeight="1">
      <c r="A112" s="64" t="s">
        <v>3992</v>
      </c>
      <c r="B112" s="48" t="str">
        <f>image("https://storage.googleapis.com/acdb/accessories/AccessoryMouthLeafGreen.png")</f>
        <v/>
      </c>
      <c r="C112" s="15"/>
      <c r="D112" s="15" t="s">
        <v>50</v>
      </c>
      <c r="E112" s="15" t="s">
        <v>54</v>
      </c>
      <c r="F112" s="24" t="s">
        <v>51</v>
      </c>
      <c r="G112" s="13">
        <v>100.0</v>
      </c>
      <c r="H112" s="15">
        <v>4682.0</v>
      </c>
      <c r="I112" s="15" t="s">
        <v>38</v>
      </c>
      <c r="J112" s="15" t="s">
        <v>2744</v>
      </c>
      <c r="K112" s="15" t="s">
        <v>55</v>
      </c>
      <c r="L112" s="15"/>
    </row>
    <row r="113" ht="56.25" customHeight="1">
      <c r="A113" s="64" t="s">
        <v>3994</v>
      </c>
      <c r="B113" s="48" t="str">
        <f>image("https://storage.googleapis.com/acdb/accessories/AccessoryGlassVenetian0.png")</f>
        <v/>
      </c>
      <c r="C113" s="15"/>
      <c r="D113" s="15" t="s">
        <v>28</v>
      </c>
      <c r="E113" s="15" t="s">
        <v>43</v>
      </c>
      <c r="F113" s="13">
        <v>910.0</v>
      </c>
      <c r="G113" s="13">
        <v>227.0</v>
      </c>
      <c r="H113" s="15">
        <v>4667.0</v>
      </c>
      <c r="I113" s="15" t="s">
        <v>38</v>
      </c>
      <c r="J113" s="15" t="s">
        <v>852</v>
      </c>
      <c r="K113" s="15" t="s">
        <v>2749</v>
      </c>
      <c r="L113" s="15" t="s">
        <v>2751</v>
      </c>
    </row>
    <row r="114" ht="56.25" customHeight="1">
      <c r="A114" s="64" t="s">
        <v>3994</v>
      </c>
      <c r="B114" s="48" t="str">
        <f>image("https://storage.googleapis.com/acdb/accessories/AccessoryGlassVenetian1.png")</f>
        <v/>
      </c>
      <c r="C114" s="15"/>
      <c r="D114" s="15" t="s">
        <v>28</v>
      </c>
      <c r="E114" s="15" t="s">
        <v>43</v>
      </c>
      <c r="F114" s="13">
        <v>910.0</v>
      </c>
      <c r="G114" s="13">
        <v>227.0</v>
      </c>
      <c r="H114" s="15">
        <v>4667.0</v>
      </c>
      <c r="I114" s="15" t="s">
        <v>38</v>
      </c>
      <c r="J114" s="15" t="s">
        <v>852</v>
      </c>
      <c r="K114" s="15" t="s">
        <v>2749</v>
      </c>
      <c r="L114" s="15" t="s">
        <v>2751</v>
      </c>
    </row>
    <row r="115" ht="56.25" customHeight="1">
      <c r="A115" s="64" t="s">
        <v>3994</v>
      </c>
      <c r="B115" s="48" t="str">
        <f>image("https://storage.googleapis.com/acdb/accessories/AccessoryGlassVenetian2.png")</f>
        <v/>
      </c>
      <c r="C115" s="15"/>
      <c r="D115" s="15" t="s">
        <v>28</v>
      </c>
      <c r="E115" s="15" t="s">
        <v>43</v>
      </c>
      <c r="F115" s="13">
        <v>910.0</v>
      </c>
      <c r="G115" s="13">
        <v>227.0</v>
      </c>
      <c r="H115" s="15">
        <v>4667.0</v>
      </c>
      <c r="I115" s="15" t="s">
        <v>38</v>
      </c>
      <c r="J115" s="15" t="s">
        <v>852</v>
      </c>
      <c r="K115" s="15" t="s">
        <v>2749</v>
      </c>
      <c r="L115" s="15" t="s">
        <v>2751</v>
      </c>
    </row>
    <row r="116" ht="56.25" customHeight="1">
      <c r="A116" s="64" t="s">
        <v>3994</v>
      </c>
      <c r="B116" s="48" t="str">
        <f>image("https://storage.googleapis.com/acdb/accessories/AccessoryGlassVenetian3.png")</f>
        <v/>
      </c>
      <c r="C116" s="15"/>
      <c r="D116" s="15" t="s">
        <v>28</v>
      </c>
      <c r="E116" s="15" t="s">
        <v>43</v>
      </c>
      <c r="F116" s="13">
        <v>910.0</v>
      </c>
      <c r="G116" s="13">
        <v>227.0</v>
      </c>
      <c r="H116" s="15">
        <v>4667.0</v>
      </c>
      <c r="I116" s="15" t="s">
        <v>38</v>
      </c>
      <c r="J116" s="15" t="s">
        <v>852</v>
      </c>
      <c r="K116" s="15" t="s">
        <v>2749</v>
      </c>
      <c r="L116" s="15" t="s">
        <v>2751</v>
      </c>
    </row>
    <row r="117" ht="56.25" customHeight="1">
      <c r="A117" s="64" t="s">
        <v>3994</v>
      </c>
      <c r="B117" s="48" t="str">
        <f>image("https://storage.googleapis.com/acdb/accessories/AccessoryGlassVenetian4.png")</f>
        <v/>
      </c>
      <c r="C117" s="15"/>
      <c r="D117" s="15" t="s">
        <v>28</v>
      </c>
      <c r="E117" s="15" t="s">
        <v>43</v>
      </c>
      <c r="F117" s="13">
        <v>910.0</v>
      </c>
      <c r="G117" s="13">
        <v>227.0</v>
      </c>
      <c r="H117" s="15">
        <v>4667.0</v>
      </c>
      <c r="I117" s="15" t="s">
        <v>38</v>
      </c>
      <c r="J117" s="15" t="s">
        <v>852</v>
      </c>
      <c r="K117" s="15" t="s">
        <v>2749</v>
      </c>
      <c r="L117" s="15" t="s">
        <v>2751</v>
      </c>
    </row>
    <row r="118" ht="56.25" customHeight="1">
      <c r="A118" s="64" t="s">
        <v>3994</v>
      </c>
      <c r="B118" s="48" t="str">
        <f>image("https://storage.googleapis.com/acdb/accessories/AccessoryGlassVenetian5.png")</f>
        <v/>
      </c>
      <c r="C118" s="15"/>
      <c r="D118" s="15" t="s">
        <v>28</v>
      </c>
      <c r="E118" s="15" t="s">
        <v>43</v>
      </c>
      <c r="F118" s="13">
        <v>910.0</v>
      </c>
      <c r="G118" s="13">
        <v>227.0</v>
      </c>
      <c r="H118" s="15">
        <v>4667.0</v>
      </c>
      <c r="I118" s="15" t="s">
        <v>38</v>
      </c>
      <c r="J118" s="15" t="s">
        <v>852</v>
      </c>
      <c r="K118" s="15" t="s">
        <v>2749</v>
      </c>
      <c r="L118" s="15" t="s">
        <v>2751</v>
      </c>
    </row>
    <row r="119" ht="56.25" customHeight="1">
      <c r="A119" s="64" t="s">
        <v>4004</v>
      </c>
      <c r="B119" s="48" t="str">
        <f>image("https://storage.googleapis.com/acdb/accessories/AccessoryGlassMonocle0.png")</f>
        <v/>
      </c>
      <c r="C119" s="15"/>
      <c r="D119" s="15" t="s">
        <v>28</v>
      </c>
      <c r="E119" s="15" t="s">
        <v>43</v>
      </c>
      <c r="F119" s="13">
        <v>1100.0</v>
      </c>
      <c r="G119" s="13">
        <v>275.0</v>
      </c>
      <c r="H119" s="15">
        <v>4462.0</v>
      </c>
      <c r="I119" s="15" t="s">
        <v>38</v>
      </c>
      <c r="J119" s="15" t="s">
        <v>2863</v>
      </c>
      <c r="K119" s="15" t="s">
        <v>2749</v>
      </c>
      <c r="L119" s="15" t="s">
        <v>2751</v>
      </c>
    </row>
    <row r="120" ht="56.25" customHeight="1">
      <c r="A120" s="64" t="s">
        <v>4004</v>
      </c>
      <c r="B120" s="48" t="str">
        <f>image("https://storage.googleapis.com/acdb/accessories/AccessoryGlassMonocle1.png")</f>
        <v/>
      </c>
      <c r="C120" s="15"/>
      <c r="D120" s="15" t="s">
        <v>28</v>
      </c>
      <c r="E120" s="15" t="s">
        <v>43</v>
      </c>
      <c r="F120" s="13">
        <v>1100.0</v>
      </c>
      <c r="G120" s="13">
        <v>275.0</v>
      </c>
      <c r="H120" s="15">
        <v>4462.0</v>
      </c>
      <c r="I120" s="15" t="s">
        <v>38</v>
      </c>
      <c r="J120" s="15" t="s">
        <v>2863</v>
      </c>
      <c r="K120" s="15" t="s">
        <v>2749</v>
      </c>
      <c r="L120" s="15" t="s">
        <v>2751</v>
      </c>
    </row>
    <row r="121" ht="56.25" customHeight="1">
      <c r="A121" s="64" t="s">
        <v>4004</v>
      </c>
      <c r="B121" s="48" t="str">
        <f>image("https://storage.googleapis.com/acdb/accessories/AccessoryGlassMonocle2.png")</f>
        <v/>
      </c>
      <c r="C121" s="15"/>
      <c r="D121" s="15" t="s">
        <v>28</v>
      </c>
      <c r="E121" s="15" t="s">
        <v>43</v>
      </c>
      <c r="F121" s="13">
        <v>1100.0</v>
      </c>
      <c r="G121" s="13">
        <v>275.0</v>
      </c>
      <c r="H121" s="15">
        <v>4462.0</v>
      </c>
      <c r="I121" s="15" t="s">
        <v>38</v>
      </c>
      <c r="J121" s="15" t="s">
        <v>2863</v>
      </c>
      <c r="K121" s="15" t="s">
        <v>2749</v>
      </c>
      <c r="L121" s="15" t="s">
        <v>2751</v>
      </c>
    </row>
    <row r="122" ht="56.25" customHeight="1">
      <c r="A122" s="64" t="s">
        <v>4009</v>
      </c>
      <c r="B122" s="48" t="str">
        <f>image("https://storage.googleapis.com/acdb/accessories/AccessoryGlassNightvisionBlack.png")</f>
        <v/>
      </c>
      <c r="C122" s="15"/>
      <c r="D122" s="15" t="s">
        <v>28</v>
      </c>
      <c r="E122" s="15" t="s">
        <v>43</v>
      </c>
      <c r="F122" s="13">
        <v>1560.0</v>
      </c>
      <c r="G122" s="13">
        <v>390.0</v>
      </c>
      <c r="H122" s="15">
        <v>5261.0</v>
      </c>
      <c r="I122" s="15" t="s">
        <v>38</v>
      </c>
      <c r="J122" s="15" t="s">
        <v>2793</v>
      </c>
      <c r="K122" s="15" t="s">
        <v>2749</v>
      </c>
      <c r="L122" s="15" t="s">
        <v>2751</v>
      </c>
    </row>
    <row r="123" ht="56.25" customHeight="1">
      <c r="A123" s="64" t="s">
        <v>4011</v>
      </c>
      <c r="B123" s="48" t="str">
        <f>image("https://storage.googleapis.com/acdb/accessories/AccessoryGlassNook0.png")</f>
        <v/>
      </c>
      <c r="C123" s="15"/>
      <c r="D123" s="15" t="s">
        <v>28</v>
      </c>
      <c r="E123" s="15" t="s">
        <v>54</v>
      </c>
      <c r="F123" s="24" t="s">
        <v>51</v>
      </c>
      <c r="G123" s="13">
        <v>2000.0</v>
      </c>
      <c r="H123" s="15">
        <v>9654.0</v>
      </c>
      <c r="I123" s="15" t="s">
        <v>38</v>
      </c>
      <c r="J123" s="15" t="s">
        <v>2744</v>
      </c>
      <c r="K123" s="15" t="s">
        <v>516</v>
      </c>
      <c r="L123" s="15"/>
    </row>
    <row r="124" ht="56.25" customHeight="1">
      <c r="A124" s="64" t="s">
        <v>4012</v>
      </c>
      <c r="B124" s="48" t="str">
        <f>image("https://storage.googleapis.com/acdb/accessories/AccessoryMouthJokeDripCyan.png")</f>
        <v/>
      </c>
      <c r="C124" s="15"/>
      <c r="D124" s="15" t="s">
        <v>28</v>
      </c>
      <c r="E124" s="15" t="s">
        <v>43</v>
      </c>
      <c r="F124" s="13">
        <v>490.0</v>
      </c>
      <c r="G124" s="13">
        <v>122.0</v>
      </c>
      <c r="H124" s="15">
        <v>5833.0</v>
      </c>
      <c r="I124" s="15" t="s">
        <v>38</v>
      </c>
      <c r="J124" s="15" t="s">
        <v>2744</v>
      </c>
      <c r="K124" s="15" t="s">
        <v>2749</v>
      </c>
      <c r="L124" s="15" t="s">
        <v>2764</v>
      </c>
    </row>
    <row r="125" ht="56.25" customHeight="1">
      <c r="A125" s="64" t="s">
        <v>4013</v>
      </c>
      <c r="B125" s="48" t="str">
        <f>image("https://storage.googleapis.com/acdb/accessories/AccessoryGlassOctagon0.png")</f>
        <v/>
      </c>
      <c r="C125" s="15"/>
      <c r="D125" s="15" t="s">
        <v>28</v>
      </c>
      <c r="E125" s="15" t="s">
        <v>43</v>
      </c>
      <c r="F125" s="13">
        <v>1100.0</v>
      </c>
      <c r="G125" s="13">
        <v>275.0</v>
      </c>
      <c r="H125" s="15">
        <v>4239.0</v>
      </c>
      <c r="I125" s="15" t="s">
        <v>38</v>
      </c>
      <c r="J125" s="15" t="s">
        <v>384</v>
      </c>
      <c r="K125" s="15" t="s">
        <v>2749</v>
      </c>
      <c r="L125" s="15" t="s">
        <v>2751</v>
      </c>
    </row>
    <row r="126" ht="56.25" customHeight="1">
      <c r="A126" s="64" t="s">
        <v>4013</v>
      </c>
      <c r="B126" s="48" t="str">
        <f>image("https://storage.googleapis.com/acdb/accessories/AccessoryGlassOctagon1.png")</f>
        <v/>
      </c>
      <c r="C126" s="15"/>
      <c r="D126" s="15" t="s">
        <v>28</v>
      </c>
      <c r="E126" s="15" t="s">
        <v>43</v>
      </c>
      <c r="F126" s="13">
        <v>1100.0</v>
      </c>
      <c r="G126" s="13">
        <v>275.0</v>
      </c>
      <c r="H126" s="15">
        <v>4239.0</v>
      </c>
      <c r="I126" s="15" t="s">
        <v>38</v>
      </c>
      <c r="J126" s="15" t="s">
        <v>384</v>
      </c>
      <c r="K126" s="15" t="s">
        <v>2749</v>
      </c>
      <c r="L126" s="15" t="s">
        <v>2751</v>
      </c>
    </row>
    <row r="127" ht="56.25" customHeight="1">
      <c r="A127" s="64" t="s">
        <v>4013</v>
      </c>
      <c r="B127" s="48" t="str">
        <f>image("https://storage.googleapis.com/acdb/accessories/AccessoryGlassOctagon2.png")</f>
        <v/>
      </c>
      <c r="C127" s="15"/>
      <c r="D127" s="15" t="s">
        <v>28</v>
      </c>
      <c r="E127" s="15" t="s">
        <v>43</v>
      </c>
      <c r="F127" s="13">
        <v>1100.0</v>
      </c>
      <c r="G127" s="13">
        <v>275.0</v>
      </c>
      <c r="H127" s="15">
        <v>4239.0</v>
      </c>
      <c r="I127" s="15" t="s">
        <v>38</v>
      </c>
      <c r="J127" s="15" t="s">
        <v>384</v>
      </c>
      <c r="K127" s="15" t="s">
        <v>2749</v>
      </c>
      <c r="L127" s="15" t="s">
        <v>2751</v>
      </c>
    </row>
    <row r="128" ht="56.25" customHeight="1">
      <c r="A128" s="64" t="s">
        <v>4013</v>
      </c>
      <c r="B128" s="48" t="str">
        <f>image("https://storage.googleapis.com/acdb/accessories/AccessoryGlassOctagon3.png")</f>
        <v/>
      </c>
      <c r="C128" s="15"/>
      <c r="D128" s="15" t="s">
        <v>28</v>
      </c>
      <c r="E128" s="15" t="s">
        <v>43</v>
      </c>
      <c r="F128" s="13">
        <v>1100.0</v>
      </c>
      <c r="G128" s="13">
        <v>275.0</v>
      </c>
      <c r="H128" s="15">
        <v>4239.0</v>
      </c>
      <c r="I128" s="15" t="s">
        <v>38</v>
      </c>
      <c r="J128" s="15" t="s">
        <v>384</v>
      </c>
      <c r="K128" s="15" t="s">
        <v>2749</v>
      </c>
      <c r="L128" s="15" t="s">
        <v>2751</v>
      </c>
    </row>
    <row r="129" ht="56.25" customHeight="1">
      <c r="A129" s="64" t="s">
        <v>4013</v>
      </c>
      <c r="B129" s="48" t="str">
        <f>image("https://storage.googleapis.com/acdb/accessories/AccessoryGlassOctagon4.png")</f>
        <v/>
      </c>
      <c r="C129" s="15"/>
      <c r="D129" s="15" t="s">
        <v>28</v>
      </c>
      <c r="E129" s="15" t="s">
        <v>43</v>
      </c>
      <c r="F129" s="13">
        <v>1100.0</v>
      </c>
      <c r="G129" s="13">
        <v>275.0</v>
      </c>
      <c r="H129" s="15">
        <v>4239.0</v>
      </c>
      <c r="I129" s="15" t="s">
        <v>38</v>
      </c>
      <c r="J129" s="15" t="s">
        <v>384</v>
      </c>
      <c r="K129" s="15" t="s">
        <v>2749</v>
      </c>
      <c r="L129" s="15" t="s">
        <v>2751</v>
      </c>
    </row>
    <row r="130" ht="56.25" customHeight="1">
      <c r="A130" s="64" t="s">
        <v>4015</v>
      </c>
      <c r="B130" s="48" t="str">
        <f>image("https://storage.googleapis.com/acdb/accessories/AccessoryGlassOval0.png")</f>
        <v/>
      </c>
      <c r="C130" s="15"/>
      <c r="D130" s="15" t="s">
        <v>28</v>
      </c>
      <c r="E130" s="15" t="s">
        <v>43</v>
      </c>
      <c r="F130" s="13">
        <v>880.0</v>
      </c>
      <c r="G130" s="13">
        <v>220.0</v>
      </c>
      <c r="H130" s="15">
        <v>4609.0</v>
      </c>
      <c r="I130" s="15" t="s">
        <v>38</v>
      </c>
      <c r="J130" s="15" t="s">
        <v>2744</v>
      </c>
      <c r="K130" s="15" t="s">
        <v>2749</v>
      </c>
      <c r="L130" s="15" t="s">
        <v>2764</v>
      </c>
    </row>
    <row r="131" ht="56.25" customHeight="1">
      <c r="A131" s="64" t="s">
        <v>4015</v>
      </c>
      <c r="B131" s="48" t="str">
        <f>image("https://storage.googleapis.com/acdb/accessories/AccessoryGlassOval1.png")</f>
        <v/>
      </c>
      <c r="C131" s="15"/>
      <c r="D131" s="15" t="s">
        <v>28</v>
      </c>
      <c r="E131" s="15" t="s">
        <v>43</v>
      </c>
      <c r="F131" s="13">
        <v>880.0</v>
      </c>
      <c r="G131" s="13">
        <v>220.0</v>
      </c>
      <c r="H131" s="15">
        <v>4609.0</v>
      </c>
      <c r="I131" s="15" t="s">
        <v>38</v>
      </c>
      <c r="J131" s="15" t="s">
        <v>2744</v>
      </c>
      <c r="K131" s="15" t="s">
        <v>2749</v>
      </c>
      <c r="L131" s="15" t="s">
        <v>2764</v>
      </c>
    </row>
    <row r="132" ht="56.25" customHeight="1">
      <c r="A132" s="64" t="s">
        <v>4015</v>
      </c>
      <c r="B132" s="48" t="str">
        <f>image("https://storage.googleapis.com/acdb/accessories/AccessoryGlassOval2.png")</f>
        <v/>
      </c>
      <c r="C132" s="15"/>
      <c r="D132" s="15" t="s">
        <v>28</v>
      </c>
      <c r="E132" s="15" t="s">
        <v>43</v>
      </c>
      <c r="F132" s="13">
        <v>880.0</v>
      </c>
      <c r="G132" s="13">
        <v>220.0</v>
      </c>
      <c r="H132" s="15">
        <v>4609.0</v>
      </c>
      <c r="I132" s="15" t="s">
        <v>38</v>
      </c>
      <c r="J132" s="15" t="s">
        <v>2744</v>
      </c>
      <c r="K132" s="15" t="s">
        <v>2749</v>
      </c>
      <c r="L132" s="15" t="s">
        <v>2764</v>
      </c>
    </row>
    <row r="133" ht="56.25" customHeight="1">
      <c r="A133" s="64" t="s">
        <v>4015</v>
      </c>
      <c r="B133" s="48" t="str">
        <f>image("https://storage.googleapis.com/acdb/accessories/AccessoryGlassOval3.png")</f>
        <v/>
      </c>
      <c r="C133" s="15"/>
      <c r="D133" s="15" t="s">
        <v>28</v>
      </c>
      <c r="E133" s="15" t="s">
        <v>43</v>
      </c>
      <c r="F133" s="13">
        <v>880.0</v>
      </c>
      <c r="G133" s="13">
        <v>220.0</v>
      </c>
      <c r="H133" s="15">
        <v>4609.0</v>
      </c>
      <c r="I133" s="15" t="s">
        <v>38</v>
      </c>
      <c r="J133" s="15" t="s">
        <v>2744</v>
      </c>
      <c r="K133" s="15" t="s">
        <v>2749</v>
      </c>
      <c r="L133" s="15" t="s">
        <v>2764</v>
      </c>
    </row>
    <row r="134" ht="56.25" customHeight="1">
      <c r="A134" s="64" t="s">
        <v>4015</v>
      </c>
      <c r="B134" s="48" t="str">
        <f>image("https://storage.googleapis.com/acdb/accessories/AccessoryGlassOval4.png")</f>
        <v/>
      </c>
      <c r="C134" s="15"/>
      <c r="D134" s="15" t="s">
        <v>28</v>
      </c>
      <c r="E134" s="15" t="s">
        <v>43</v>
      </c>
      <c r="F134" s="13">
        <v>880.0</v>
      </c>
      <c r="G134" s="13">
        <v>220.0</v>
      </c>
      <c r="H134" s="15">
        <v>4609.0</v>
      </c>
      <c r="I134" s="15" t="s">
        <v>38</v>
      </c>
      <c r="J134" s="15" t="s">
        <v>2744</v>
      </c>
      <c r="K134" s="15" t="s">
        <v>2749</v>
      </c>
      <c r="L134" s="15" t="s">
        <v>2764</v>
      </c>
    </row>
    <row r="135" ht="56.25" customHeight="1">
      <c r="A135" s="64" t="s">
        <v>4015</v>
      </c>
      <c r="B135" s="48" t="str">
        <f>image("https://storage.googleapis.com/acdb/accessories/AccessoryGlassOval5.png")</f>
        <v/>
      </c>
      <c r="C135" s="15"/>
      <c r="D135" s="15" t="s">
        <v>28</v>
      </c>
      <c r="E135" s="15" t="s">
        <v>43</v>
      </c>
      <c r="F135" s="13">
        <v>880.0</v>
      </c>
      <c r="G135" s="13">
        <v>220.0</v>
      </c>
      <c r="H135" s="15">
        <v>4609.0</v>
      </c>
      <c r="I135" s="15" t="s">
        <v>38</v>
      </c>
      <c r="J135" s="15" t="s">
        <v>2744</v>
      </c>
      <c r="K135" s="15" t="s">
        <v>2749</v>
      </c>
      <c r="L135" s="15" t="s">
        <v>2764</v>
      </c>
    </row>
    <row r="136" ht="56.25" customHeight="1">
      <c r="A136" s="64" t="s">
        <v>4015</v>
      </c>
      <c r="B136" s="48" t="str">
        <f>image("https://storage.googleapis.com/acdb/accessories/AccessoryGlassOval6.png")</f>
        <v/>
      </c>
      <c r="C136" s="15"/>
      <c r="D136" s="15" t="s">
        <v>28</v>
      </c>
      <c r="E136" s="15" t="s">
        <v>43</v>
      </c>
      <c r="F136" s="13">
        <v>880.0</v>
      </c>
      <c r="G136" s="13">
        <v>220.0</v>
      </c>
      <c r="H136" s="15">
        <v>4609.0</v>
      </c>
      <c r="I136" s="15" t="s">
        <v>38</v>
      </c>
      <c r="J136" s="15" t="s">
        <v>2744</v>
      </c>
      <c r="K136" s="15" t="s">
        <v>2749</v>
      </c>
      <c r="L136" s="15" t="s">
        <v>2764</v>
      </c>
    </row>
    <row r="137" ht="56.25" customHeight="1">
      <c r="A137" s="64" t="s">
        <v>4023</v>
      </c>
      <c r="B137" s="48" t="str">
        <f>image("https://storage.googleapis.com/acdb/accessories/AccessoryMouthPacifier0.png")</f>
        <v/>
      </c>
      <c r="C137" s="15"/>
      <c r="D137" s="15" t="s">
        <v>28</v>
      </c>
      <c r="E137" s="15" t="s">
        <v>43</v>
      </c>
      <c r="F137" s="13">
        <v>560.0</v>
      </c>
      <c r="G137" s="13">
        <v>140.0</v>
      </c>
      <c r="H137" s="15">
        <v>2298.0</v>
      </c>
      <c r="I137" s="15" t="s">
        <v>38</v>
      </c>
      <c r="J137" s="15" t="s">
        <v>384</v>
      </c>
      <c r="K137" s="15" t="s">
        <v>2749</v>
      </c>
      <c r="L137" s="15" t="s">
        <v>2764</v>
      </c>
    </row>
    <row r="138" ht="56.25" customHeight="1">
      <c r="A138" s="64" t="s">
        <v>4023</v>
      </c>
      <c r="B138" s="48" t="str">
        <f>image("https://storage.googleapis.com/acdb/accessories/AccessoryMouthPacifier1.png")</f>
        <v/>
      </c>
      <c r="C138" s="15"/>
      <c r="D138" s="15" t="s">
        <v>28</v>
      </c>
      <c r="E138" s="15" t="s">
        <v>43</v>
      </c>
      <c r="F138" s="13">
        <v>560.0</v>
      </c>
      <c r="G138" s="13">
        <v>140.0</v>
      </c>
      <c r="H138" s="15">
        <v>2298.0</v>
      </c>
      <c r="I138" s="15" t="s">
        <v>38</v>
      </c>
      <c r="J138" s="15" t="s">
        <v>384</v>
      </c>
      <c r="K138" s="15" t="s">
        <v>2749</v>
      </c>
      <c r="L138" s="15" t="s">
        <v>2764</v>
      </c>
    </row>
    <row r="139" ht="56.25" customHeight="1">
      <c r="A139" s="64" t="s">
        <v>4023</v>
      </c>
      <c r="B139" s="48" t="str">
        <f>image("https://storage.googleapis.com/acdb/accessories/AccessoryMouthPacifier2.png")</f>
        <v/>
      </c>
      <c r="C139" s="15"/>
      <c r="D139" s="15" t="s">
        <v>28</v>
      </c>
      <c r="E139" s="15" t="s">
        <v>43</v>
      </c>
      <c r="F139" s="13">
        <v>560.0</v>
      </c>
      <c r="G139" s="13">
        <v>140.0</v>
      </c>
      <c r="H139" s="15">
        <v>2298.0</v>
      </c>
      <c r="I139" s="15" t="s">
        <v>38</v>
      </c>
      <c r="J139" s="15" t="s">
        <v>384</v>
      </c>
      <c r="K139" s="15" t="s">
        <v>2749</v>
      </c>
      <c r="L139" s="15" t="s">
        <v>2764</v>
      </c>
    </row>
    <row r="140" ht="56.25" customHeight="1">
      <c r="A140" s="64" t="s">
        <v>4023</v>
      </c>
      <c r="B140" s="48" t="str">
        <f>image("https://storage.googleapis.com/acdb/accessories/AccessoryMouthPacifier3.png")</f>
        <v/>
      </c>
      <c r="C140" s="15"/>
      <c r="D140" s="15" t="s">
        <v>28</v>
      </c>
      <c r="E140" s="15" t="s">
        <v>43</v>
      </c>
      <c r="F140" s="13">
        <v>560.0</v>
      </c>
      <c r="G140" s="13">
        <v>140.0</v>
      </c>
      <c r="H140" s="15">
        <v>2298.0</v>
      </c>
      <c r="I140" s="15" t="s">
        <v>38</v>
      </c>
      <c r="J140" s="15" t="s">
        <v>384</v>
      </c>
      <c r="K140" s="15" t="s">
        <v>2749</v>
      </c>
      <c r="L140" s="15" t="s">
        <v>2764</v>
      </c>
    </row>
    <row r="141" ht="56.25" customHeight="1">
      <c r="A141" s="64" t="s">
        <v>4023</v>
      </c>
      <c r="B141" s="48" t="str">
        <f>image("https://storage.googleapis.com/acdb/accessories/AccessoryMouthPacifier4.png")</f>
        <v/>
      </c>
      <c r="C141" s="15"/>
      <c r="D141" s="15" t="s">
        <v>28</v>
      </c>
      <c r="E141" s="15" t="s">
        <v>43</v>
      </c>
      <c r="F141" s="13">
        <v>560.0</v>
      </c>
      <c r="G141" s="13">
        <v>140.0</v>
      </c>
      <c r="H141" s="15">
        <v>2298.0</v>
      </c>
      <c r="I141" s="15" t="s">
        <v>38</v>
      </c>
      <c r="J141" s="15" t="s">
        <v>384</v>
      </c>
      <c r="K141" s="15" t="s">
        <v>2749</v>
      </c>
      <c r="L141" s="15" t="s">
        <v>2764</v>
      </c>
    </row>
    <row r="142" ht="56.25" customHeight="1">
      <c r="A142" s="64" t="s">
        <v>4023</v>
      </c>
      <c r="B142" s="48" t="str">
        <f>image("https://storage.googleapis.com/acdb/accessories/AccessoryMouthPacifier5.png")</f>
        <v/>
      </c>
      <c r="C142" s="15"/>
      <c r="D142" s="15" t="s">
        <v>28</v>
      </c>
      <c r="E142" s="15" t="s">
        <v>43</v>
      </c>
      <c r="F142" s="13">
        <v>560.0</v>
      </c>
      <c r="G142" s="13">
        <v>140.0</v>
      </c>
      <c r="H142" s="15">
        <v>2298.0</v>
      </c>
      <c r="I142" s="15" t="s">
        <v>38</v>
      </c>
      <c r="J142" s="15" t="s">
        <v>384</v>
      </c>
      <c r="K142" s="15" t="s">
        <v>2749</v>
      </c>
      <c r="L142" s="15" t="s">
        <v>2764</v>
      </c>
    </row>
    <row r="143" ht="56.25" customHeight="1">
      <c r="A143" s="64" t="s">
        <v>4023</v>
      </c>
      <c r="B143" s="48" t="str">
        <f>image("https://storage.googleapis.com/acdb/accessories/AccessoryMouthPacifier6.png")</f>
        <v/>
      </c>
      <c r="C143" s="15"/>
      <c r="D143" s="15" t="s">
        <v>28</v>
      </c>
      <c r="E143" s="15" t="s">
        <v>43</v>
      </c>
      <c r="F143" s="13">
        <v>560.0</v>
      </c>
      <c r="G143" s="13">
        <v>140.0</v>
      </c>
      <c r="H143" s="15">
        <v>2298.0</v>
      </c>
      <c r="I143" s="15" t="s">
        <v>38</v>
      </c>
      <c r="J143" s="15" t="s">
        <v>384</v>
      </c>
      <c r="K143" s="15" t="s">
        <v>2749</v>
      </c>
      <c r="L143" s="15" t="s">
        <v>2764</v>
      </c>
    </row>
    <row r="144" ht="56.25" customHeight="1">
      <c r="A144" s="64" t="s">
        <v>4023</v>
      </c>
      <c r="B144" s="48" t="str">
        <f>image("https://storage.googleapis.com/acdb/accessories/AccessoryMouthPacifier7.png")</f>
        <v/>
      </c>
      <c r="C144" s="15"/>
      <c r="D144" s="15" t="s">
        <v>28</v>
      </c>
      <c r="E144" s="15" t="s">
        <v>43</v>
      </c>
      <c r="F144" s="13">
        <v>560.0</v>
      </c>
      <c r="G144" s="13">
        <v>140.0</v>
      </c>
      <c r="H144" s="15">
        <v>2298.0</v>
      </c>
      <c r="I144" s="15" t="s">
        <v>38</v>
      </c>
      <c r="J144" s="15" t="s">
        <v>384</v>
      </c>
      <c r="K144" s="15" t="s">
        <v>2749</v>
      </c>
      <c r="L144" s="15" t="s">
        <v>2764</v>
      </c>
    </row>
    <row r="145" ht="56.25" customHeight="1">
      <c r="A145" s="64" t="s">
        <v>4032</v>
      </c>
      <c r="B145" s="48" t="str">
        <f>image("https://storage.googleapis.com/acdb/accessories/AccessoryMouthPigPink.png")</f>
        <v/>
      </c>
      <c r="C145" s="15"/>
      <c r="D145" s="15" t="s">
        <v>28</v>
      </c>
      <c r="E145" s="15" t="s">
        <v>43</v>
      </c>
      <c r="F145" s="13">
        <v>560.0</v>
      </c>
      <c r="G145" s="13">
        <v>140.0</v>
      </c>
      <c r="H145" s="15">
        <v>4647.0</v>
      </c>
      <c r="I145" s="15" t="s">
        <v>38</v>
      </c>
      <c r="J145" s="15" t="s">
        <v>384</v>
      </c>
      <c r="K145" s="15" t="s">
        <v>2749</v>
      </c>
      <c r="L145" s="15" t="s">
        <v>2751</v>
      </c>
    </row>
    <row r="146" ht="56.25" customHeight="1">
      <c r="A146" s="64" t="s">
        <v>4034</v>
      </c>
      <c r="B146" s="48" t="str">
        <f>image("https://storage.googleapis.com/acdb/accessories/AccessoryGlassPilot0.png")</f>
        <v/>
      </c>
      <c r="C146" s="15"/>
      <c r="D146" s="15" t="s">
        <v>28</v>
      </c>
      <c r="E146" s="15" t="s">
        <v>43</v>
      </c>
      <c r="F146" s="13">
        <v>1300.0</v>
      </c>
      <c r="G146" s="13">
        <v>325.0</v>
      </c>
      <c r="H146" s="15">
        <v>4459.0</v>
      </c>
      <c r="I146" s="15" t="s">
        <v>38</v>
      </c>
      <c r="J146" s="15" t="s">
        <v>2756</v>
      </c>
      <c r="K146" s="15" t="s">
        <v>2749</v>
      </c>
      <c r="L146" s="15" t="s">
        <v>2764</v>
      </c>
    </row>
    <row r="147" ht="56.25" customHeight="1">
      <c r="A147" s="64" t="s">
        <v>4034</v>
      </c>
      <c r="B147" s="48" t="str">
        <f>image("https://storage.googleapis.com/acdb/accessories/AccessoryGlassPilot1.png")</f>
        <v/>
      </c>
      <c r="C147" s="15"/>
      <c r="D147" s="15" t="s">
        <v>28</v>
      </c>
      <c r="E147" s="15" t="s">
        <v>43</v>
      </c>
      <c r="F147" s="13">
        <v>1300.0</v>
      </c>
      <c r="G147" s="13">
        <v>325.0</v>
      </c>
      <c r="H147" s="15">
        <v>4459.0</v>
      </c>
      <c r="I147" s="15" t="s">
        <v>38</v>
      </c>
      <c r="J147" s="15" t="s">
        <v>2756</v>
      </c>
      <c r="K147" s="15" t="s">
        <v>2749</v>
      </c>
      <c r="L147" s="15" t="s">
        <v>2764</v>
      </c>
    </row>
    <row r="148" ht="56.25" customHeight="1">
      <c r="A148" s="64" t="s">
        <v>4036</v>
      </c>
      <c r="B148" s="48" t="str">
        <f>image("https://storage.googleapis.com/acdb/accessories/AccessoryGlassDot0.png")</f>
        <v/>
      </c>
      <c r="C148" s="15"/>
      <c r="D148" s="15" t="s">
        <v>28</v>
      </c>
      <c r="E148" s="15" t="s">
        <v>43</v>
      </c>
      <c r="F148" s="13">
        <v>1320.0</v>
      </c>
      <c r="G148" s="13">
        <v>330.0</v>
      </c>
      <c r="H148" s="15">
        <v>4646.0</v>
      </c>
      <c r="I148" s="15" t="s">
        <v>38</v>
      </c>
      <c r="J148" s="15" t="s">
        <v>2756</v>
      </c>
      <c r="K148" s="15" t="s">
        <v>2749</v>
      </c>
      <c r="L148" s="15" t="s">
        <v>2751</v>
      </c>
    </row>
    <row r="149" ht="56.25" customHeight="1">
      <c r="A149" s="64" t="s">
        <v>4036</v>
      </c>
      <c r="B149" s="48" t="str">
        <f>image("https://storage.googleapis.com/acdb/accessories/AccessoryGlassDot1.png")</f>
        <v/>
      </c>
      <c r="C149" s="15"/>
      <c r="D149" s="15" t="s">
        <v>28</v>
      </c>
      <c r="E149" s="15" t="s">
        <v>43</v>
      </c>
      <c r="F149" s="13">
        <v>1320.0</v>
      </c>
      <c r="G149" s="13">
        <v>330.0</v>
      </c>
      <c r="H149" s="15">
        <v>4646.0</v>
      </c>
      <c r="I149" s="15" t="s">
        <v>38</v>
      </c>
      <c r="J149" s="15" t="s">
        <v>2756</v>
      </c>
      <c r="K149" s="15" t="s">
        <v>2749</v>
      </c>
      <c r="L149" s="15" t="s">
        <v>2751</v>
      </c>
    </row>
    <row r="150" ht="56.25" customHeight="1">
      <c r="A150" s="64" t="s">
        <v>4036</v>
      </c>
      <c r="B150" s="48" t="str">
        <f>image("https://storage.googleapis.com/acdb/accessories/AccessoryGlassDot2.png")</f>
        <v/>
      </c>
      <c r="C150" s="15"/>
      <c r="D150" s="15" t="s">
        <v>28</v>
      </c>
      <c r="E150" s="15" t="s">
        <v>43</v>
      </c>
      <c r="F150" s="13">
        <v>1320.0</v>
      </c>
      <c r="G150" s="13">
        <v>330.0</v>
      </c>
      <c r="H150" s="15">
        <v>4646.0</v>
      </c>
      <c r="I150" s="15" t="s">
        <v>38</v>
      </c>
      <c r="J150" s="15" t="s">
        <v>2756</v>
      </c>
      <c r="K150" s="15" t="s">
        <v>2749</v>
      </c>
      <c r="L150" s="15" t="s">
        <v>2751</v>
      </c>
    </row>
    <row r="151" ht="56.25" customHeight="1">
      <c r="A151" s="64" t="s">
        <v>4036</v>
      </c>
      <c r="B151" s="48" t="str">
        <f>image("https://storage.googleapis.com/acdb/accessories/AccessoryGlassDot3.png")</f>
        <v/>
      </c>
      <c r="C151" s="15"/>
      <c r="D151" s="15" t="s">
        <v>28</v>
      </c>
      <c r="E151" s="15" t="s">
        <v>43</v>
      </c>
      <c r="F151" s="13">
        <v>1320.0</v>
      </c>
      <c r="G151" s="13">
        <v>330.0</v>
      </c>
      <c r="H151" s="15">
        <v>4646.0</v>
      </c>
      <c r="I151" s="15" t="s">
        <v>38</v>
      </c>
      <c r="J151" s="15" t="s">
        <v>2756</v>
      </c>
      <c r="K151" s="15" t="s">
        <v>2749</v>
      </c>
      <c r="L151" s="15" t="s">
        <v>2751</v>
      </c>
    </row>
    <row r="152" ht="56.25" customHeight="1">
      <c r="A152" s="64" t="s">
        <v>4041</v>
      </c>
      <c r="B152" s="48" t="str">
        <f>image("https://storage.googleapis.com/acdb/accessories/AccessoryMouthLeatherBlack.png")</f>
        <v/>
      </c>
      <c r="C152" s="15"/>
      <c r="D152" s="15" t="s">
        <v>28</v>
      </c>
      <c r="E152" s="15" t="s">
        <v>43</v>
      </c>
      <c r="F152" s="13">
        <v>770.0</v>
      </c>
      <c r="G152" s="13">
        <v>192.0</v>
      </c>
      <c r="H152" s="15">
        <v>6040.0</v>
      </c>
      <c r="I152" s="15" t="s">
        <v>38</v>
      </c>
      <c r="J152" s="15" t="s">
        <v>2756</v>
      </c>
      <c r="K152" s="15" t="s">
        <v>2749</v>
      </c>
      <c r="L152" s="15" t="s">
        <v>2751</v>
      </c>
    </row>
    <row r="153" ht="56.25" customHeight="1">
      <c r="A153" s="64" t="s">
        <v>4042</v>
      </c>
      <c r="B153" s="48" t="str">
        <f>image("https://storage.googleapis.com/acdb/accessories/AccessoryGlassEyepatchWhite.png")</f>
        <v/>
      </c>
      <c r="C153" s="15"/>
      <c r="D153" s="15" t="s">
        <v>28</v>
      </c>
      <c r="E153" s="15" t="s">
        <v>43</v>
      </c>
      <c r="F153" s="13">
        <v>490.0</v>
      </c>
      <c r="G153" s="13">
        <v>122.0</v>
      </c>
      <c r="H153" s="15">
        <v>4452.0</v>
      </c>
      <c r="I153" s="15" t="s">
        <v>38</v>
      </c>
      <c r="J153" s="15" t="s">
        <v>2744</v>
      </c>
      <c r="K153" s="15" t="s">
        <v>2749</v>
      </c>
      <c r="L153" s="15" t="s">
        <v>2764</v>
      </c>
    </row>
    <row r="154" ht="56.25" customHeight="1">
      <c r="A154" s="64" t="s">
        <v>4044</v>
      </c>
      <c r="B154" s="48" t="str">
        <f>image("https://storage.googleapis.com/acdb/accessories/AccessoryMouthCrowBlack.png")</f>
        <v/>
      </c>
      <c r="C154" s="15"/>
      <c r="D154" s="15" t="s">
        <v>28</v>
      </c>
      <c r="E154" s="15" t="s">
        <v>43</v>
      </c>
      <c r="F154" s="13">
        <v>560.0</v>
      </c>
      <c r="G154" s="13">
        <v>140.0</v>
      </c>
      <c r="H154" s="15">
        <v>4671.0</v>
      </c>
      <c r="I154" s="15" t="s">
        <v>38</v>
      </c>
      <c r="J154" s="15" t="s">
        <v>2756</v>
      </c>
      <c r="K154" s="15" t="s">
        <v>2749</v>
      </c>
      <c r="L154" s="15" t="s">
        <v>2751</v>
      </c>
    </row>
    <row r="155" ht="56.25" customHeight="1">
      <c r="A155" s="64" t="s">
        <v>4047</v>
      </c>
      <c r="B155" s="48" t="str">
        <f>image("https://storage.googleapis.com/acdb/accessories/AccessoryGlassMirrorGray.png")</f>
        <v/>
      </c>
      <c r="C155" s="15"/>
      <c r="D155" s="15" t="s">
        <v>28</v>
      </c>
      <c r="E155" s="15" t="s">
        <v>43</v>
      </c>
      <c r="F155" s="13">
        <v>560.0</v>
      </c>
      <c r="G155" s="13">
        <v>140.0</v>
      </c>
      <c r="H155" s="15">
        <v>6039.0</v>
      </c>
      <c r="I155" s="15" t="s">
        <v>38</v>
      </c>
      <c r="J155" s="15" t="s">
        <v>2756</v>
      </c>
      <c r="K155" s="15" t="s">
        <v>2749</v>
      </c>
      <c r="L155" s="15" t="s">
        <v>2751</v>
      </c>
    </row>
    <row r="156" ht="56.25" customHeight="1">
      <c r="A156" s="64" t="s">
        <v>4048</v>
      </c>
      <c r="B156" s="48" t="str">
        <f>image("https://storage.googleapis.com/acdb/accessories/AccessoryGlassRetro0.png")</f>
        <v/>
      </c>
      <c r="C156" s="15"/>
      <c r="D156" s="15" t="s">
        <v>28</v>
      </c>
      <c r="E156" s="15" t="s">
        <v>43</v>
      </c>
      <c r="F156" s="13">
        <v>1560.0</v>
      </c>
      <c r="G156" s="13">
        <v>390.0</v>
      </c>
      <c r="H156" s="15">
        <v>4456.0</v>
      </c>
      <c r="I156" s="15" t="s">
        <v>38</v>
      </c>
      <c r="J156" s="15" t="s">
        <v>2863</v>
      </c>
      <c r="K156" s="15" t="s">
        <v>2749</v>
      </c>
      <c r="L156" s="15" t="s">
        <v>2751</v>
      </c>
    </row>
    <row r="157" ht="56.25" customHeight="1">
      <c r="A157" s="64" t="s">
        <v>4048</v>
      </c>
      <c r="B157" s="48" t="str">
        <f>image("https://storage.googleapis.com/acdb/accessories/AccessoryGlassRetro1.png")</f>
        <v/>
      </c>
      <c r="C157" s="15"/>
      <c r="D157" s="15" t="s">
        <v>28</v>
      </c>
      <c r="E157" s="15" t="s">
        <v>43</v>
      </c>
      <c r="F157" s="13">
        <v>1560.0</v>
      </c>
      <c r="G157" s="13">
        <v>390.0</v>
      </c>
      <c r="H157" s="15">
        <v>4456.0</v>
      </c>
      <c r="I157" s="15" t="s">
        <v>38</v>
      </c>
      <c r="J157" s="15" t="s">
        <v>2863</v>
      </c>
      <c r="K157" s="15" t="s">
        <v>2749</v>
      </c>
      <c r="L157" s="15" t="s">
        <v>2751</v>
      </c>
    </row>
    <row r="158" ht="56.25" customHeight="1">
      <c r="A158" s="64" t="s">
        <v>4048</v>
      </c>
      <c r="B158" s="48" t="str">
        <f>image("https://storage.googleapis.com/acdb/accessories/AccessoryGlassRetro2.png")</f>
        <v/>
      </c>
      <c r="C158" s="15"/>
      <c r="D158" s="15" t="s">
        <v>28</v>
      </c>
      <c r="E158" s="15" t="s">
        <v>43</v>
      </c>
      <c r="F158" s="13">
        <v>1560.0</v>
      </c>
      <c r="G158" s="13">
        <v>390.0</v>
      </c>
      <c r="H158" s="15">
        <v>4456.0</v>
      </c>
      <c r="I158" s="15" t="s">
        <v>38</v>
      </c>
      <c r="J158" s="15" t="s">
        <v>2863</v>
      </c>
      <c r="K158" s="15" t="s">
        <v>2749</v>
      </c>
      <c r="L158" s="15" t="s">
        <v>2751</v>
      </c>
    </row>
    <row r="159" ht="56.25" customHeight="1">
      <c r="A159" s="64" t="s">
        <v>4048</v>
      </c>
      <c r="B159" s="48" t="str">
        <f>image("https://storage.googleapis.com/acdb/accessories/AccessoryGlassRetro3.png")</f>
        <v/>
      </c>
      <c r="C159" s="15"/>
      <c r="D159" s="15" t="s">
        <v>28</v>
      </c>
      <c r="E159" s="15" t="s">
        <v>43</v>
      </c>
      <c r="F159" s="13">
        <v>1560.0</v>
      </c>
      <c r="G159" s="13">
        <v>390.0</v>
      </c>
      <c r="H159" s="15">
        <v>4456.0</v>
      </c>
      <c r="I159" s="15" t="s">
        <v>38</v>
      </c>
      <c r="J159" s="15" t="s">
        <v>2863</v>
      </c>
      <c r="K159" s="15" t="s">
        <v>2749</v>
      </c>
      <c r="L159" s="15" t="s">
        <v>2751</v>
      </c>
    </row>
    <row r="160" ht="56.25" customHeight="1">
      <c r="A160" s="64" t="s">
        <v>4048</v>
      </c>
      <c r="B160" s="48" t="str">
        <f>image("https://storage.googleapis.com/acdb/accessories/AccessoryGlassRetro4.png")</f>
        <v/>
      </c>
      <c r="C160" s="15"/>
      <c r="D160" s="15" t="s">
        <v>28</v>
      </c>
      <c r="E160" s="15" t="s">
        <v>43</v>
      </c>
      <c r="F160" s="13">
        <v>1560.0</v>
      </c>
      <c r="G160" s="13">
        <v>390.0</v>
      </c>
      <c r="H160" s="15">
        <v>4456.0</v>
      </c>
      <c r="I160" s="15" t="s">
        <v>38</v>
      </c>
      <c r="J160" s="15" t="s">
        <v>2863</v>
      </c>
      <c r="K160" s="15" t="s">
        <v>2749</v>
      </c>
      <c r="L160" s="15" t="s">
        <v>2751</v>
      </c>
    </row>
    <row r="161" ht="56.25" customHeight="1">
      <c r="A161" s="64" t="s">
        <v>4048</v>
      </c>
      <c r="B161" s="48" t="str">
        <f>image("https://storage.googleapis.com/acdb/accessories/AccessoryGlassRetro5.png")</f>
        <v/>
      </c>
      <c r="C161" s="15"/>
      <c r="D161" s="15" t="s">
        <v>28</v>
      </c>
      <c r="E161" s="15" t="s">
        <v>43</v>
      </c>
      <c r="F161" s="13">
        <v>1560.0</v>
      </c>
      <c r="G161" s="13">
        <v>390.0</v>
      </c>
      <c r="H161" s="15">
        <v>4456.0</v>
      </c>
      <c r="I161" s="15" t="s">
        <v>38</v>
      </c>
      <c r="J161" s="15" t="s">
        <v>2863</v>
      </c>
      <c r="K161" s="15" t="s">
        <v>2749</v>
      </c>
      <c r="L161" s="15" t="s">
        <v>2751</v>
      </c>
    </row>
    <row r="162" ht="56.25" customHeight="1">
      <c r="A162" s="64" t="s">
        <v>4055</v>
      </c>
      <c r="B162" s="48" t="str">
        <f>image("https://storage.googleapis.com/acdb/accessories/AccessoryGlassRhinestone0.png")</f>
        <v/>
      </c>
      <c r="C162" s="15"/>
      <c r="D162" s="15" t="s">
        <v>28</v>
      </c>
      <c r="E162" s="15" t="s">
        <v>43</v>
      </c>
      <c r="F162" s="13">
        <v>1040.0</v>
      </c>
      <c r="G162" s="13">
        <v>260.0</v>
      </c>
      <c r="H162" s="15">
        <v>4683.0</v>
      </c>
      <c r="I162" s="15" t="s">
        <v>38</v>
      </c>
      <c r="J162" s="15" t="s">
        <v>852</v>
      </c>
      <c r="K162" s="15" t="s">
        <v>2749</v>
      </c>
      <c r="L162" s="15" t="s">
        <v>2751</v>
      </c>
    </row>
    <row r="163" ht="56.25" customHeight="1">
      <c r="A163" s="64" t="s">
        <v>4055</v>
      </c>
      <c r="B163" s="48" t="str">
        <f>image("https://storage.googleapis.com/acdb/accessories/AccessoryGlassRhinestone1.png")</f>
        <v/>
      </c>
      <c r="C163" s="15"/>
      <c r="D163" s="15" t="s">
        <v>28</v>
      </c>
      <c r="E163" s="15" t="s">
        <v>43</v>
      </c>
      <c r="F163" s="13">
        <v>1040.0</v>
      </c>
      <c r="G163" s="13">
        <v>260.0</v>
      </c>
      <c r="H163" s="15">
        <v>4683.0</v>
      </c>
      <c r="I163" s="15" t="s">
        <v>38</v>
      </c>
      <c r="J163" s="15" t="s">
        <v>852</v>
      </c>
      <c r="K163" s="15" t="s">
        <v>2749</v>
      </c>
      <c r="L163" s="15" t="s">
        <v>2751</v>
      </c>
    </row>
    <row r="164" ht="56.25" customHeight="1">
      <c r="A164" s="64" t="s">
        <v>4055</v>
      </c>
      <c r="B164" s="48" t="str">
        <f>image("https://storage.googleapis.com/acdb/accessories/AccessoryGlassRhinestone2.png")</f>
        <v/>
      </c>
      <c r="C164" s="15"/>
      <c r="D164" s="15" t="s">
        <v>28</v>
      </c>
      <c r="E164" s="15" t="s">
        <v>43</v>
      </c>
      <c r="F164" s="13">
        <v>1040.0</v>
      </c>
      <c r="G164" s="13">
        <v>260.0</v>
      </c>
      <c r="H164" s="15">
        <v>4683.0</v>
      </c>
      <c r="I164" s="15" t="s">
        <v>38</v>
      </c>
      <c r="J164" s="15" t="s">
        <v>852</v>
      </c>
      <c r="K164" s="15" t="s">
        <v>2749</v>
      </c>
      <c r="L164" s="15" t="s">
        <v>2751</v>
      </c>
    </row>
    <row r="165" ht="56.25" customHeight="1">
      <c r="A165" s="64" t="s">
        <v>4059</v>
      </c>
      <c r="B165" s="48" t="str">
        <f>image("https://storage.googleapis.com/acdb/accessories/AccessoryGlassCircle0.png")</f>
        <v/>
      </c>
      <c r="C165" s="15"/>
      <c r="D165" s="15" t="s">
        <v>28</v>
      </c>
      <c r="E165" s="15" t="s">
        <v>43</v>
      </c>
      <c r="F165" s="13">
        <v>630.0</v>
      </c>
      <c r="G165" s="13">
        <v>157.0</v>
      </c>
      <c r="H165" s="15">
        <v>4235.0</v>
      </c>
      <c r="I165" s="15" t="s">
        <v>38</v>
      </c>
      <c r="J165" s="15" t="s">
        <v>2863</v>
      </c>
      <c r="K165" s="15" t="s">
        <v>2749</v>
      </c>
      <c r="L165" s="15" t="s">
        <v>2764</v>
      </c>
    </row>
    <row r="166" ht="56.25" customHeight="1">
      <c r="A166" s="64" t="s">
        <v>4059</v>
      </c>
      <c r="B166" s="48" t="str">
        <f>image("https://storage.googleapis.com/acdb/accessories/AccessoryGlassCircle1.png")</f>
        <v/>
      </c>
      <c r="C166" s="15"/>
      <c r="D166" s="15" t="s">
        <v>28</v>
      </c>
      <c r="E166" s="15" t="s">
        <v>43</v>
      </c>
      <c r="F166" s="13">
        <v>630.0</v>
      </c>
      <c r="G166" s="13">
        <v>157.0</v>
      </c>
      <c r="H166" s="15">
        <v>4235.0</v>
      </c>
      <c r="I166" s="15" t="s">
        <v>38</v>
      </c>
      <c r="J166" s="15" t="s">
        <v>2863</v>
      </c>
      <c r="K166" s="15" t="s">
        <v>2749</v>
      </c>
      <c r="L166" s="15" t="s">
        <v>2764</v>
      </c>
    </row>
    <row r="167" ht="56.25" customHeight="1">
      <c r="A167" s="64" t="s">
        <v>4059</v>
      </c>
      <c r="B167" s="48" t="str">
        <f>image("https://storage.googleapis.com/acdb/accessories/AccessoryGlassCircle2.png")</f>
        <v/>
      </c>
      <c r="C167" s="15"/>
      <c r="D167" s="15" t="s">
        <v>28</v>
      </c>
      <c r="E167" s="15" t="s">
        <v>43</v>
      </c>
      <c r="F167" s="13">
        <v>630.0</v>
      </c>
      <c r="G167" s="13">
        <v>157.0</v>
      </c>
      <c r="H167" s="15">
        <v>4235.0</v>
      </c>
      <c r="I167" s="15" t="s">
        <v>38</v>
      </c>
      <c r="J167" s="15" t="s">
        <v>2863</v>
      </c>
      <c r="K167" s="15" t="s">
        <v>2749</v>
      </c>
      <c r="L167" s="15" t="s">
        <v>2764</v>
      </c>
    </row>
    <row r="168" ht="56.25" customHeight="1">
      <c r="A168" s="64" t="s">
        <v>4059</v>
      </c>
      <c r="B168" s="48" t="str">
        <f>image("https://storage.googleapis.com/acdb/accessories/AccessoryGlassCircle3.png")</f>
        <v/>
      </c>
      <c r="C168" s="15"/>
      <c r="D168" s="15" t="s">
        <v>28</v>
      </c>
      <c r="E168" s="15" t="s">
        <v>43</v>
      </c>
      <c r="F168" s="13">
        <v>630.0</v>
      </c>
      <c r="G168" s="13">
        <v>157.0</v>
      </c>
      <c r="H168" s="15">
        <v>4235.0</v>
      </c>
      <c r="I168" s="15" t="s">
        <v>38</v>
      </c>
      <c r="J168" s="15" t="s">
        <v>2863</v>
      </c>
      <c r="K168" s="15" t="s">
        <v>2749</v>
      </c>
      <c r="L168" s="15" t="s">
        <v>2764</v>
      </c>
    </row>
    <row r="169" ht="56.25" customHeight="1">
      <c r="A169" s="64" t="s">
        <v>4059</v>
      </c>
      <c r="B169" s="48" t="str">
        <f>image("https://storage.googleapis.com/acdb/accessories/AccessoryGlassCircle4.png")</f>
        <v/>
      </c>
      <c r="C169" s="15"/>
      <c r="D169" s="15" t="s">
        <v>28</v>
      </c>
      <c r="E169" s="15" t="s">
        <v>43</v>
      </c>
      <c r="F169" s="13">
        <v>630.0</v>
      </c>
      <c r="G169" s="13">
        <v>157.0</v>
      </c>
      <c r="H169" s="15">
        <v>4235.0</v>
      </c>
      <c r="I169" s="15" t="s">
        <v>38</v>
      </c>
      <c r="J169" s="15" t="s">
        <v>2863</v>
      </c>
      <c r="K169" s="15" t="s">
        <v>2749</v>
      </c>
      <c r="L169" s="15" t="s">
        <v>2764</v>
      </c>
    </row>
    <row r="170" ht="56.25" customHeight="1">
      <c r="A170" s="64" t="s">
        <v>4066</v>
      </c>
      <c r="B170" s="48" t="str">
        <f>image("https://storage.googleapis.com/acdb/accessories/AccessoryGlassBoston0.png")</f>
        <v/>
      </c>
      <c r="C170" s="15"/>
      <c r="D170" s="15" t="s">
        <v>28</v>
      </c>
      <c r="E170" s="15" t="s">
        <v>43</v>
      </c>
      <c r="F170" s="13">
        <v>1560.0</v>
      </c>
      <c r="G170" s="13">
        <v>390.0</v>
      </c>
      <c r="H170" s="15">
        <v>4241.0</v>
      </c>
      <c r="I170" s="15" t="s">
        <v>38</v>
      </c>
      <c r="J170" s="15" t="s">
        <v>2756</v>
      </c>
      <c r="K170" s="15" t="s">
        <v>2749</v>
      </c>
      <c r="L170" s="15" t="s">
        <v>2751</v>
      </c>
    </row>
    <row r="171" ht="56.25" customHeight="1">
      <c r="A171" s="64" t="s">
        <v>4066</v>
      </c>
      <c r="B171" s="48" t="str">
        <f>image("https://storage.googleapis.com/acdb/accessories/AccessoryGlassBoston1.png")</f>
        <v/>
      </c>
      <c r="C171" s="15"/>
      <c r="D171" s="15" t="s">
        <v>28</v>
      </c>
      <c r="E171" s="15" t="s">
        <v>43</v>
      </c>
      <c r="F171" s="13">
        <v>1560.0</v>
      </c>
      <c r="G171" s="13">
        <v>390.0</v>
      </c>
      <c r="H171" s="15">
        <v>4241.0</v>
      </c>
      <c r="I171" s="15" t="s">
        <v>38</v>
      </c>
      <c r="J171" s="15" t="s">
        <v>2756</v>
      </c>
      <c r="K171" s="15" t="s">
        <v>2749</v>
      </c>
      <c r="L171" s="15" t="s">
        <v>2751</v>
      </c>
    </row>
    <row r="172" ht="56.25" customHeight="1">
      <c r="A172" s="64" t="s">
        <v>4066</v>
      </c>
      <c r="B172" s="48" t="str">
        <f>image("https://storage.googleapis.com/acdb/accessories/AccessoryGlassBoston2.png")</f>
        <v/>
      </c>
      <c r="C172" s="15"/>
      <c r="D172" s="15" t="s">
        <v>28</v>
      </c>
      <c r="E172" s="15" t="s">
        <v>43</v>
      </c>
      <c r="F172" s="13">
        <v>1560.0</v>
      </c>
      <c r="G172" s="13">
        <v>390.0</v>
      </c>
      <c r="H172" s="15">
        <v>4241.0</v>
      </c>
      <c r="I172" s="15" t="s">
        <v>38</v>
      </c>
      <c r="J172" s="15" t="s">
        <v>2756</v>
      </c>
      <c r="K172" s="15" t="s">
        <v>2749</v>
      </c>
      <c r="L172" s="15" t="s">
        <v>2751</v>
      </c>
    </row>
    <row r="173" ht="56.25" customHeight="1">
      <c r="A173" s="64" t="s">
        <v>4066</v>
      </c>
      <c r="B173" s="48" t="str">
        <f>image("https://storage.googleapis.com/acdb/accessories/AccessoryGlassBoston3.png")</f>
        <v/>
      </c>
      <c r="C173" s="15"/>
      <c r="D173" s="15" t="s">
        <v>28</v>
      </c>
      <c r="E173" s="15" t="s">
        <v>43</v>
      </c>
      <c r="F173" s="13">
        <v>1560.0</v>
      </c>
      <c r="G173" s="13">
        <v>390.0</v>
      </c>
      <c r="H173" s="15">
        <v>4241.0</v>
      </c>
      <c r="I173" s="15" t="s">
        <v>38</v>
      </c>
      <c r="J173" s="15" t="s">
        <v>2756</v>
      </c>
      <c r="K173" s="15" t="s">
        <v>2749</v>
      </c>
      <c r="L173" s="15" t="s">
        <v>2751</v>
      </c>
    </row>
    <row r="174" ht="56.25" customHeight="1">
      <c r="A174" s="64" t="s">
        <v>4066</v>
      </c>
      <c r="B174" s="48" t="str">
        <f>image("https://storage.googleapis.com/acdb/accessories/AccessoryGlassBoston4.png")</f>
        <v/>
      </c>
      <c r="C174" s="15"/>
      <c r="D174" s="15" t="s">
        <v>28</v>
      </c>
      <c r="E174" s="15" t="s">
        <v>43</v>
      </c>
      <c r="F174" s="13">
        <v>1560.0</v>
      </c>
      <c r="G174" s="13">
        <v>390.0</v>
      </c>
      <c r="H174" s="15">
        <v>4241.0</v>
      </c>
      <c r="I174" s="15" t="s">
        <v>38</v>
      </c>
      <c r="J174" s="15" t="s">
        <v>2756</v>
      </c>
      <c r="K174" s="15" t="s">
        <v>2749</v>
      </c>
      <c r="L174" s="15" t="s">
        <v>2751</v>
      </c>
    </row>
    <row r="175" ht="56.25" customHeight="1">
      <c r="A175" s="64" t="s">
        <v>4066</v>
      </c>
      <c r="B175" s="48" t="str">
        <f>image("https://storage.googleapis.com/acdb/accessories/AccessoryGlassBoston5.png")</f>
        <v/>
      </c>
      <c r="C175" s="15"/>
      <c r="D175" s="15" t="s">
        <v>28</v>
      </c>
      <c r="E175" s="15" t="s">
        <v>43</v>
      </c>
      <c r="F175" s="13">
        <v>1560.0</v>
      </c>
      <c r="G175" s="13">
        <v>390.0</v>
      </c>
      <c r="H175" s="15">
        <v>4241.0</v>
      </c>
      <c r="I175" s="15" t="s">
        <v>38</v>
      </c>
      <c r="J175" s="15" t="s">
        <v>2756</v>
      </c>
      <c r="K175" s="15" t="s">
        <v>2749</v>
      </c>
      <c r="L175" s="15" t="s">
        <v>2751</v>
      </c>
    </row>
    <row r="176" ht="56.25" customHeight="1">
      <c r="A176" s="64" t="s">
        <v>4066</v>
      </c>
      <c r="B176" s="48" t="str">
        <f>image("https://storage.googleapis.com/acdb/accessories/AccessoryGlassBoston6.png")</f>
        <v/>
      </c>
      <c r="C176" s="15"/>
      <c r="D176" s="15" t="s">
        <v>28</v>
      </c>
      <c r="E176" s="15" t="s">
        <v>43</v>
      </c>
      <c r="F176" s="13">
        <v>1560.0</v>
      </c>
      <c r="G176" s="13">
        <v>390.0</v>
      </c>
      <c r="H176" s="15">
        <v>4241.0</v>
      </c>
      <c r="I176" s="15" t="s">
        <v>38</v>
      </c>
      <c r="J176" s="15" t="s">
        <v>2756</v>
      </c>
      <c r="K176" s="15" t="s">
        <v>2749</v>
      </c>
      <c r="L176" s="15" t="s">
        <v>2751</v>
      </c>
    </row>
    <row r="177" ht="56.25" customHeight="1">
      <c r="A177" s="64" t="s">
        <v>4066</v>
      </c>
      <c r="B177" s="48" t="str">
        <f>image("https://storage.googleapis.com/acdb/accessories/AccessoryGlassBoston7.png")</f>
        <v/>
      </c>
      <c r="C177" s="15"/>
      <c r="D177" s="15" t="s">
        <v>28</v>
      </c>
      <c r="E177" s="15" t="s">
        <v>43</v>
      </c>
      <c r="F177" s="13">
        <v>1560.0</v>
      </c>
      <c r="G177" s="13">
        <v>390.0</v>
      </c>
      <c r="H177" s="15">
        <v>4241.0</v>
      </c>
      <c r="I177" s="15" t="s">
        <v>38</v>
      </c>
      <c r="J177" s="15" t="s">
        <v>2756</v>
      </c>
      <c r="K177" s="15" t="s">
        <v>2749</v>
      </c>
      <c r="L177" s="15" t="s">
        <v>2751</v>
      </c>
    </row>
    <row r="178" ht="56.25" customHeight="1">
      <c r="A178" s="64" t="s">
        <v>4074</v>
      </c>
      <c r="B178" s="48" t="str">
        <f>image("https://storage.googleapis.com/acdb/accessories/AccessoryGlassRound0.png")</f>
        <v/>
      </c>
      <c r="C178" s="15"/>
      <c r="D178" s="15" t="s">
        <v>28</v>
      </c>
      <c r="E178" s="15" t="s">
        <v>43</v>
      </c>
      <c r="F178" s="13">
        <v>880.0</v>
      </c>
      <c r="G178" s="13">
        <v>220.0</v>
      </c>
      <c r="H178" s="15">
        <v>4607.0</v>
      </c>
      <c r="I178" s="15" t="s">
        <v>38</v>
      </c>
      <c r="J178" s="15" t="s">
        <v>2744</v>
      </c>
      <c r="K178" s="15" t="s">
        <v>2749</v>
      </c>
      <c r="L178" s="15" t="s">
        <v>2764</v>
      </c>
    </row>
    <row r="179" ht="56.25" customHeight="1">
      <c r="A179" s="64" t="s">
        <v>4074</v>
      </c>
      <c r="B179" s="48" t="str">
        <f>image("https://storage.googleapis.com/acdb/accessories/AccessoryGlassRound1.png")</f>
        <v/>
      </c>
      <c r="C179" s="15"/>
      <c r="D179" s="15" t="s">
        <v>28</v>
      </c>
      <c r="E179" s="15" t="s">
        <v>43</v>
      </c>
      <c r="F179" s="13">
        <v>880.0</v>
      </c>
      <c r="G179" s="13">
        <v>220.0</v>
      </c>
      <c r="H179" s="15">
        <v>4607.0</v>
      </c>
      <c r="I179" s="15" t="s">
        <v>38</v>
      </c>
      <c r="J179" s="15" t="s">
        <v>2744</v>
      </c>
      <c r="K179" s="15" t="s">
        <v>2749</v>
      </c>
      <c r="L179" s="15" t="s">
        <v>2764</v>
      </c>
    </row>
    <row r="180" ht="56.25" customHeight="1">
      <c r="A180" s="64" t="s">
        <v>4074</v>
      </c>
      <c r="B180" s="48" t="str">
        <f>image("https://storage.googleapis.com/acdb/accessories/AccessoryGlassRound2.png")</f>
        <v/>
      </c>
      <c r="C180" s="15"/>
      <c r="D180" s="15" t="s">
        <v>28</v>
      </c>
      <c r="E180" s="15" t="s">
        <v>43</v>
      </c>
      <c r="F180" s="13">
        <v>880.0</v>
      </c>
      <c r="G180" s="13">
        <v>220.0</v>
      </c>
      <c r="H180" s="15">
        <v>4607.0</v>
      </c>
      <c r="I180" s="15" t="s">
        <v>38</v>
      </c>
      <c r="J180" s="15" t="s">
        <v>2744</v>
      </c>
      <c r="K180" s="15" t="s">
        <v>2749</v>
      </c>
      <c r="L180" s="15" t="s">
        <v>2764</v>
      </c>
    </row>
    <row r="181" ht="56.25" customHeight="1">
      <c r="A181" s="64" t="s">
        <v>4074</v>
      </c>
      <c r="B181" s="48" t="str">
        <f>image("https://storage.googleapis.com/acdb/accessories/AccessoryGlassRound3.png")</f>
        <v/>
      </c>
      <c r="C181" s="15"/>
      <c r="D181" s="15" t="s">
        <v>28</v>
      </c>
      <c r="E181" s="15" t="s">
        <v>43</v>
      </c>
      <c r="F181" s="13">
        <v>880.0</v>
      </c>
      <c r="G181" s="13">
        <v>220.0</v>
      </c>
      <c r="H181" s="15">
        <v>4607.0</v>
      </c>
      <c r="I181" s="15" t="s">
        <v>38</v>
      </c>
      <c r="J181" s="15" t="s">
        <v>2744</v>
      </c>
      <c r="K181" s="15" t="s">
        <v>2749</v>
      </c>
      <c r="L181" s="15" t="s">
        <v>2764</v>
      </c>
    </row>
    <row r="182" ht="56.25" customHeight="1">
      <c r="A182" s="64" t="s">
        <v>4079</v>
      </c>
      <c r="B182" s="48" t="str">
        <f>image("https://storage.googleapis.com/acdb/accessories/AccessoryMouthBeardRoundBlack.png")</f>
        <v/>
      </c>
      <c r="C182" s="15"/>
      <c r="D182" s="15" t="s">
        <v>28</v>
      </c>
      <c r="E182" s="15" t="s">
        <v>43</v>
      </c>
      <c r="F182" s="13">
        <v>980.0</v>
      </c>
      <c r="G182" s="13">
        <v>245.0</v>
      </c>
      <c r="H182" s="15">
        <v>4679.0</v>
      </c>
      <c r="I182" s="15" t="s">
        <v>38</v>
      </c>
      <c r="J182" s="15" t="s">
        <v>2756</v>
      </c>
      <c r="K182" s="15" t="s">
        <v>2749</v>
      </c>
      <c r="L182" s="15" t="s">
        <v>2751</v>
      </c>
    </row>
    <row r="183" ht="56.25" customHeight="1">
      <c r="A183" s="64" t="s">
        <v>4080</v>
      </c>
      <c r="B183" s="48" t="str">
        <f>image("https://storage.googleapis.com/acdb/accessories/AccessoryGlassCrackBlack.png")</f>
        <v/>
      </c>
      <c r="C183" s="15"/>
      <c r="D183" s="25" t="s">
        <v>28</v>
      </c>
      <c r="E183" s="15" t="s">
        <v>54</v>
      </c>
      <c r="F183" s="24" t="s">
        <v>51</v>
      </c>
      <c r="G183" s="13">
        <v>10.0</v>
      </c>
      <c r="H183" s="15">
        <v>4337.0</v>
      </c>
      <c r="I183" s="15" t="s">
        <v>38</v>
      </c>
      <c r="J183" s="15" t="s">
        <v>2744</v>
      </c>
      <c r="K183" s="15" t="s">
        <v>2797</v>
      </c>
      <c r="L183" s="15"/>
    </row>
    <row r="184" ht="56.25" customHeight="1">
      <c r="A184" s="64" t="s">
        <v>4082</v>
      </c>
      <c r="B184" s="48" t="str">
        <f>image("https://storage.googleapis.com/acdb/accessories/AccessoryGlassGogglesski0.png")</f>
        <v/>
      </c>
      <c r="C184" s="15"/>
      <c r="D184" s="15" t="s">
        <v>28</v>
      </c>
      <c r="E184" s="15" t="s">
        <v>43</v>
      </c>
      <c r="F184" s="13">
        <v>980.0</v>
      </c>
      <c r="G184" s="13">
        <v>245.0</v>
      </c>
      <c r="H184" s="15">
        <v>4453.0</v>
      </c>
      <c r="I184" s="15" t="s">
        <v>38</v>
      </c>
      <c r="J184" s="15" t="s">
        <v>2793</v>
      </c>
      <c r="K184" s="15" t="s">
        <v>2749</v>
      </c>
      <c r="L184" s="15" t="s">
        <v>2751</v>
      </c>
    </row>
    <row r="185" ht="56.25" customHeight="1">
      <c r="A185" s="64" t="s">
        <v>4082</v>
      </c>
      <c r="B185" s="48" t="str">
        <f>image("https://storage.googleapis.com/acdb/accessories/AccessoryGlassGogglesski1.png")</f>
        <v/>
      </c>
      <c r="C185" s="15"/>
      <c r="D185" s="15" t="s">
        <v>28</v>
      </c>
      <c r="E185" s="15" t="s">
        <v>43</v>
      </c>
      <c r="F185" s="13">
        <v>980.0</v>
      </c>
      <c r="G185" s="13">
        <v>245.0</v>
      </c>
      <c r="H185" s="15">
        <v>4453.0</v>
      </c>
      <c r="I185" s="15" t="s">
        <v>38</v>
      </c>
      <c r="J185" s="15" t="s">
        <v>2793</v>
      </c>
      <c r="K185" s="15" t="s">
        <v>2749</v>
      </c>
      <c r="L185" s="15" t="s">
        <v>2751</v>
      </c>
    </row>
    <row r="186" ht="56.25" customHeight="1">
      <c r="A186" s="64" t="s">
        <v>4082</v>
      </c>
      <c r="B186" s="48" t="str">
        <f>image("https://storage.googleapis.com/acdb/accessories/AccessoryGlassGogglesski2.png")</f>
        <v/>
      </c>
      <c r="C186" s="15"/>
      <c r="D186" s="15" t="s">
        <v>28</v>
      </c>
      <c r="E186" s="15" t="s">
        <v>43</v>
      </c>
      <c r="F186" s="13">
        <v>980.0</v>
      </c>
      <c r="G186" s="13">
        <v>245.0</v>
      </c>
      <c r="H186" s="15">
        <v>4453.0</v>
      </c>
      <c r="I186" s="15" t="s">
        <v>38</v>
      </c>
      <c r="J186" s="15" t="s">
        <v>2793</v>
      </c>
      <c r="K186" s="15" t="s">
        <v>2749</v>
      </c>
      <c r="L186" s="15" t="s">
        <v>2751</v>
      </c>
    </row>
    <row r="187" ht="56.25" customHeight="1">
      <c r="A187" s="64" t="s">
        <v>4082</v>
      </c>
      <c r="B187" s="48" t="str">
        <f>image("https://storage.googleapis.com/acdb/accessories/AccessoryGlassGogglesski3.png")</f>
        <v/>
      </c>
      <c r="C187" s="15"/>
      <c r="D187" s="15" t="s">
        <v>28</v>
      </c>
      <c r="E187" s="15" t="s">
        <v>43</v>
      </c>
      <c r="F187" s="13">
        <v>980.0</v>
      </c>
      <c r="G187" s="13">
        <v>245.0</v>
      </c>
      <c r="H187" s="15">
        <v>4453.0</v>
      </c>
      <c r="I187" s="15" t="s">
        <v>38</v>
      </c>
      <c r="J187" s="15" t="s">
        <v>2793</v>
      </c>
      <c r="K187" s="15" t="s">
        <v>2749</v>
      </c>
      <c r="L187" s="15" t="s">
        <v>2751</v>
      </c>
    </row>
    <row r="188" ht="56.25" customHeight="1">
      <c r="A188" s="64" t="s">
        <v>4082</v>
      </c>
      <c r="B188" s="48" t="str">
        <f>image("https://storage.googleapis.com/acdb/accessories/AccessoryGlassGogglesski4.png")</f>
        <v/>
      </c>
      <c r="C188" s="15"/>
      <c r="D188" s="15" t="s">
        <v>28</v>
      </c>
      <c r="E188" s="15" t="s">
        <v>43</v>
      </c>
      <c r="F188" s="13">
        <v>980.0</v>
      </c>
      <c r="G188" s="13">
        <v>245.0</v>
      </c>
      <c r="H188" s="15">
        <v>4453.0</v>
      </c>
      <c r="I188" s="15" t="s">
        <v>38</v>
      </c>
      <c r="J188" s="15" t="s">
        <v>2793</v>
      </c>
      <c r="K188" s="15" t="s">
        <v>2749</v>
      </c>
      <c r="L188" s="15" t="s">
        <v>2751</v>
      </c>
    </row>
    <row r="189" ht="56.25" customHeight="1">
      <c r="A189" s="64" t="s">
        <v>4082</v>
      </c>
      <c r="B189" s="48" t="str">
        <f>image("https://storage.googleapis.com/acdb/accessories/AccessoryGlassGogglesski5.png")</f>
        <v/>
      </c>
      <c r="C189" s="15"/>
      <c r="D189" s="15" t="s">
        <v>28</v>
      </c>
      <c r="E189" s="15" t="s">
        <v>43</v>
      </c>
      <c r="F189" s="13">
        <v>980.0</v>
      </c>
      <c r="G189" s="13">
        <v>245.0</v>
      </c>
      <c r="H189" s="15">
        <v>4453.0</v>
      </c>
      <c r="I189" s="15" t="s">
        <v>38</v>
      </c>
      <c r="J189" s="15" t="s">
        <v>2793</v>
      </c>
      <c r="K189" s="15" t="s">
        <v>2749</v>
      </c>
      <c r="L189" s="15" t="s">
        <v>2751</v>
      </c>
    </row>
    <row r="190" ht="56.25" customHeight="1">
      <c r="A190" s="64" t="s">
        <v>4088</v>
      </c>
      <c r="B190" s="48" t="str">
        <f>image("https://storage.googleapis.com/acdb/accessories/AccessoryGlassSports0.png")</f>
        <v/>
      </c>
      <c r="C190" s="15"/>
      <c r="D190" s="15" t="s">
        <v>28</v>
      </c>
      <c r="E190" s="15" t="s">
        <v>43</v>
      </c>
      <c r="F190" s="13">
        <v>1300.0</v>
      </c>
      <c r="G190" s="13">
        <v>325.0</v>
      </c>
      <c r="H190" s="15">
        <v>4458.0</v>
      </c>
      <c r="I190" s="15" t="s">
        <v>38</v>
      </c>
      <c r="J190" s="15" t="s">
        <v>2793</v>
      </c>
      <c r="K190" s="15" t="s">
        <v>2749</v>
      </c>
      <c r="L190" s="15" t="s">
        <v>2764</v>
      </c>
    </row>
    <row r="191" ht="56.25" customHeight="1">
      <c r="A191" s="64" t="s">
        <v>4088</v>
      </c>
      <c r="B191" s="48" t="str">
        <f>image("https://storage.googleapis.com/acdb/accessories/AccessoryGlassSports1.png")</f>
        <v/>
      </c>
      <c r="C191" s="15"/>
      <c r="D191" s="15" t="s">
        <v>28</v>
      </c>
      <c r="E191" s="15" t="s">
        <v>43</v>
      </c>
      <c r="F191" s="13">
        <v>1300.0</v>
      </c>
      <c r="G191" s="13">
        <v>325.0</v>
      </c>
      <c r="H191" s="15">
        <v>4458.0</v>
      </c>
      <c r="I191" s="15" t="s">
        <v>38</v>
      </c>
      <c r="J191" s="15" t="s">
        <v>2793</v>
      </c>
      <c r="K191" s="15" t="s">
        <v>2749</v>
      </c>
      <c r="L191" s="15" t="s">
        <v>2764</v>
      </c>
    </row>
    <row r="192" ht="56.25" customHeight="1">
      <c r="A192" s="64" t="s">
        <v>4088</v>
      </c>
      <c r="B192" s="48" t="str">
        <f>image("https://storage.googleapis.com/acdb/accessories/AccessoryGlassSports2.png")</f>
        <v/>
      </c>
      <c r="C192" s="15"/>
      <c r="D192" s="15" t="s">
        <v>28</v>
      </c>
      <c r="E192" s="15" t="s">
        <v>43</v>
      </c>
      <c r="F192" s="13">
        <v>1300.0</v>
      </c>
      <c r="G192" s="13">
        <v>325.0</v>
      </c>
      <c r="H192" s="15">
        <v>4458.0</v>
      </c>
      <c r="I192" s="15" t="s">
        <v>38</v>
      </c>
      <c r="J192" s="15" t="s">
        <v>2793</v>
      </c>
      <c r="K192" s="15" t="s">
        <v>2749</v>
      </c>
      <c r="L192" s="15" t="s">
        <v>2764</v>
      </c>
    </row>
    <row r="193" ht="56.25" customHeight="1">
      <c r="A193" s="64" t="s">
        <v>4088</v>
      </c>
      <c r="B193" s="48" t="str">
        <f>image("https://storage.googleapis.com/acdb/accessories/AccessoryGlassSports3.png")</f>
        <v/>
      </c>
      <c r="C193" s="15"/>
      <c r="D193" s="15" t="s">
        <v>28</v>
      </c>
      <c r="E193" s="15" t="s">
        <v>43</v>
      </c>
      <c r="F193" s="13">
        <v>1300.0</v>
      </c>
      <c r="G193" s="13">
        <v>325.0</v>
      </c>
      <c r="H193" s="15">
        <v>4458.0</v>
      </c>
      <c r="I193" s="15" t="s">
        <v>38</v>
      </c>
      <c r="J193" s="15" t="s">
        <v>2793</v>
      </c>
      <c r="K193" s="15" t="s">
        <v>2749</v>
      </c>
      <c r="L193" s="15" t="s">
        <v>2764</v>
      </c>
    </row>
    <row r="194" ht="56.25" customHeight="1">
      <c r="A194" s="64" t="s">
        <v>4088</v>
      </c>
      <c r="B194" s="48" t="str">
        <f>image("https://storage.googleapis.com/acdb/accessories/AccessoryGlassSports4.png")</f>
        <v/>
      </c>
      <c r="C194" s="15"/>
      <c r="D194" s="15" t="s">
        <v>28</v>
      </c>
      <c r="E194" s="15" t="s">
        <v>43</v>
      </c>
      <c r="F194" s="13">
        <v>1300.0</v>
      </c>
      <c r="G194" s="13">
        <v>325.0</v>
      </c>
      <c r="H194" s="15">
        <v>4458.0</v>
      </c>
      <c r="I194" s="15" t="s">
        <v>38</v>
      </c>
      <c r="J194" s="15" t="s">
        <v>2793</v>
      </c>
      <c r="K194" s="15" t="s">
        <v>2749</v>
      </c>
      <c r="L194" s="15" t="s">
        <v>2764</v>
      </c>
    </row>
    <row r="195" ht="56.25" customHeight="1">
      <c r="A195" s="64" t="s">
        <v>4093</v>
      </c>
      <c r="B195" s="48" t="str">
        <f>image("https://storage.googleapis.com/acdb/accessories/AccessoryGlassSquare0.png")</f>
        <v/>
      </c>
      <c r="C195" s="15"/>
      <c r="D195" s="15" t="s">
        <v>28</v>
      </c>
      <c r="E195" s="15" t="s">
        <v>43</v>
      </c>
      <c r="F195" s="13">
        <v>880.0</v>
      </c>
      <c r="G195" s="13">
        <v>220.0</v>
      </c>
      <c r="H195" s="15">
        <v>4236.0</v>
      </c>
      <c r="I195" s="15" t="s">
        <v>38</v>
      </c>
      <c r="J195" s="15" t="s">
        <v>2744</v>
      </c>
      <c r="K195" s="15" t="s">
        <v>2749</v>
      </c>
      <c r="L195" s="15" t="s">
        <v>2764</v>
      </c>
    </row>
    <row r="196" ht="56.25" customHeight="1">
      <c r="A196" s="64" t="s">
        <v>4093</v>
      </c>
      <c r="B196" s="48" t="str">
        <f>image("https://storage.googleapis.com/acdb/accessories/AccessoryGlassSquare1.png")</f>
        <v/>
      </c>
      <c r="C196" s="15"/>
      <c r="D196" s="15" t="s">
        <v>28</v>
      </c>
      <c r="E196" s="15" t="s">
        <v>43</v>
      </c>
      <c r="F196" s="13">
        <v>880.0</v>
      </c>
      <c r="G196" s="13">
        <v>220.0</v>
      </c>
      <c r="H196" s="15">
        <v>4236.0</v>
      </c>
      <c r="I196" s="15" t="s">
        <v>38</v>
      </c>
      <c r="J196" s="15" t="s">
        <v>2744</v>
      </c>
      <c r="K196" s="15" t="s">
        <v>2749</v>
      </c>
      <c r="L196" s="15" t="s">
        <v>2764</v>
      </c>
    </row>
    <row r="197" ht="56.25" customHeight="1">
      <c r="A197" s="64" t="s">
        <v>4093</v>
      </c>
      <c r="B197" s="48" t="str">
        <f>image("https://storage.googleapis.com/acdb/accessories/AccessoryGlassSquare2.png")</f>
        <v/>
      </c>
      <c r="C197" s="15"/>
      <c r="D197" s="15" t="s">
        <v>28</v>
      </c>
      <c r="E197" s="15" t="s">
        <v>43</v>
      </c>
      <c r="F197" s="13">
        <v>880.0</v>
      </c>
      <c r="G197" s="13">
        <v>220.0</v>
      </c>
      <c r="H197" s="15">
        <v>4236.0</v>
      </c>
      <c r="I197" s="15" t="s">
        <v>38</v>
      </c>
      <c r="J197" s="15" t="s">
        <v>2744</v>
      </c>
      <c r="K197" s="15" t="s">
        <v>2749</v>
      </c>
      <c r="L197" s="15" t="s">
        <v>2764</v>
      </c>
    </row>
    <row r="198" ht="56.25" customHeight="1">
      <c r="A198" s="64" t="s">
        <v>4093</v>
      </c>
      <c r="B198" s="48" t="str">
        <f>image("https://storage.googleapis.com/acdb/accessories/AccessoryGlassSquare3.png")</f>
        <v/>
      </c>
      <c r="C198" s="15"/>
      <c r="D198" s="15" t="s">
        <v>28</v>
      </c>
      <c r="E198" s="15" t="s">
        <v>43</v>
      </c>
      <c r="F198" s="13">
        <v>880.0</v>
      </c>
      <c r="G198" s="13">
        <v>220.0</v>
      </c>
      <c r="H198" s="15">
        <v>4236.0</v>
      </c>
      <c r="I198" s="15" t="s">
        <v>38</v>
      </c>
      <c r="J198" s="15" t="s">
        <v>2744</v>
      </c>
      <c r="K198" s="15" t="s">
        <v>2749</v>
      </c>
      <c r="L198" s="15" t="s">
        <v>2764</v>
      </c>
    </row>
    <row r="199" ht="56.25" customHeight="1">
      <c r="A199" s="64" t="s">
        <v>4098</v>
      </c>
      <c r="B199" s="48" t="str">
        <f>image("https://storage.googleapis.com/acdb/accessories/AccessoryGlassmouthBeard0.png")</f>
        <v/>
      </c>
      <c r="C199" s="15"/>
      <c r="D199" s="15" t="s">
        <v>28</v>
      </c>
      <c r="E199" s="15" t="s">
        <v>43</v>
      </c>
      <c r="F199" s="13">
        <v>770.0</v>
      </c>
      <c r="G199" s="13">
        <v>192.0</v>
      </c>
      <c r="H199" s="15">
        <v>4501.0</v>
      </c>
      <c r="I199" s="15" t="s">
        <v>38</v>
      </c>
      <c r="J199" s="15" t="s">
        <v>384</v>
      </c>
      <c r="K199" s="15" t="s">
        <v>2749</v>
      </c>
      <c r="L199" s="15" t="s">
        <v>2751</v>
      </c>
    </row>
    <row r="200" ht="56.25" customHeight="1">
      <c r="A200" s="64" t="s">
        <v>4098</v>
      </c>
      <c r="B200" s="48" t="str">
        <f>image("https://storage.googleapis.com/acdb/accessories/AccessoryGlassmouthBeard1.png")</f>
        <v/>
      </c>
      <c r="C200" s="15"/>
      <c r="D200" s="15" t="s">
        <v>28</v>
      </c>
      <c r="E200" s="15" t="s">
        <v>43</v>
      </c>
      <c r="F200" s="13">
        <v>770.0</v>
      </c>
      <c r="G200" s="13">
        <v>192.0</v>
      </c>
      <c r="H200" s="15">
        <v>4501.0</v>
      </c>
      <c r="I200" s="15" t="s">
        <v>38</v>
      </c>
      <c r="J200" s="15" t="s">
        <v>384</v>
      </c>
      <c r="K200" s="15" t="s">
        <v>2749</v>
      </c>
      <c r="L200" s="15" t="s">
        <v>2751</v>
      </c>
    </row>
    <row r="201" ht="56.25" customHeight="1">
      <c r="A201" s="64" t="s">
        <v>4102</v>
      </c>
      <c r="B201" s="48" t="str">
        <f>image("https://storage.googleapis.com/acdb/accessories/AccessoryGlassStar0.png")</f>
        <v/>
      </c>
      <c r="C201" s="15"/>
      <c r="D201" s="15" t="s">
        <v>28</v>
      </c>
      <c r="E201" s="15" t="s">
        <v>43</v>
      </c>
      <c r="F201" s="13">
        <v>880.0</v>
      </c>
      <c r="G201" s="13">
        <v>220.0</v>
      </c>
      <c r="H201" s="15">
        <v>4240.0</v>
      </c>
      <c r="I201" s="15" t="s">
        <v>38</v>
      </c>
      <c r="J201" s="15" t="s">
        <v>384</v>
      </c>
      <c r="K201" s="15" t="s">
        <v>2749</v>
      </c>
      <c r="L201" s="15" t="s">
        <v>2764</v>
      </c>
    </row>
    <row r="202" ht="56.25" customHeight="1">
      <c r="A202" s="64" t="s">
        <v>4102</v>
      </c>
      <c r="B202" s="48" t="str">
        <f>image("https://storage.googleapis.com/acdb/accessories/AccessoryGlassStar1.png")</f>
        <v/>
      </c>
      <c r="C202" s="15"/>
      <c r="D202" s="15" t="s">
        <v>28</v>
      </c>
      <c r="E202" s="15" t="s">
        <v>43</v>
      </c>
      <c r="F202" s="13">
        <v>880.0</v>
      </c>
      <c r="G202" s="13">
        <v>220.0</v>
      </c>
      <c r="H202" s="15">
        <v>4240.0</v>
      </c>
      <c r="I202" s="15" t="s">
        <v>38</v>
      </c>
      <c r="J202" s="15" t="s">
        <v>384</v>
      </c>
      <c r="K202" s="15" t="s">
        <v>2749</v>
      </c>
      <c r="L202" s="15" t="s">
        <v>2764</v>
      </c>
    </row>
    <row r="203" ht="56.25" customHeight="1">
      <c r="A203" s="64" t="s">
        <v>4102</v>
      </c>
      <c r="B203" s="48" t="str">
        <f>image("https://storage.googleapis.com/acdb/accessories/AccessoryGlassStar2.png")</f>
        <v/>
      </c>
      <c r="C203" s="15"/>
      <c r="D203" s="15" t="s">
        <v>28</v>
      </c>
      <c r="E203" s="15" t="s">
        <v>43</v>
      </c>
      <c r="F203" s="13">
        <v>880.0</v>
      </c>
      <c r="G203" s="13">
        <v>220.0</v>
      </c>
      <c r="H203" s="15">
        <v>4240.0</v>
      </c>
      <c r="I203" s="15" t="s">
        <v>38</v>
      </c>
      <c r="J203" s="15" t="s">
        <v>384</v>
      </c>
      <c r="K203" s="15" t="s">
        <v>2749</v>
      </c>
      <c r="L203" s="15" t="s">
        <v>2764</v>
      </c>
    </row>
    <row r="204" ht="56.25" customHeight="1">
      <c r="A204" s="64" t="s">
        <v>4102</v>
      </c>
      <c r="B204" s="48" t="str">
        <f>image("https://storage.googleapis.com/acdb/accessories/AccessoryGlassStar3.png")</f>
        <v/>
      </c>
      <c r="C204" s="15"/>
      <c r="D204" s="15" t="s">
        <v>28</v>
      </c>
      <c r="E204" s="15" t="s">
        <v>43</v>
      </c>
      <c r="F204" s="13">
        <v>880.0</v>
      </c>
      <c r="G204" s="13">
        <v>220.0</v>
      </c>
      <c r="H204" s="15">
        <v>4240.0</v>
      </c>
      <c r="I204" s="15" t="s">
        <v>38</v>
      </c>
      <c r="J204" s="15" t="s">
        <v>384</v>
      </c>
      <c r="K204" s="15" t="s">
        <v>2749</v>
      </c>
      <c r="L204" s="15" t="s">
        <v>2764</v>
      </c>
    </row>
    <row r="205" ht="56.25" customHeight="1">
      <c r="A205" s="64" t="s">
        <v>4102</v>
      </c>
      <c r="B205" s="48" t="str">
        <f>image("https://storage.googleapis.com/acdb/accessories/AccessoryGlassStar4.png")</f>
        <v/>
      </c>
      <c r="C205" s="15"/>
      <c r="D205" s="15" t="s">
        <v>28</v>
      </c>
      <c r="E205" s="15" t="s">
        <v>43</v>
      </c>
      <c r="F205" s="13">
        <v>880.0</v>
      </c>
      <c r="G205" s="13">
        <v>220.0</v>
      </c>
      <c r="H205" s="15">
        <v>4240.0</v>
      </c>
      <c r="I205" s="15" t="s">
        <v>38</v>
      </c>
      <c r="J205" s="15" t="s">
        <v>384</v>
      </c>
      <c r="K205" s="15" t="s">
        <v>2749</v>
      </c>
      <c r="L205" s="15" t="s">
        <v>2764</v>
      </c>
    </row>
    <row r="206" ht="56.25" customHeight="1">
      <c r="A206" s="64" t="s">
        <v>4107</v>
      </c>
      <c r="B206" s="48" t="str">
        <f>image("https://storage.googleapis.com/acdb/accessories/AccessoryGlassSteampunk0.png")</f>
        <v/>
      </c>
      <c r="C206" s="15"/>
      <c r="D206" s="15" t="s">
        <v>28</v>
      </c>
      <c r="E206" s="15" t="s">
        <v>43</v>
      </c>
      <c r="F206" s="13">
        <v>1300.0</v>
      </c>
      <c r="G206" s="13">
        <v>325.0</v>
      </c>
      <c r="H206" s="15">
        <v>4685.0</v>
      </c>
      <c r="I206" s="15" t="s">
        <v>38</v>
      </c>
      <c r="J206" s="15" t="s">
        <v>852</v>
      </c>
      <c r="K206" s="15" t="s">
        <v>2749</v>
      </c>
      <c r="L206" s="15" t="s">
        <v>2751</v>
      </c>
    </row>
    <row r="207" ht="56.25" customHeight="1">
      <c r="A207" s="64" t="s">
        <v>4107</v>
      </c>
      <c r="B207" s="48" t="str">
        <f>image("https://storage.googleapis.com/acdb/accessories/AccessoryGlassSteampunk1.png")</f>
        <v/>
      </c>
      <c r="C207" s="15"/>
      <c r="D207" s="15" t="s">
        <v>28</v>
      </c>
      <c r="E207" s="15" t="s">
        <v>43</v>
      </c>
      <c r="F207" s="13">
        <v>1300.0</v>
      </c>
      <c r="G207" s="13">
        <v>325.0</v>
      </c>
      <c r="H207" s="15">
        <v>4685.0</v>
      </c>
      <c r="I207" s="15" t="s">
        <v>38</v>
      </c>
      <c r="J207" s="15" t="s">
        <v>852</v>
      </c>
      <c r="K207" s="15" t="s">
        <v>2749</v>
      </c>
      <c r="L207" s="15" t="s">
        <v>2751</v>
      </c>
    </row>
    <row r="208" ht="56.25" customHeight="1">
      <c r="A208" s="64" t="s">
        <v>4109</v>
      </c>
      <c r="B208" s="48" t="str">
        <f>image("https://storage.googleapis.com/acdb/accessories/AccessoryMouthRice.png")</f>
        <v/>
      </c>
      <c r="C208" s="15"/>
      <c r="D208" s="15" t="s">
        <v>28</v>
      </c>
      <c r="E208" s="15" t="s">
        <v>43</v>
      </c>
      <c r="F208" s="13">
        <v>490.0</v>
      </c>
      <c r="G208" s="13">
        <v>122.0</v>
      </c>
      <c r="H208" s="15">
        <v>4652.0</v>
      </c>
      <c r="I208" s="15" t="s">
        <v>38</v>
      </c>
      <c r="J208" s="15" t="s">
        <v>2744</v>
      </c>
      <c r="K208" s="15" t="s">
        <v>2749</v>
      </c>
      <c r="L208" s="15" t="s">
        <v>2764</v>
      </c>
    </row>
    <row r="209" ht="56.25" customHeight="1">
      <c r="A209" s="64" t="s">
        <v>4111</v>
      </c>
      <c r="B209" s="48" t="str">
        <f>image("https://storage.googleapis.com/acdb/accessories/AccessoryGlassHeromaskBlack.png")</f>
        <v/>
      </c>
      <c r="C209" s="15"/>
      <c r="D209" s="15" t="s">
        <v>28</v>
      </c>
      <c r="E209" s="15" t="s">
        <v>43</v>
      </c>
      <c r="F209" s="13">
        <v>1040.0</v>
      </c>
      <c r="G209" s="13">
        <v>260.0</v>
      </c>
      <c r="H209" s="15">
        <v>4684.0</v>
      </c>
      <c r="I209" s="15" t="s">
        <v>38</v>
      </c>
      <c r="J209" s="15" t="s">
        <v>2756</v>
      </c>
      <c r="K209" s="15" t="s">
        <v>2749</v>
      </c>
      <c r="L209" s="15" t="s">
        <v>2751</v>
      </c>
    </row>
    <row r="210" ht="56.25" customHeight="1">
      <c r="A210" s="64" t="s">
        <v>4113</v>
      </c>
      <c r="B210" s="48" t="str">
        <f>image("https://storage.googleapis.com/acdb/accessories/AccessoryGlassMini0.png")</f>
        <v/>
      </c>
      <c r="C210" s="15"/>
      <c r="D210" s="15" t="s">
        <v>28</v>
      </c>
      <c r="E210" s="15" t="s">
        <v>43</v>
      </c>
      <c r="F210" s="13">
        <v>1100.0</v>
      </c>
      <c r="G210" s="13">
        <v>275.0</v>
      </c>
      <c r="H210" s="15">
        <v>4461.0</v>
      </c>
      <c r="I210" s="15" t="s">
        <v>38</v>
      </c>
      <c r="J210" s="15" t="s">
        <v>2756</v>
      </c>
      <c r="K210" s="15" t="s">
        <v>2749</v>
      </c>
      <c r="L210" s="15" t="s">
        <v>2764</v>
      </c>
    </row>
    <row r="211" ht="56.25" customHeight="1">
      <c r="A211" s="64" t="s">
        <v>4113</v>
      </c>
      <c r="B211" s="48" t="str">
        <f>image("https://storage.googleapis.com/acdb/accessories/AccessoryGlassMini1.png")</f>
        <v/>
      </c>
      <c r="C211" s="15"/>
      <c r="D211" s="15" t="s">
        <v>28</v>
      </c>
      <c r="E211" s="15" t="s">
        <v>43</v>
      </c>
      <c r="F211" s="13">
        <v>1100.0</v>
      </c>
      <c r="G211" s="13">
        <v>275.0</v>
      </c>
      <c r="H211" s="15">
        <v>4461.0</v>
      </c>
      <c r="I211" s="15" t="s">
        <v>38</v>
      </c>
      <c r="J211" s="15" t="s">
        <v>2756</v>
      </c>
      <c r="K211" s="15" t="s">
        <v>2749</v>
      </c>
      <c r="L211" s="15" t="s">
        <v>2764</v>
      </c>
    </row>
    <row r="212" ht="56.25" customHeight="1">
      <c r="A212" s="64" t="s">
        <v>4113</v>
      </c>
      <c r="B212" s="48" t="str">
        <f>image("https://storage.googleapis.com/acdb/accessories/AccessoryGlassMini2.png")</f>
        <v/>
      </c>
      <c r="C212" s="15"/>
      <c r="D212" s="15" t="s">
        <v>28</v>
      </c>
      <c r="E212" s="15" t="s">
        <v>43</v>
      </c>
      <c r="F212" s="13">
        <v>1100.0</v>
      </c>
      <c r="G212" s="13">
        <v>275.0</v>
      </c>
      <c r="H212" s="15">
        <v>4461.0</v>
      </c>
      <c r="I212" s="15" t="s">
        <v>38</v>
      </c>
      <c r="J212" s="15" t="s">
        <v>2756</v>
      </c>
      <c r="K212" s="15" t="s">
        <v>2749</v>
      </c>
      <c r="L212" s="15" t="s">
        <v>2764</v>
      </c>
    </row>
    <row r="213" ht="56.25" customHeight="1">
      <c r="A213" s="64" t="s">
        <v>4115</v>
      </c>
      <c r="B213" s="48" t="str">
        <f>image("https://storage.googleapis.com/acdb/accessories/AccessoryGlassTortoiseshell0.png")</f>
        <v/>
      </c>
      <c r="C213" s="15"/>
      <c r="D213" s="15" t="s">
        <v>28</v>
      </c>
      <c r="E213" s="15" t="s">
        <v>43</v>
      </c>
      <c r="F213" s="13">
        <v>1040.0</v>
      </c>
      <c r="G213" s="13">
        <v>260.0</v>
      </c>
      <c r="H213" s="15">
        <v>4460.0</v>
      </c>
      <c r="I213" s="15" t="s">
        <v>38</v>
      </c>
      <c r="J213" s="15" t="s">
        <v>2744</v>
      </c>
      <c r="K213" s="15" t="s">
        <v>2749</v>
      </c>
      <c r="L213" s="15" t="s">
        <v>2764</v>
      </c>
    </row>
    <row r="214" ht="56.25" customHeight="1">
      <c r="A214" s="64" t="s">
        <v>4115</v>
      </c>
      <c r="B214" s="48" t="str">
        <f>image("https://storage.googleapis.com/acdb/accessories/AccessoryGlassTortoiseshell1.png")</f>
        <v/>
      </c>
      <c r="C214" s="15"/>
      <c r="D214" s="15" t="s">
        <v>28</v>
      </c>
      <c r="E214" s="15" t="s">
        <v>43</v>
      </c>
      <c r="F214" s="13">
        <v>1040.0</v>
      </c>
      <c r="G214" s="13">
        <v>260.0</v>
      </c>
      <c r="H214" s="15">
        <v>4460.0</v>
      </c>
      <c r="I214" s="15" t="s">
        <v>38</v>
      </c>
      <c r="J214" s="15" t="s">
        <v>2744</v>
      </c>
      <c r="K214" s="15" t="s">
        <v>2749</v>
      </c>
      <c r="L214" s="15" t="s">
        <v>2764</v>
      </c>
    </row>
    <row r="215" ht="56.25" customHeight="1">
      <c r="A215" s="64" t="s">
        <v>4115</v>
      </c>
      <c r="B215" s="48" t="str">
        <f>image("https://storage.googleapis.com/acdb/accessories/AccessoryGlassTortoiseshell2.png")</f>
        <v/>
      </c>
      <c r="C215" s="15"/>
      <c r="D215" s="15" t="s">
        <v>28</v>
      </c>
      <c r="E215" s="15" t="s">
        <v>43</v>
      </c>
      <c r="F215" s="13">
        <v>1040.0</v>
      </c>
      <c r="G215" s="13">
        <v>260.0</v>
      </c>
      <c r="H215" s="15">
        <v>4460.0</v>
      </c>
      <c r="I215" s="15" t="s">
        <v>38</v>
      </c>
      <c r="J215" s="15" t="s">
        <v>2744</v>
      </c>
      <c r="K215" s="15" t="s">
        <v>2749</v>
      </c>
      <c r="L215" s="15" t="s">
        <v>2764</v>
      </c>
    </row>
    <row r="216" ht="56.25" customHeight="1">
      <c r="A216" s="64" t="s">
        <v>4117</v>
      </c>
      <c r="B216" s="48" t="str">
        <f>image("https://storage.googleapis.com/acdb/accessories/AccessoryGlassTriangle0.png")</f>
        <v/>
      </c>
      <c r="C216" s="15"/>
      <c r="D216" s="15" t="s">
        <v>28</v>
      </c>
      <c r="E216" s="15" t="s">
        <v>43</v>
      </c>
      <c r="F216" s="13">
        <v>880.0</v>
      </c>
      <c r="G216" s="13">
        <v>220.0</v>
      </c>
      <c r="H216" s="15">
        <v>4242.0</v>
      </c>
      <c r="I216" s="15" t="s">
        <v>38</v>
      </c>
      <c r="J216" s="15" t="s">
        <v>384</v>
      </c>
      <c r="K216" s="15" t="s">
        <v>2749</v>
      </c>
      <c r="L216" s="15" t="s">
        <v>2764</v>
      </c>
    </row>
    <row r="217" ht="56.25" customHeight="1">
      <c r="A217" s="64" t="s">
        <v>4117</v>
      </c>
      <c r="B217" s="48" t="str">
        <f>image("https://storage.googleapis.com/acdb/accessories/AccessoryGlassTriangle1.png")</f>
        <v/>
      </c>
      <c r="C217" s="15"/>
      <c r="D217" s="15" t="s">
        <v>28</v>
      </c>
      <c r="E217" s="15" t="s">
        <v>43</v>
      </c>
      <c r="F217" s="13">
        <v>880.0</v>
      </c>
      <c r="G217" s="13">
        <v>220.0</v>
      </c>
      <c r="H217" s="15">
        <v>4242.0</v>
      </c>
      <c r="I217" s="15" t="s">
        <v>38</v>
      </c>
      <c r="J217" s="15" t="s">
        <v>384</v>
      </c>
      <c r="K217" s="15" t="s">
        <v>2749</v>
      </c>
      <c r="L217" s="15" t="s">
        <v>2764</v>
      </c>
    </row>
    <row r="218" ht="56.25" customHeight="1">
      <c r="A218" s="64" t="s">
        <v>4117</v>
      </c>
      <c r="B218" s="48" t="str">
        <f>image("https://storage.googleapis.com/acdb/accessories/AccessoryGlassTriangle2.png")</f>
        <v/>
      </c>
      <c r="C218" s="15"/>
      <c r="D218" s="15" t="s">
        <v>28</v>
      </c>
      <c r="E218" s="15" t="s">
        <v>43</v>
      </c>
      <c r="F218" s="13">
        <v>880.0</v>
      </c>
      <c r="G218" s="13">
        <v>220.0</v>
      </c>
      <c r="H218" s="15">
        <v>4242.0</v>
      </c>
      <c r="I218" s="15" t="s">
        <v>38</v>
      </c>
      <c r="J218" s="15" t="s">
        <v>384</v>
      </c>
      <c r="K218" s="15" t="s">
        <v>2749</v>
      </c>
      <c r="L218" s="15" t="s">
        <v>2764</v>
      </c>
    </row>
    <row r="219" ht="56.25" customHeight="1">
      <c r="A219" s="64" t="s">
        <v>4117</v>
      </c>
      <c r="B219" s="48" t="str">
        <f>image("https://storage.googleapis.com/acdb/accessories/AccessoryGlassTriangle3.png")</f>
        <v/>
      </c>
      <c r="C219" s="15"/>
      <c r="D219" s="15" t="s">
        <v>28</v>
      </c>
      <c r="E219" s="15" t="s">
        <v>43</v>
      </c>
      <c r="F219" s="13">
        <v>880.0</v>
      </c>
      <c r="G219" s="13">
        <v>220.0</v>
      </c>
      <c r="H219" s="15">
        <v>4242.0</v>
      </c>
      <c r="I219" s="15" t="s">
        <v>38</v>
      </c>
      <c r="J219" s="15" t="s">
        <v>384</v>
      </c>
      <c r="K219" s="15" t="s">
        <v>2749</v>
      </c>
      <c r="L219" s="15" t="s">
        <v>2764</v>
      </c>
    </row>
    <row r="220" ht="56.25" customHeight="1">
      <c r="A220" s="64" t="s">
        <v>4117</v>
      </c>
      <c r="B220" s="48" t="str">
        <f>image("https://storage.googleapis.com/acdb/accessories/AccessoryGlassTriangle4.png")</f>
        <v/>
      </c>
      <c r="C220" s="15"/>
      <c r="D220" s="15" t="s">
        <v>28</v>
      </c>
      <c r="E220" s="15" t="s">
        <v>43</v>
      </c>
      <c r="F220" s="13">
        <v>880.0</v>
      </c>
      <c r="G220" s="13">
        <v>220.0</v>
      </c>
      <c r="H220" s="15">
        <v>4242.0</v>
      </c>
      <c r="I220" s="15" t="s">
        <v>38</v>
      </c>
      <c r="J220" s="15" t="s">
        <v>384</v>
      </c>
      <c r="K220" s="15" t="s">
        <v>2749</v>
      </c>
      <c r="L220" s="15" t="s">
        <v>2764</v>
      </c>
    </row>
    <row r="221" ht="56.25" customHeight="1">
      <c r="A221" s="64" t="s">
        <v>4117</v>
      </c>
      <c r="B221" s="48" t="str">
        <f>image("https://storage.googleapis.com/acdb/accessories/AccessoryGlassTriangle5.png")</f>
        <v/>
      </c>
      <c r="C221" s="15"/>
      <c r="D221" s="15" t="s">
        <v>28</v>
      </c>
      <c r="E221" s="15" t="s">
        <v>43</v>
      </c>
      <c r="F221" s="13">
        <v>880.0</v>
      </c>
      <c r="G221" s="13">
        <v>220.0</v>
      </c>
      <c r="H221" s="15">
        <v>4242.0</v>
      </c>
      <c r="I221" s="15" t="s">
        <v>38</v>
      </c>
      <c r="J221" s="15" t="s">
        <v>384</v>
      </c>
      <c r="K221" s="15" t="s">
        <v>2749</v>
      </c>
      <c r="L221" s="15" t="s">
        <v>2764</v>
      </c>
    </row>
    <row r="222" ht="56.25" customHeight="1">
      <c r="A222" s="64" t="s">
        <v>4117</v>
      </c>
      <c r="B222" s="48" t="str">
        <f>image("https://storage.googleapis.com/acdb/accessories/AccessoryGlassTriangle6.png")</f>
        <v/>
      </c>
      <c r="C222" s="15"/>
      <c r="D222" s="15" t="s">
        <v>28</v>
      </c>
      <c r="E222" s="15" t="s">
        <v>43</v>
      </c>
      <c r="F222" s="13">
        <v>880.0</v>
      </c>
      <c r="G222" s="13">
        <v>220.0</v>
      </c>
      <c r="H222" s="15">
        <v>4242.0</v>
      </c>
      <c r="I222" s="15" t="s">
        <v>38</v>
      </c>
      <c r="J222" s="15" t="s">
        <v>384</v>
      </c>
      <c r="K222" s="15" t="s">
        <v>2749</v>
      </c>
      <c r="L222" s="15" t="s">
        <v>2764</v>
      </c>
    </row>
    <row r="223" ht="56.25" customHeight="1">
      <c r="A223" s="64" t="s">
        <v>4120</v>
      </c>
      <c r="B223" s="48" t="str">
        <f>image("https://storage.googleapis.com/acdb/accessories/AccessoryGlassWood0.png")</f>
        <v/>
      </c>
      <c r="C223" s="15"/>
      <c r="D223" s="15" t="s">
        <v>28</v>
      </c>
      <c r="E223" s="15" t="s">
        <v>43</v>
      </c>
      <c r="F223" s="13">
        <v>1560.0</v>
      </c>
      <c r="G223" s="13">
        <v>390.0</v>
      </c>
      <c r="H223" s="15">
        <v>4669.0</v>
      </c>
      <c r="I223" s="15" t="s">
        <v>38</v>
      </c>
      <c r="J223" s="15" t="s">
        <v>2744</v>
      </c>
      <c r="K223" s="15" t="s">
        <v>2749</v>
      </c>
      <c r="L223" s="15" t="s">
        <v>2764</v>
      </c>
    </row>
    <row r="224" ht="56.25" customHeight="1">
      <c r="A224" s="64" t="s">
        <v>4120</v>
      </c>
      <c r="B224" s="48" t="str">
        <f>image("https://storage.googleapis.com/acdb/accessories/AccessoryGlassWood1.png")</f>
        <v/>
      </c>
      <c r="C224" s="15"/>
      <c r="D224" s="15" t="s">
        <v>28</v>
      </c>
      <c r="E224" s="15" t="s">
        <v>43</v>
      </c>
      <c r="F224" s="13">
        <v>1560.0</v>
      </c>
      <c r="G224" s="13">
        <v>390.0</v>
      </c>
      <c r="H224" s="15">
        <v>4669.0</v>
      </c>
      <c r="I224" s="15" t="s">
        <v>38</v>
      </c>
      <c r="J224" s="15" t="s">
        <v>2744</v>
      </c>
      <c r="K224" s="15" t="s">
        <v>2749</v>
      </c>
      <c r="L224" s="15" t="s">
        <v>2764</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14"/>
    <col customWidth="1" min="2" max="2" width="10.86"/>
    <col customWidth="1" min="3" max="3" width="9.0"/>
    <col customWidth="1" min="4" max="4" width="4.29"/>
    <col customWidth="1" min="5" max="5" width="5.14"/>
    <col customWidth="1" min="6" max="6" width="5.71"/>
    <col customWidth="1" min="7" max="7" width="10.57"/>
    <col customWidth="1" min="8" max="9" width="9.43"/>
    <col customWidth="1" min="10" max="10" width="5.14"/>
    <col customWidth="1" min="11" max="11" width="10.57"/>
    <col customWidth="1" min="12" max="12" width="15.29"/>
    <col customWidth="1" min="13" max="13" width="22.86"/>
    <col customWidth="1" min="14" max="14" width="9.14"/>
  </cols>
  <sheetData>
    <row r="1" ht="21.0" customHeight="1">
      <c r="A1" s="47" t="s">
        <v>0</v>
      </c>
      <c r="B1" s="3" t="s">
        <v>1</v>
      </c>
      <c r="C1" s="54" t="s">
        <v>3</v>
      </c>
      <c r="D1" s="55" t="s">
        <v>4</v>
      </c>
      <c r="E1" s="1" t="s">
        <v>6</v>
      </c>
      <c r="F1" s="1" t="s">
        <v>7</v>
      </c>
      <c r="G1" s="7" t="s">
        <v>8</v>
      </c>
      <c r="H1" s="7" t="s">
        <v>1602</v>
      </c>
      <c r="I1" s="7" t="s">
        <v>1603</v>
      </c>
      <c r="J1" s="7" t="s">
        <v>12</v>
      </c>
      <c r="K1" s="7" t="s">
        <v>18</v>
      </c>
      <c r="L1" s="7" t="s">
        <v>19</v>
      </c>
      <c r="M1" s="7" t="s">
        <v>20</v>
      </c>
      <c r="N1" s="7" t="s">
        <v>2739</v>
      </c>
    </row>
    <row r="2" ht="56.25" customHeight="1">
      <c r="A2" s="13" t="s">
        <v>4017</v>
      </c>
      <c r="B2" s="15" t="str">
        <f>IMAGE("https://imgur.com/XRcnSZP.png")</f>
        <v/>
      </c>
      <c r="C2" s="22" t="str">
        <f>HYPERLINK("https://imgur.com/a/zEwT171","Yes")</f>
        <v>Yes</v>
      </c>
      <c r="D2" s="25" t="s">
        <v>28</v>
      </c>
      <c r="E2" s="13">
        <v>700.0</v>
      </c>
      <c r="F2" s="13">
        <v>175.0</v>
      </c>
      <c r="G2" s="19">
        <v>5197.0</v>
      </c>
      <c r="H2" s="19" t="s">
        <v>107</v>
      </c>
      <c r="I2" s="19" t="s">
        <v>208</v>
      </c>
      <c r="J2" s="19" t="s">
        <v>38</v>
      </c>
      <c r="K2" s="19" t="s">
        <v>43</v>
      </c>
      <c r="L2" s="19" t="s">
        <v>4018</v>
      </c>
      <c r="M2" s="19"/>
      <c r="N2" s="19" t="s">
        <v>2793</v>
      </c>
    </row>
    <row r="3" ht="56.25" customHeight="1">
      <c r="A3" s="24" t="s">
        <v>4019</v>
      </c>
      <c r="B3" s="15" t="str">
        <f>IMAGE("https://imgur.com/pLHvdiP.png") </f>
        <v/>
      </c>
      <c r="C3" s="22" t="str">
        <f>HYPERLINK("https://imgur.com/a/wWlfvg6","Yes")</f>
        <v>Yes</v>
      </c>
      <c r="D3" s="25" t="s">
        <v>28</v>
      </c>
      <c r="E3" s="13">
        <v>720.0</v>
      </c>
      <c r="F3" s="13">
        <v>180.0</v>
      </c>
      <c r="G3" s="19">
        <v>4742.0</v>
      </c>
      <c r="H3" s="19" t="s">
        <v>1608</v>
      </c>
      <c r="I3" s="19" t="s">
        <v>1608</v>
      </c>
      <c r="J3" s="19" t="s">
        <v>38</v>
      </c>
      <c r="K3" s="19" t="s">
        <v>43</v>
      </c>
      <c r="L3" s="19" t="s">
        <v>2749</v>
      </c>
      <c r="M3" s="19" t="s">
        <v>2764</v>
      </c>
      <c r="N3" s="19" t="s">
        <v>2744</v>
      </c>
    </row>
    <row r="4" ht="56.25" customHeight="1">
      <c r="A4" s="13" t="s">
        <v>4020</v>
      </c>
      <c r="B4" s="15" t="str">
        <f>IMAGE("https://imgur.com/JdMtr5A.png") </f>
        <v/>
      </c>
      <c r="C4" s="22" t="str">
        <f>HYPERLINK("https://imgur.com/a/Tu0QMSj","Yes")</f>
        <v>Yes</v>
      </c>
      <c r="D4" s="25" t="s">
        <v>28</v>
      </c>
      <c r="E4" s="13">
        <v>720.0</v>
      </c>
      <c r="F4" s="13">
        <v>180.0</v>
      </c>
      <c r="G4" s="19">
        <v>5806.0</v>
      </c>
      <c r="H4" s="19" t="s">
        <v>112</v>
      </c>
      <c r="I4" s="19" t="s">
        <v>1614</v>
      </c>
      <c r="J4" s="19" t="s">
        <v>38</v>
      </c>
      <c r="K4" s="19" t="s">
        <v>43</v>
      </c>
      <c r="L4" s="19" t="s">
        <v>2749</v>
      </c>
      <c r="M4" s="19" t="s">
        <v>2751</v>
      </c>
      <c r="N4" s="19" t="s">
        <v>2863</v>
      </c>
    </row>
    <row r="5" ht="56.25" customHeight="1">
      <c r="A5" s="13" t="s">
        <v>4021</v>
      </c>
      <c r="B5" s="15" t="str">
        <f>IMAGE("https://imgur.com/qJjyJye.png") </f>
        <v/>
      </c>
      <c r="C5" s="22" t="str">
        <f>HYPERLINK("https://imgur.com/a/6GOiLud","Yes")</f>
        <v>Yes</v>
      </c>
      <c r="D5" s="25" t="s">
        <v>28</v>
      </c>
      <c r="E5" s="13">
        <v>600.0</v>
      </c>
      <c r="F5" s="13">
        <v>150.0</v>
      </c>
      <c r="G5" s="19">
        <v>4718.0</v>
      </c>
      <c r="H5" s="19" t="s">
        <v>107</v>
      </c>
      <c r="I5" s="19" t="s">
        <v>99</v>
      </c>
      <c r="J5" s="19" t="s">
        <v>38</v>
      </c>
      <c r="K5" s="19" t="s">
        <v>43</v>
      </c>
      <c r="L5" s="19" t="s">
        <v>4018</v>
      </c>
      <c r="M5" s="19"/>
      <c r="N5" s="19" t="s">
        <v>384</v>
      </c>
    </row>
    <row r="6" ht="56.25" customHeight="1">
      <c r="A6" s="13" t="s">
        <v>4024</v>
      </c>
      <c r="B6" s="15" t="str">
        <f>IMAGE("https://imgur.com/UhgyaQM.png") </f>
        <v/>
      </c>
      <c r="C6" s="22" t="str">
        <f>HYPERLINK("https://imgur.com/a/S22C9Sc","Yes")</f>
        <v>Yes</v>
      </c>
      <c r="D6" s="25" t="s">
        <v>28</v>
      </c>
      <c r="E6" s="13">
        <v>480.0</v>
      </c>
      <c r="F6" s="13">
        <v>120.0</v>
      </c>
      <c r="G6" s="19">
        <v>5171.0</v>
      </c>
      <c r="H6" s="19" t="s">
        <v>82</v>
      </c>
      <c r="I6" s="19" t="s">
        <v>82</v>
      </c>
      <c r="J6" s="19" t="s">
        <v>38</v>
      </c>
      <c r="K6" s="19" t="s">
        <v>43</v>
      </c>
      <c r="L6" s="19" t="s">
        <v>2749</v>
      </c>
      <c r="M6" s="19" t="s">
        <v>2764</v>
      </c>
      <c r="N6" s="19" t="s">
        <v>2863</v>
      </c>
    </row>
    <row r="7" ht="56.25" customHeight="1">
      <c r="A7" s="13" t="s">
        <v>4025</v>
      </c>
      <c r="B7" s="15" t="str">
        <f>IMAGE("https://imgur.com/2DIBKMW.png") </f>
        <v/>
      </c>
      <c r="C7" s="22" t="str">
        <f>HYPERLINK("https://imgur.com/a/81BKjmF","Yes")</f>
        <v>Yes</v>
      </c>
      <c r="D7" s="25" t="s">
        <v>28</v>
      </c>
      <c r="E7" s="13">
        <v>840.0</v>
      </c>
      <c r="F7" s="13">
        <v>210.0</v>
      </c>
      <c r="G7" s="19">
        <v>5180.0</v>
      </c>
      <c r="H7" s="19" t="s">
        <v>464</v>
      </c>
      <c r="I7" s="19" t="s">
        <v>258</v>
      </c>
      <c r="J7" s="19" t="s">
        <v>38</v>
      </c>
      <c r="K7" s="19" t="s">
        <v>43</v>
      </c>
      <c r="L7" s="19" t="s">
        <v>4018</v>
      </c>
      <c r="M7" s="19"/>
      <c r="N7" s="19" t="s">
        <v>384</v>
      </c>
    </row>
    <row r="8" ht="56.25" customHeight="1">
      <c r="A8" s="13" t="s">
        <v>4026</v>
      </c>
      <c r="B8" s="15" t="str">
        <f>IMAGE("https://imgur.com/SFUxUbr.png") </f>
        <v/>
      </c>
      <c r="C8" s="22" t="str">
        <f>HYPERLINK("https://imgur.com/a/ecPwVMo","Yes")</f>
        <v>Yes</v>
      </c>
      <c r="D8" s="25" t="s">
        <v>28</v>
      </c>
      <c r="E8" s="13">
        <v>600.0</v>
      </c>
      <c r="F8" s="13">
        <v>150.0</v>
      </c>
      <c r="G8" s="19">
        <v>5170.0</v>
      </c>
      <c r="H8" s="19" t="s">
        <v>99</v>
      </c>
      <c r="I8" s="19" t="s">
        <v>112</v>
      </c>
      <c r="J8" s="19" t="s">
        <v>38</v>
      </c>
      <c r="K8" s="19" t="s">
        <v>43</v>
      </c>
      <c r="L8" s="19" t="s">
        <v>4018</v>
      </c>
      <c r="M8" s="19"/>
      <c r="N8" s="19" t="s">
        <v>2793</v>
      </c>
    </row>
    <row r="9" ht="56.25" customHeight="1">
      <c r="A9" s="13" t="s">
        <v>4027</v>
      </c>
      <c r="B9" s="15" t="str">
        <f>IMAGE("https://imgur.com/jfcKMh8.png") </f>
        <v/>
      </c>
      <c r="C9" s="22" t="str">
        <f>HYPERLINK("https://imgur.com/a/6jcpC38","Yes")</f>
        <v>Yes</v>
      </c>
      <c r="D9" s="25" t="s">
        <v>28</v>
      </c>
      <c r="E9" s="13">
        <v>720.0</v>
      </c>
      <c r="F9" s="13">
        <v>180.0</v>
      </c>
      <c r="G9" s="19">
        <v>6044.0</v>
      </c>
      <c r="H9" s="19" t="s">
        <v>82</v>
      </c>
      <c r="I9" s="19" t="s">
        <v>208</v>
      </c>
      <c r="J9" s="19" t="s">
        <v>38</v>
      </c>
      <c r="K9" s="19" t="s">
        <v>43</v>
      </c>
      <c r="L9" s="19" t="s">
        <v>2749</v>
      </c>
      <c r="M9" s="19" t="s">
        <v>2751</v>
      </c>
      <c r="N9" s="19" t="s">
        <v>2863</v>
      </c>
    </row>
    <row r="10" ht="56.25" customHeight="1">
      <c r="A10" s="13" t="s">
        <v>4028</v>
      </c>
      <c r="B10" s="15" t="str">
        <f>IMAGE("https://imgur.com/0djoNaW.png") </f>
        <v/>
      </c>
      <c r="C10" s="22" t="str">
        <f>HYPERLINK("https://imgur.com/a/6KFTIQb","Yes")</f>
        <v>Yes</v>
      </c>
      <c r="D10" s="25" t="s">
        <v>28</v>
      </c>
      <c r="E10" s="13">
        <v>600.0</v>
      </c>
      <c r="F10" s="13">
        <v>150.0</v>
      </c>
      <c r="G10" s="19">
        <v>5202.0</v>
      </c>
      <c r="H10" s="19" t="s">
        <v>1608</v>
      </c>
      <c r="I10" s="19" t="s">
        <v>1608</v>
      </c>
      <c r="J10" s="19" t="s">
        <v>38</v>
      </c>
      <c r="K10" s="19" t="s">
        <v>43</v>
      </c>
      <c r="L10" s="19" t="s">
        <v>2749</v>
      </c>
      <c r="M10" s="19" t="s">
        <v>2764</v>
      </c>
      <c r="N10" s="19" t="s">
        <v>2863</v>
      </c>
    </row>
    <row r="11" ht="56.25" customHeight="1">
      <c r="A11" s="13" t="s">
        <v>4030</v>
      </c>
      <c r="B11" s="15" t="str">
        <f>IMAGE("https://imgur.com/SRMVBkb.png") </f>
        <v/>
      </c>
      <c r="C11" s="22" t="str">
        <f>HYPERLINK("https://imgur.com/a/4sVtA2x","Yes")</f>
        <v>Yes</v>
      </c>
      <c r="D11" s="25" t="s">
        <v>28</v>
      </c>
      <c r="E11" s="13">
        <v>540.0</v>
      </c>
      <c r="F11" s="13">
        <v>135.0</v>
      </c>
      <c r="G11" s="19">
        <v>4745.0</v>
      </c>
      <c r="H11" s="19" t="s">
        <v>112</v>
      </c>
      <c r="I11" s="19" t="s">
        <v>112</v>
      </c>
      <c r="J11" s="19" t="s">
        <v>38</v>
      </c>
      <c r="K11" s="19" t="s">
        <v>43</v>
      </c>
      <c r="L11" s="19" t="s">
        <v>2749</v>
      </c>
      <c r="M11" s="19" t="s">
        <v>2764</v>
      </c>
      <c r="N11" s="19" t="s">
        <v>2744</v>
      </c>
    </row>
    <row r="12" ht="56.25" customHeight="1">
      <c r="A12" s="13" t="s">
        <v>4031</v>
      </c>
      <c r="B12" s="15" t="str">
        <f>IMAGE("https://imgur.com/P6jSXZN.png") </f>
        <v/>
      </c>
      <c r="C12" s="22" t="str">
        <f>HYPERLINK("https://imgur.com/a/xL9HR1m","Yes")</f>
        <v>Yes</v>
      </c>
      <c r="D12" s="25" t="s">
        <v>28</v>
      </c>
      <c r="E12" s="13">
        <v>720.0</v>
      </c>
      <c r="F12" s="13">
        <v>180.0</v>
      </c>
      <c r="G12" s="19">
        <v>12174.0</v>
      </c>
      <c r="H12" s="19" t="s">
        <v>99</v>
      </c>
      <c r="I12" s="19" t="s">
        <v>99</v>
      </c>
      <c r="J12" s="19" t="s">
        <v>38</v>
      </c>
      <c r="K12" s="19" t="s">
        <v>43</v>
      </c>
      <c r="L12" s="19" t="s">
        <v>2749</v>
      </c>
      <c r="M12" s="19" t="s">
        <v>2751</v>
      </c>
      <c r="N12" s="19" t="s">
        <v>384</v>
      </c>
    </row>
    <row r="13" ht="56.25" customHeight="1">
      <c r="A13" s="13" t="s">
        <v>4033</v>
      </c>
      <c r="B13" s="15" t="str">
        <f>IMAGE("https://imgur.com/6EHryyv.png") </f>
        <v/>
      </c>
      <c r="C13" s="22" t="str">
        <f>HYPERLINK("https://imgur.com/a/RNbC4S4","Yes")</f>
        <v>Yes</v>
      </c>
      <c r="D13" s="25" t="s">
        <v>28</v>
      </c>
      <c r="E13" s="13">
        <v>1000.0</v>
      </c>
      <c r="F13" s="13">
        <v>250.0</v>
      </c>
      <c r="G13" s="19">
        <v>5204.0</v>
      </c>
      <c r="H13" s="19" t="s">
        <v>118</v>
      </c>
      <c r="I13" s="19" t="s">
        <v>208</v>
      </c>
      <c r="J13" s="19" t="s">
        <v>38</v>
      </c>
      <c r="K13" s="19" t="s">
        <v>43</v>
      </c>
      <c r="L13" s="19" t="s">
        <v>2749</v>
      </c>
      <c r="M13" s="19" t="s">
        <v>2751</v>
      </c>
      <c r="N13" s="19" t="s">
        <v>384</v>
      </c>
    </row>
    <row r="14" ht="56.25" customHeight="1">
      <c r="A14" s="13" t="s">
        <v>4035</v>
      </c>
      <c r="B14" s="15" t="str">
        <f>IMAGE("https://imgur.com/Q6ng7Wi.png") </f>
        <v/>
      </c>
      <c r="C14" s="22" t="str">
        <f>HYPERLINK("https://imgur.com/a/Z1i3A83","Yes")</f>
        <v>Yes</v>
      </c>
      <c r="D14" s="25" t="s">
        <v>28</v>
      </c>
      <c r="E14" s="13">
        <v>600.0</v>
      </c>
      <c r="F14" s="13">
        <v>150.0</v>
      </c>
      <c r="G14" s="19">
        <v>9645.0</v>
      </c>
      <c r="H14" s="19" t="s">
        <v>118</v>
      </c>
      <c r="I14" s="19" t="s">
        <v>118</v>
      </c>
      <c r="J14" s="19" t="s">
        <v>38</v>
      </c>
      <c r="K14" s="19" t="s">
        <v>43</v>
      </c>
      <c r="L14" s="19" t="s">
        <v>2749</v>
      </c>
      <c r="M14" s="19" t="s">
        <v>2764</v>
      </c>
      <c r="N14" s="19" t="s">
        <v>2744</v>
      </c>
    </row>
    <row r="15" ht="56.25" customHeight="1">
      <c r="A15" s="13" t="s">
        <v>4038</v>
      </c>
      <c r="B15" s="15" t="str">
        <f>IMAGE("https://imgur.com/waurEgA.png") </f>
        <v/>
      </c>
      <c r="C15" s="22" t="str">
        <f>HYPERLINK("https://imgur.com/a/13JW7Bf","Yes")</f>
        <v>Yes</v>
      </c>
      <c r="D15" s="25" t="s">
        <v>28</v>
      </c>
      <c r="E15" s="13">
        <v>720.0</v>
      </c>
      <c r="F15" s="13">
        <v>180.0</v>
      </c>
      <c r="G15" s="19">
        <v>9581.0</v>
      </c>
      <c r="H15" s="19" t="s">
        <v>99</v>
      </c>
      <c r="I15" s="19" t="s">
        <v>99</v>
      </c>
      <c r="J15" s="19" t="s">
        <v>38</v>
      </c>
      <c r="K15" s="19" t="s">
        <v>43</v>
      </c>
      <c r="L15" s="19" t="s">
        <v>2749</v>
      </c>
      <c r="M15" s="19" t="s">
        <v>2764</v>
      </c>
      <c r="N15" s="19" t="s">
        <v>2744</v>
      </c>
    </row>
    <row r="16" ht="56.25" customHeight="1">
      <c r="A16" s="13" t="s">
        <v>4039</v>
      </c>
      <c r="B16" s="15" t="str">
        <f>IMAGE("https://imgur.com/cIL08eO.png") </f>
        <v/>
      </c>
      <c r="C16" s="22" t="str">
        <f>HYPERLINK("https://imgur.com/a/NbvpPon","Yes")</f>
        <v>Yes</v>
      </c>
      <c r="D16" s="25" t="s">
        <v>28</v>
      </c>
      <c r="E16" s="13">
        <v>480.0</v>
      </c>
      <c r="F16" s="13">
        <v>120.0</v>
      </c>
      <c r="G16" s="19">
        <v>3096.0</v>
      </c>
      <c r="H16" s="19" t="s">
        <v>99</v>
      </c>
      <c r="I16" s="19" t="s">
        <v>99</v>
      </c>
      <c r="J16" s="19" t="s">
        <v>38</v>
      </c>
      <c r="K16" s="19" t="s">
        <v>43</v>
      </c>
      <c r="L16" s="19" t="s">
        <v>2749</v>
      </c>
      <c r="M16" s="19" t="s">
        <v>2751</v>
      </c>
      <c r="N16" s="19" t="s">
        <v>2863</v>
      </c>
    </row>
    <row r="17" ht="56.25" customHeight="1">
      <c r="A17" s="13" t="s">
        <v>4040</v>
      </c>
      <c r="B17" s="15" t="str">
        <f>IMAGE("https://imgur.com/ekIn90z.png") </f>
        <v/>
      </c>
      <c r="C17" s="22" t="str">
        <f>HYPERLINK("https://imgur.com/a/ckHS8y8","Yes")</f>
        <v>Yes</v>
      </c>
      <c r="D17" s="25" t="s">
        <v>28</v>
      </c>
      <c r="E17" s="13">
        <v>720.0</v>
      </c>
      <c r="F17" s="13">
        <v>180.0</v>
      </c>
      <c r="G17" s="19">
        <v>5804.0</v>
      </c>
      <c r="H17" s="19" t="s">
        <v>82</v>
      </c>
      <c r="I17" s="19" t="s">
        <v>82</v>
      </c>
      <c r="J17" s="19" t="s">
        <v>38</v>
      </c>
      <c r="K17" s="19" t="s">
        <v>43</v>
      </c>
      <c r="L17" s="19" t="s">
        <v>2749</v>
      </c>
      <c r="M17" s="19" t="s">
        <v>2751</v>
      </c>
      <c r="N17" s="19" t="s">
        <v>2863</v>
      </c>
    </row>
    <row r="18" ht="56.25" customHeight="1">
      <c r="A18" s="13" t="s">
        <v>4043</v>
      </c>
      <c r="B18" s="15" t="str">
        <f>IMAGE("https://imgur.com/cwUPHPb.png") </f>
        <v/>
      </c>
      <c r="C18" s="22" t="str">
        <f>HYPERLINK("https://imgur.com/a/ySIuc5W","Yes")</f>
        <v>Yes</v>
      </c>
      <c r="D18" s="25" t="s">
        <v>28</v>
      </c>
      <c r="E18" s="13">
        <v>840.0</v>
      </c>
      <c r="F18" s="13">
        <v>210.0</v>
      </c>
      <c r="G18" s="19">
        <v>5172.0</v>
      </c>
      <c r="H18" s="19" t="s">
        <v>99</v>
      </c>
      <c r="I18" s="19" t="s">
        <v>82</v>
      </c>
      <c r="J18" s="19" t="s">
        <v>38</v>
      </c>
      <c r="K18" s="19" t="s">
        <v>43</v>
      </c>
      <c r="L18" s="19" t="s">
        <v>4018</v>
      </c>
      <c r="M18" s="19"/>
      <c r="N18" s="19" t="s">
        <v>384</v>
      </c>
    </row>
    <row r="19" ht="56.25" customHeight="1">
      <c r="A19" s="13" t="s">
        <v>4046</v>
      </c>
      <c r="B19" s="15" t="str">
        <f>IMAGE("https://imgur.com/Be7D28u.png") </f>
        <v/>
      </c>
      <c r="C19" s="22" t="str">
        <f>HYPERLINK("https://imgur.com/a/s3atHvE","Yes")</f>
        <v>Yes</v>
      </c>
      <c r="D19" s="25" t="s">
        <v>28</v>
      </c>
      <c r="E19" s="13">
        <v>720.0</v>
      </c>
      <c r="F19" s="13">
        <v>180.0</v>
      </c>
      <c r="G19" s="19">
        <v>5174.0</v>
      </c>
      <c r="H19" s="19" t="s">
        <v>82</v>
      </c>
      <c r="I19" s="19" t="s">
        <v>82</v>
      </c>
      <c r="J19" s="19" t="s">
        <v>38</v>
      </c>
      <c r="K19" s="19" t="s">
        <v>43</v>
      </c>
      <c r="L19" s="19" t="s">
        <v>2749</v>
      </c>
      <c r="M19" s="19" t="s">
        <v>2751</v>
      </c>
      <c r="N19" s="19" t="s">
        <v>384</v>
      </c>
    </row>
    <row r="20" ht="56.25" customHeight="1">
      <c r="A20" s="13" t="s">
        <v>4049</v>
      </c>
      <c r="B20" s="15" t="str">
        <f>IMAGE("https://imgur.com/zimm2ah.png") </f>
        <v/>
      </c>
      <c r="C20" s="22" t="str">
        <f>HYPERLINK("https://imgur.com/a/guklzPb","Yes")</f>
        <v>Yes</v>
      </c>
      <c r="D20" s="25" t="s">
        <v>28</v>
      </c>
      <c r="E20" s="13">
        <v>600.0</v>
      </c>
      <c r="F20" s="13">
        <v>150.0</v>
      </c>
      <c r="G20" s="19">
        <v>5406.0</v>
      </c>
      <c r="H20" s="19" t="s">
        <v>107</v>
      </c>
      <c r="I20" s="19" t="s">
        <v>1614</v>
      </c>
      <c r="J20" s="19" t="s">
        <v>38</v>
      </c>
      <c r="K20" s="19" t="s">
        <v>43</v>
      </c>
      <c r="L20" s="19" t="s">
        <v>4018</v>
      </c>
      <c r="M20" s="19"/>
      <c r="N20" s="19" t="s">
        <v>2793</v>
      </c>
    </row>
    <row r="21" ht="56.25" customHeight="1">
      <c r="A21" s="13" t="s">
        <v>4050</v>
      </c>
      <c r="B21" s="15" t="str">
        <f>IMAGE("https://imgur.com/LYWQ1WB.png") </f>
        <v/>
      </c>
      <c r="C21" s="22" t="str">
        <f>HYPERLINK("https://imgur.com/a/STfoY8S","Yes")</f>
        <v>Yes</v>
      </c>
      <c r="D21" s="25" t="s">
        <v>28</v>
      </c>
      <c r="E21" s="13">
        <v>980.0</v>
      </c>
      <c r="F21" s="13">
        <v>245.0</v>
      </c>
      <c r="G21" s="19">
        <v>4747.0</v>
      </c>
      <c r="H21" s="19" t="s">
        <v>99</v>
      </c>
      <c r="I21" s="19" t="s">
        <v>99</v>
      </c>
      <c r="J21" s="19" t="s">
        <v>38</v>
      </c>
      <c r="K21" s="19" t="s">
        <v>43</v>
      </c>
      <c r="L21" s="19" t="s">
        <v>4018</v>
      </c>
      <c r="M21" s="19"/>
      <c r="N21" s="19" t="s">
        <v>2756</v>
      </c>
    </row>
    <row r="22" ht="56.25" customHeight="1">
      <c r="A22" s="13" t="s">
        <v>4051</v>
      </c>
      <c r="B22" s="15" t="str">
        <f>IMAGE("https://imgur.com/qTDivY2.png") </f>
        <v/>
      </c>
      <c r="C22" s="22" t="str">
        <f>HYPERLINK("https://imgur.com/a/VnhUIAG","Yes")</f>
        <v>Yes</v>
      </c>
      <c r="D22" s="25" t="s">
        <v>28</v>
      </c>
      <c r="E22" s="13">
        <v>950.0</v>
      </c>
      <c r="F22" s="24">
        <v>237.0</v>
      </c>
      <c r="G22" s="19">
        <v>5444.0</v>
      </c>
      <c r="H22" s="19" t="s">
        <v>211</v>
      </c>
      <c r="I22" s="19" t="s">
        <v>258</v>
      </c>
      <c r="J22" s="19" t="s">
        <v>38</v>
      </c>
      <c r="K22" s="19" t="s">
        <v>43</v>
      </c>
      <c r="L22" s="19" t="s">
        <v>2749</v>
      </c>
      <c r="M22" s="19" t="s">
        <v>2751</v>
      </c>
      <c r="N22" s="19" t="s">
        <v>2793</v>
      </c>
    </row>
    <row r="23" ht="56.25" customHeight="1">
      <c r="A23" s="13" t="s">
        <v>4052</v>
      </c>
      <c r="B23" s="15" t="str">
        <f>IMAGE("https://imgur.com/BroySn9.png")</f>
        <v/>
      </c>
      <c r="C23" s="22" t="str">
        <f>HYPERLINK("https://imgur.com/a/4yRAN3r","Yes")</f>
        <v>Yes</v>
      </c>
      <c r="D23" s="25" t="s">
        <v>28</v>
      </c>
      <c r="E23" s="13">
        <v>700.0</v>
      </c>
      <c r="F23" s="13">
        <v>175.0</v>
      </c>
      <c r="G23" s="19">
        <v>5196.0</v>
      </c>
      <c r="H23" s="19" t="s">
        <v>369</v>
      </c>
      <c r="I23" s="19" t="s">
        <v>369</v>
      </c>
      <c r="J23" s="19" t="s">
        <v>38</v>
      </c>
      <c r="K23" s="19" t="s">
        <v>43</v>
      </c>
      <c r="L23" s="19" t="s">
        <v>2749</v>
      </c>
      <c r="M23" s="19" t="s">
        <v>2764</v>
      </c>
      <c r="N23" s="19" t="s">
        <v>2744</v>
      </c>
    </row>
    <row r="24" ht="56.25" customHeight="1">
      <c r="A24" s="13" t="s">
        <v>4054</v>
      </c>
      <c r="B24" s="15" t="str">
        <f>IMAGE("https://imgur.com/Ss8y1pA.png") </f>
        <v/>
      </c>
      <c r="C24" s="22" t="str">
        <f>HYPERLINK("https://imgur.com/a/rS1BZMv","Yes")</f>
        <v>Yes</v>
      </c>
      <c r="D24" s="25" t="s">
        <v>28</v>
      </c>
      <c r="E24" s="24" t="s">
        <v>51</v>
      </c>
      <c r="F24" s="13">
        <v>10.0</v>
      </c>
      <c r="G24" s="19">
        <v>5178.0</v>
      </c>
      <c r="H24" s="19" t="s">
        <v>112</v>
      </c>
      <c r="I24" s="19" t="s">
        <v>112</v>
      </c>
      <c r="J24" s="19" t="s">
        <v>38</v>
      </c>
      <c r="K24" s="19" t="s">
        <v>54</v>
      </c>
      <c r="L24" s="19" t="s">
        <v>2797</v>
      </c>
      <c r="M24" s="19"/>
      <c r="N24" s="19" t="s">
        <v>2744</v>
      </c>
    </row>
    <row r="25" ht="56.25" customHeight="1">
      <c r="A25" s="13" t="s">
        <v>4056</v>
      </c>
      <c r="B25" s="15" t="str">
        <f>IMAGE("https://imgur.com/dC89TO8.png") </f>
        <v/>
      </c>
      <c r="C25" s="22" t="str">
        <f>HYPERLINK("https://imgur.com/a/5amPh1d","Yes")</f>
        <v>Yes</v>
      </c>
      <c r="D25" s="25" t="s">
        <v>28</v>
      </c>
      <c r="E25" s="13">
        <v>350.0</v>
      </c>
      <c r="F25" s="24">
        <v>87.0</v>
      </c>
      <c r="G25" s="19">
        <v>5176.0</v>
      </c>
      <c r="H25" s="19" t="s">
        <v>99</v>
      </c>
      <c r="I25" s="19" t="s">
        <v>99</v>
      </c>
      <c r="J25" s="19" t="s">
        <v>38</v>
      </c>
      <c r="K25" s="19" t="s">
        <v>43</v>
      </c>
      <c r="L25" s="19" t="s">
        <v>2749</v>
      </c>
      <c r="M25" s="19" t="s">
        <v>2764</v>
      </c>
      <c r="N25" s="19" t="s">
        <v>2756</v>
      </c>
    </row>
    <row r="26" ht="56.25" customHeight="1">
      <c r="A26" s="24" t="s">
        <v>4057</v>
      </c>
      <c r="B26" s="15" t="str">
        <f>IMAGE("https://imgur.com/DwI9I0C.png") </f>
        <v/>
      </c>
      <c r="C26" s="22" t="str">
        <f>HYPERLINK("https://imgur.com/a/Qutv7mx","Yes")</f>
        <v>Yes</v>
      </c>
      <c r="D26" s="25" t="s">
        <v>28</v>
      </c>
      <c r="E26" s="13">
        <v>600.0</v>
      </c>
      <c r="F26" s="13">
        <v>150.0</v>
      </c>
      <c r="G26" s="19">
        <v>5201.0</v>
      </c>
      <c r="H26" s="19" t="s">
        <v>208</v>
      </c>
      <c r="I26" s="19" t="s">
        <v>1614</v>
      </c>
      <c r="J26" s="19" t="s">
        <v>38</v>
      </c>
      <c r="K26" s="19" t="s">
        <v>43</v>
      </c>
      <c r="L26" s="19" t="s">
        <v>4018</v>
      </c>
      <c r="M26" s="19"/>
      <c r="N26" s="19" t="s">
        <v>384</v>
      </c>
    </row>
    <row r="27" ht="56.25" customHeight="1">
      <c r="A27" s="13" t="s">
        <v>4058</v>
      </c>
      <c r="B27" s="15" t="str">
        <f>IMAGE("https://imgur.com/YlFGin7.png") </f>
        <v/>
      </c>
      <c r="C27" s="22" t="str">
        <f>HYPERLINK("https://imgur.com/a/v4vOmBY","Yes")</f>
        <v>Yes</v>
      </c>
      <c r="D27" s="25" t="s">
        <v>28</v>
      </c>
      <c r="E27" s="13">
        <v>940.0</v>
      </c>
      <c r="F27" s="13">
        <v>235.0</v>
      </c>
      <c r="G27" s="19">
        <v>9883.0</v>
      </c>
      <c r="H27" s="19" t="s">
        <v>464</v>
      </c>
      <c r="I27" s="19" t="s">
        <v>464</v>
      </c>
      <c r="J27" s="19" t="s">
        <v>38</v>
      </c>
      <c r="K27" s="19" t="s">
        <v>43</v>
      </c>
      <c r="L27" s="19" t="s">
        <v>3134</v>
      </c>
      <c r="M27" s="19"/>
      <c r="N27" s="19" t="s">
        <v>2756</v>
      </c>
    </row>
    <row r="28" ht="56.25" customHeight="1">
      <c r="A28" s="13" t="s">
        <v>4060</v>
      </c>
      <c r="B28" s="15" t="str">
        <f>IMAGE("https://imgur.com/oTz76cY.png") </f>
        <v/>
      </c>
      <c r="C28" s="22" t="str">
        <f>HYPERLINK("https://imgur.com/a/ToWjOSH","Yes")</f>
        <v>Yes</v>
      </c>
      <c r="D28" s="25" t="s">
        <v>28</v>
      </c>
      <c r="E28" s="13">
        <v>1240.0</v>
      </c>
      <c r="F28" s="13">
        <v>310.0</v>
      </c>
      <c r="G28" s="19">
        <v>9882.0</v>
      </c>
      <c r="H28" s="19" t="s">
        <v>464</v>
      </c>
      <c r="I28" s="19" t="s">
        <v>464</v>
      </c>
      <c r="J28" s="19" t="s">
        <v>38</v>
      </c>
      <c r="K28" s="19" t="s">
        <v>43</v>
      </c>
      <c r="L28" s="19" t="s">
        <v>3134</v>
      </c>
      <c r="M28" s="19"/>
      <c r="N28" s="19" t="s">
        <v>2863</v>
      </c>
    </row>
    <row r="29" ht="56.25" customHeight="1">
      <c r="A29" s="13" t="s">
        <v>4061</v>
      </c>
      <c r="B29" s="15" t="str">
        <f>IMAGE("https://imgur.com/pwplW9a.png") </f>
        <v/>
      </c>
      <c r="C29" s="22" t="str">
        <f>HYPERLINK("https://imgur.com/a/JFRejKK","Yes")</f>
        <v>Yes</v>
      </c>
      <c r="D29" s="25" t="s">
        <v>28</v>
      </c>
      <c r="E29" s="13">
        <v>720.0</v>
      </c>
      <c r="F29" s="13">
        <v>180.0</v>
      </c>
      <c r="G29" s="19">
        <v>5173.0</v>
      </c>
      <c r="H29" s="19" t="s">
        <v>82</v>
      </c>
      <c r="I29" s="19" t="s">
        <v>82</v>
      </c>
      <c r="J29" s="19" t="s">
        <v>38</v>
      </c>
      <c r="K29" s="19" t="s">
        <v>43</v>
      </c>
      <c r="L29" s="19" t="s">
        <v>2749</v>
      </c>
      <c r="M29" s="19" t="s">
        <v>2751</v>
      </c>
      <c r="N29" s="19" t="s">
        <v>2863</v>
      </c>
    </row>
    <row r="30" ht="56.25" customHeight="1">
      <c r="A30" s="13" t="s">
        <v>4063</v>
      </c>
      <c r="B30" s="60" t="str">
        <f>IMAGE("https://imgur.com/xaUkGOs.png") </f>
        <v/>
      </c>
      <c r="C30" s="22" t="str">
        <f>HYPERLINK("https://imgur.com/a/mKJJ9Yq","Yes")</f>
        <v>Yes</v>
      </c>
      <c r="D30" s="25" t="s">
        <v>28</v>
      </c>
      <c r="E30" s="13">
        <v>720.0</v>
      </c>
      <c r="F30" s="13">
        <v>180.0</v>
      </c>
      <c r="G30" s="19">
        <v>5195.0</v>
      </c>
      <c r="H30" s="19" t="s">
        <v>94</v>
      </c>
      <c r="I30" s="19" t="s">
        <v>464</v>
      </c>
      <c r="J30" s="19" t="s">
        <v>38</v>
      </c>
      <c r="K30" s="19" t="s">
        <v>43</v>
      </c>
      <c r="L30" s="19" t="s">
        <v>2749</v>
      </c>
      <c r="M30" s="19" t="s">
        <v>2751</v>
      </c>
      <c r="N30" s="19" t="s">
        <v>2744</v>
      </c>
    </row>
    <row r="31" ht="56.25" customHeight="1">
      <c r="A31" s="13" t="s">
        <v>4064</v>
      </c>
      <c r="B31" s="15" t="str">
        <f>IMAGE("https://imgur.com/I4RQ2LJ.png") </f>
        <v/>
      </c>
      <c r="C31" s="22" t="str">
        <f>HYPERLINK("https://imgur.com/a/iphc4E6","Yes")</f>
        <v>Yes</v>
      </c>
      <c r="D31" s="25" t="s">
        <v>28</v>
      </c>
      <c r="E31" s="13">
        <v>440.0</v>
      </c>
      <c r="F31" s="13">
        <v>110.0</v>
      </c>
      <c r="G31" s="19">
        <v>5169.0</v>
      </c>
      <c r="H31" s="19" t="s">
        <v>464</v>
      </c>
      <c r="I31" s="19" t="s">
        <v>464</v>
      </c>
      <c r="J31" s="19" t="s">
        <v>38</v>
      </c>
      <c r="K31" s="19" t="s">
        <v>43</v>
      </c>
      <c r="L31" s="19" t="s">
        <v>2749</v>
      </c>
      <c r="M31" s="19" t="s">
        <v>2764</v>
      </c>
      <c r="N31" s="19" t="s">
        <v>2793</v>
      </c>
    </row>
    <row r="32" ht="56.25" customHeight="1">
      <c r="A32" s="13" t="s">
        <v>4065</v>
      </c>
      <c r="B32" s="15" t="str">
        <f>IMAGE("https://imgur.com/4Ydkkh1.png") </f>
        <v/>
      </c>
      <c r="C32" s="22" t="str">
        <f>HYPERLINK("https://imgur.com/a/LXXodG4","Yes")</f>
        <v>Yes</v>
      </c>
      <c r="D32" s="25" t="s">
        <v>28</v>
      </c>
      <c r="E32" s="13">
        <v>800.0</v>
      </c>
      <c r="F32" s="13">
        <v>200.0</v>
      </c>
      <c r="G32" s="19">
        <v>5168.0</v>
      </c>
      <c r="H32" s="19" t="s">
        <v>208</v>
      </c>
      <c r="I32" s="19" t="s">
        <v>208</v>
      </c>
      <c r="J32" s="19" t="s">
        <v>38</v>
      </c>
      <c r="K32" s="19" t="s">
        <v>43</v>
      </c>
      <c r="L32" s="19" t="s">
        <v>2749</v>
      </c>
      <c r="M32" s="19" t="s">
        <v>2764</v>
      </c>
      <c r="N32" s="19" t="s">
        <v>2744</v>
      </c>
    </row>
    <row r="33" ht="56.25" customHeight="1">
      <c r="A33" s="13" t="s">
        <v>4067</v>
      </c>
      <c r="B33" s="15" t="str">
        <f>IMAGE("https://imgur.com/I2ScFWu.png") </f>
        <v/>
      </c>
      <c r="C33" s="22" t="str">
        <f t="shared" ref="C33:C34" si="1">HYPERLINK("https://imgur.com/a/C6awiSj","Yes")</f>
        <v>Yes</v>
      </c>
      <c r="D33" s="25" t="s">
        <v>28</v>
      </c>
      <c r="E33" s="13">
        <v>540.0</v>
      </c>
      <c r="F33" s="13">
        <v>135.0</v>
      </c>
      <c r="G33" s="19">
        <v>9586.0</v>
      </c>
      <c r="H33" s="19" t="s">
        <v>211</v>
      </c>
      <c r="I33" s="19" t="s">
        <v>521</v>
      </c>
      <c r="J33" s="19" t="s">
        <v>38</v>
      </c>
      <c r="K33" s="19" t="s">
        <v>43</v>
      </c>
      <c r="L33" s="19" t="s">
        <v>2749</v>
      </c>
      <c r="M33" s="19" t="s">
        <v>2764</v>
      </c>
      <c r="N33" s="19" t="s">
        <v>2793</v>
      </c>
    </row>
    <row r="34" ht="56.25" customHeight="1">
      <c r="A34" s="24" t="s">
        <v>4068</v>
      </c>
      <c r="B34" s="15" t="str">
        <f>IMAGE("https://imgur.com/mkectAY.png") </f>
        <v/>
      </c>
      <c r="C34" s="22" t="str">
        <f t="shared" si="1"/>
        <v>Yes</v>
      </c>
      <c r="D34" s="25" t="s">
        <v>28</v>
      </c>
      <c r="E34" s="13">
        <v>720.0</v>
      </c>
      <c r="F34" s="13">
        <v>180.0</v>
      </c>
      <c r="G34" s="19">
        <v>9583.0</v>
      </c>
      <c r="H34" s="19" t="s">
        <v>211</v>
      </c>
      <c r="I34" s="19" t="s">
        <v>521</v>
      </c>
      <c r="J34" s="19" t="s">
        <v>38</v>
      </c>
      <c r="K34" s="19" t="s">
        <v>43</v>
      </c>
      <c r="L34" s="19" t="s">
        <v>2749</v>
      </c>
      <c r="M34" s="19" t="s">
        <v>2764</v>
      </c>
      <c r="N34" s="19" t="s">
        <v>2793</v>
      </c>
    </row>
    <row r="35" ht="56.25" customHeight="1">
      <c r="A35" s="13" t="s">
        <v>4069</v>
      </c>
      <c r="B35" s="15" t="str">
        <f>IMAGE("https://imgur.com/f3ReXLE.png") </f>
        <v/>
      </c>
      <c r="C35" s="22" t="str">
        <f>HYPERLINK("https://imgur.com/a/G0kelus","Yes")</f>
        <v>Yes</v>
      </c>
      <c r="D35" s="25" t="s">
        <v>28</v>
      </c>
      <c r="E35" s="13">
        <v>480.0</v>
      </c>
      <c r="F35" s="13">
        <v>120.0</v>
      </c>
      <c r="G35" s="19">
        <v>4741.0</v>
      </c>
      <c r="H35" s="19" t="s">
        <v>94</v>
      </c>
      <c r="I35" s="19" t="s">
        <v>99</v>
      </c>
      <c r="J35" s="19" t="s">
        <v>38</v>
      </c>
      <c r="K35" s="19" t="s">
        <v>43</v>
      </c>
      <c r="L35" s="19" t="s">
        <v>2749</v>
      </c>
      <c r="M35" s="19" t="s">
        <v>2764</v>
      </c>
      <c r="N35" s="19" t="s">
        <v>2744</v>
      </c>
    </row>
    <row r="36" ht="56.25" customHeight="1">
      <c r="A36" s="13" t="s">
        <v>4071</v>
      </c>
      <c r="B36" s="15" t="str">
        <f>IMAGE("https://imgur.com/AAHmCYx.png") </f>
        <v/>
      </c>
      <c r="C36" s="25" t="s">
        <v>40</v>
      </c>
      <c r="D36" s="15" t="s">
        <v>28</v>
      </c>
      <c r="E36" s="24" t="s">
        <v>51</v>
      </c>
      <c r="F36" s="13">
        <v>2000.0</v>
      </c>
      <c r="G36" s="19">
        <v>5629.0</v>
      </c>
      <c r="H36" s="19" t="s">
        <v>211</v>
      </c>
      <c r="I36" s="19" t="s">
        <v>521</v>
      </c>
      <c r="J36" s="19" t="s">
        <v>38</v>
      </c>
      <c r="K36" s="19" t="s">
        <v>54</v>
      </c>
      <c r="L36" s="19" t="s">
        <v>516</v>
      </c>
      <c r="M36" s="19"/>
      <c r="N36" s="19" t="s">
        <v>2793</v>
      </c>
    </row>
    <row r="37" ht="56.25" customHeight="1">
      <c r="A37" s="13" t="s">
        <v>4072</v>
      </c>
      <c r="B37" s="15" t="str">
        <f>IMAGE("https://imgur.com/8LEU8fT.png") </f>
        <v/>
      </c>
      <c r="C37" s="22" t="str">
        <f>HYPERLINK("https://imgur.com/a/tqEC5ka","Yes")</f>
        <v>Yes</v>
      </c>
      <c r="D37" s="25" t="s">
        <v>28</v>
      </c>
      <c r="E37" s="13">
        <v>840.0</v>
      </c>
      <c r="F37" s="13">
        <v>210.0</v>
      </c>
      <c r="G37" s="19">
        <v>4748.0</v>
      </c>
      <c r="H37" s="19" t="s">
        <v>112</v>
      </c>
      <c r="I37" s="19" t="s">
        <v>99</v>
      </c>
      <c r="J37" s="19" t="s">
        <v>38</v>
      </c>
      <c r="K37" s="19" t="s">
        <v>43</v>
      </c>
      <c r="L37" s="19" t="s">
        <v>2749</v>
      </c>
      <c r="M37" s="19" t="s">
        <v>2764</v>
      </c>
      <c r="N37" s="19" t="s">
        <v>2863</v>
      </c>
    </row>
    <row r="38" ht="56.25" customHeight="1">
      <c r="A38" s="13" t="s">
        <v>4073</v>
      </c>
      <c r="B38" s="15" t="str">
        <f>IMAGE("https://imgur.com/jHlo01N.png") </f>
        <v/>
      </c>
      <c r="C38" s="22" t="str">
        <f>HYPERLINK("https://imgur.com/a/ag15zii","Yes")</f>
        <v>Yes</v>
      </c>
      <c r="D38" s="25" t="s">
        <v>28</v>
      </c>
      <c r="E38" s="13">
        <v>940.0</v>
      </c>
      <c r="F38" s="13">
        <v>235.0</v>
      </c>
      <c r="G38" s="19">
        <v>6046.0</v>
      </c>
      <c r="H38" s="19" t="s">
        <v>99</v>
      </c>
      <c r="I38" s="19" t="s">
        <v>99</v>
      </c>
      <c r="J38" s="19" t="s">
        <v>38</v>
      </c>
      <c r="K38" s="19" t="s">
        <v>43</v>
      </c>
      <c r="L38" s="19" t="s">
        <v>2749</v>
      </c>
      <c r="M38" s="19" t="s">
        <v>2751</v>
      </c>
      <c r="N38" s="19" t="s">
        <v>2863</v>
      </c>
    </row>
    <row r="39" ht="56.25" customHeight="1">
      <c r="A39" s="13" t="s">
        <v>4075</v>
      </c>
      <c r="B39" s="15" t="str">
        <f>IMAGE("https://imgur.com/3DCmB2e.png") </f>
        <v/>
      </c>
      <c r="C39" s="22" t="str">
        <f>HYPERLINK("https://imgur.com/a/efvqH5a","Yes")</f>
        <v>Yes</v>
      </c>
      <c r="D39" s="25" t="s">
        <v>28</v>
      </c>
      <c r="E39" s="13">
        <v>720.0</v>
      </c>
      <c r="F39" s="13">
        <v>180.0</v>
      </c>
      <c r="G39" s="19">
        <v>5179.0</v>
      </c>
      <c r="H39" s="19" t="s">
        <v>107</v>
      </c>
      <c r="I39" s="19" t="s">
        <v>82</v>
      </c>
      <c r="J39" s="19" t="s">
        <v>38</v>
      </c>
      <c r="K39" s="19" t="s">
        <v>43</v>
      </c>
      <c r="L39" s="19" t="s">
        <v>2749</v>
      </c>
      <c r="M39" s="19" t="s">
        <v>2751</v>
      </c>
      <c r="N39" s="19" t="s">
        <v>384</v>
      </c>
    </row>
    <row r="40" ht="56.25" customHeight="1">
      <c r="A40" s="13" t="s">
        <v>4077</v>
      </c>
      <c r="B40" s="15" t="str">
        <f>IMAGE("https://imgur.com/77BSgcE.png") </f>
        <v/>
      </c>
      <c r="C40" s="22" t="str">
        <f>HYPERLINK("https://imgur.com/a/9VTOgyy","Yes")</f>
        <v>Yes</v>
      </c>
      <c r="D40" s="25" t="s">
        <v>28</v>
      </c>
      <c r="E40" s="13">
        <v>600.0</v>
      </c>
      <c r="F40" s="13">
        <v>150.0</v>
      </c>
      <c r="G40" s="19">
        <v>5198.0</v>
      </c>
      <c r="H40" s="19" t="s">
        <v>521</v>
      </c>
      <c r="I40" s="19" t="s">
        <v>521</v>
      </c>
      <c r="J40" s="19" t="s">
        <v>38</v>
      </c>
      <c r="K40" s="19" t="s">
        <v>43</v>
      </c>
      <c r="L40" s="19" t="s">
        <v>2749</v>
      </c>
      <c r="M40" s="19" t="s">
        <v>2751</v>
      </c>
      <c r="N40" s="19" t="s">
        <v>2863</v>
      </c>
    </row>
    <row r="41" ht="56.25" customHeight="1">
      <c r="A41" s="13" t="s">
        <v>4078</v>
      </c>
      <c r="B41" s="15" t="str">
        <f>IMAGE("https://imgur.com/Poq6aJX.png") </f>
        <v/>
      </c>
      <c r="C41" s="22" t="str">
        <f>HYPERLINK("https://imgur.com/a/FMMjJB6","Yes")</f>
        <v>Yes</v>
      </c>
      <c r="D41" s="25" t="s">
        <v>28</v>
      </c>
      <c r="E41" s="13">
        <v>550.0</v>
      </c>
      <c r="F41" s="24">
        <v>137.0</v>
      </c>
      <c r="G41" s="19">
        <v>5214.0</v>
      </c>
      <c r="H41" s="19" t="s">
        <v>99</v>
      </c>
      <c r="I41" s="19" t="s">
        <v>107</v>
      </c>
      <c r="J41" s="19" t="s">
        <v>38</v>
      </c>
      <c r="K41" s="19" t="s">
        <v>43</v>
      </c>
      <c r="L41" s="19" t="s">
        <v>2749</v>
      </c>
      <c r="M41" s="19" t="s">
        <v>2764</v>
      </c>
      <c r="N41" s="19" t="s">
        <v>2793</v>
      </c>
    </row>
    <row r="42" ht="56.25" customHeight="1">
      <c r="A42" s="13" t="s">
        <v>4081</v>
      </c>
      <c r="B42" s="15" t="str">
        <f>IMAGE("https://imgur.com/dvUm0TP.png") </f>
        <v/>
      </c>
      <c r="C42" s="22" t="str">
        <f>HYPERLINK("https://imgur.com/a/V3uhgzU","Yes")</f>
        <v>Yes</v>
      </c>
      <c r="D42" s="25" t="s">
        <v>28</v>
      </c>
      <c r="E42" s="13">
        <v>480.0</v>
      </c>
      <c r="F42" s="13">
        <v>120.0</v>
      </c>
      <c r="G42" s="19">
        <v>9644.0</v>
      </c>
      <c r="H42" s="19" t="s">
        <v>369</v>
      </c>
      <c r="I42" s="19" t="s">
        <v>369</v>
      </c>
      <c r="J42" s="19" t="s">
        <v>38</v>
      </c>
      <c r="K42" s="19" t="s">
        <v>43</v>
      </c>
      <c r="L42" s="19" t="s">
        <v>2749</v>
      </c>
      <c r="M42" s="19" t="s">
        <v>2751</v>
      </c>
      <c r="N42" s="19" t="s">
        <v>2863</v>
      </c>
    </row>
    <row r="43" ht="56.25" customHeight="1">
      <c r="A43" s="13" t="s">
        <v>4083</v>
      </c>
      <c r="B43" s="15" t="str">
        <f>IMAGE("https://imgur.com/wtrPk4M.png") </f>
        <v/>
      </c>
      <c r="C43" s="22" t="str">
        <f>HYPERLINK("https://imgur.com/a/vLWjT1n","Yes")</f>
        <v>Yes</v>
      </c>
      <c r="D43" s="25" t="s">
        <v>28</v>
      </c>
      <c r="E43" s="13">
        <v>720.0</v>
      </c>
      <c r="F43" s="13">
        <v>180.0</v>
      </c>
      <c r="G43" s="19">
        <v>9580.0</v>
      </c>
      <c r="H43" s="19" t="s">
        <v>521</v>
      </c>
      <c r="I43" s="19" t="s">
        <v>521</v>
      </c>
      <c r="J43" s="19" t="s">
        <v>38</v>
      </c>
      <c r="K43" s="19" t="s">
        <v>43</v>
      </c>
      <c r="L43" s="19" t="s">
        <v>2749</v>
      </c>
      <c r="M43" s="19" t="s">
        <v>2751</v>
      </c>
      <c r="N43" s="19" t="s">
        <v>2863</v>
      </c>
    </row>
    <row r="44" ht="56.25" customHeight="1">
      <c r="A44" s="13" t="s">
        <v>4084</v>
      </c>
      <c r="B44" s="15" t="str">
        <f>IMAGE("https://imgur.com/SbuU4sA.png") </f>
        <v/>
      </c>
      <c r="C44" s="22" t="str">
        <f>HYPERLINK("https://imgur.com/a/mFmwUzY","Yes")</f>
        <v>Yes</v>
      </c>
      <c r="D44" s="25" t="s">
        <v>28</v>
      </c>
      <c r="E44" s="13">
        <v>940.0</v>
      </c>
      <c r="F44" s="13">
        <v>235.0</v>
      </c>
      <c r="G44" s="19">
        <v>4743.0</v>
      </c>
      <c r="H44" s="19" t="s">
        <v>107</v>
      </c>
      <c r="I44" s="19" t="s">
        <v>107</v>
      </c>
      <c r="J44" s="19" t="s">
        <v>38</v>
      </c>
      <c r="K44" s="19" t="s">
        <v>43</v>
      </c>
      <c r="L44" s="19" t="s">
        <v>4018</v>
      </c>
      <c r="M44" s="19"/>
      <c r="N44" s="19" t="s">
        <v>852</v>
      </c>
    </row>
    <row r="45" ht="56.25" customHeight="1">
      <c r="A45" s="13" t="s">
        <v>4086</v>
      </c>
      <c r="B45" s="15" t="str">
        <f>IMAGE("https://imgur.com/vD33Jjc.png") </f>
        <v/>
      </c>
      <c r="C45" s="22" t="str">
        <f>HYPERLINK("https://imgur.com/a/l6zGjsC","Yes")</f>
        <v>Yes</v>
      </c>
      <c r="D45" s="25" t="s">
        <v>28</v>
      </c>
      <c r="E45" s="13">
        <v>600.0</v>
      </c>
      <c r="F45" s="13">
        <v>150.0</v>
      </c>
      <c r="G45" s="19">
        <v>5812.0</v>
      </c>
      <c r="H45" s="19" t="s">
        <v>112</v>
      </c>
      <c r="I45" s="19" t="s">
        <v>112</v>
      </c>
      <c r="J45" s="19" t="s">
        <v>38</v>
      </c>
      <c r="K45" s="19" t="s">
        <v>43</v>
      </c>
      <c r="L45" s="19" t="s">
        <v>4018</v>
      </c>
      <c r="M45" s="19"/>
      <c r="N45" s="19" t="s">
        <v>2863</v>
      </c>
    </row>
    <row r="46" ht="56.25" customHeight="1">
      <c r="A46" s="13" t="s">
        <v>4087</v>
      </c>
      <c r="B46" s="15" t="str">
        <f>IMAGE("https://imgur.com/aBuoczb.png") </f>
        <v/>
      </c>
      <c r="C46" s="22" t="str">
        <f>HYPERLINK("https://imgur.com/a/qDGiWhi","Yes")</f>
        <v>Yes</v>
      </c>
      <c r="D46" s="25" t="s">
        <v>28</v>
      </c>
      <c r="E46" s="13">
        <v>600.0</v>
      </c>
      <c r="F46" s="13">
        <v>150.0</v>
      </c>
      <c r="G46" s="19">
        <v>12175.0</v>
      </c>
      <c r="H46" s="19" t="s">
        <v>107</v>
      </c>
      <c r="I46" s="19" t="s">
        <v>107</v>
      </c>
      <c r="J46" s="19" t="s">
        <v>38</v>
      </c>
      <c r="K46" s="19" t="s">
        <v>43</v>
      </c>
      <c r="L46" s="19" t="s">
        <v>4018</v>
      </c>
      <c r="M46" s="19"/>
      <c r="N46" s="19" t="s">
        <v>384</v>
      </c>
    </row>
    <row r="47" ht="56.25" customHeight="1">
      <c r="A47" s="13" t="s">
        <v>4089</v>
      </c>
      <c r="B47" s="15" t="str">
        <f>IMAGE("https://imgur.com/llbOP3m.png") </f>
        <v/>
      </c>
      <c r="C47" s="22" t="str">
        <f>HYPERLINK("https://imgur.com/a/biHJI6U","Yes")</f>
        <v>Yes</v>
      </c>
      <c r="D47" s="25" t="s">
        <v>28</v>
      </c>
      <c r="E47" s="13">
        <v>720.0</v>
      </c>
      <c r="F47" s="13">
        <v>180.0</v>
      </c>
      <c r="G47" s="19">
        <v>5200.0</v>
      </c>
      <c r="H47" s="19" t="s">
        <v>112</v>
      </c>
      <c r="I47" s="19" t="s">
        <v>208</v>
      </c>
      <c r="J47" s="19" t="s">
        <v>38</v>
      </c>
      <c r="K47" s="19" t="s">
        <v>43</v>
      </c>
      <c r="L47" s="19" t="s">
        <v>2749</v>
      </c>
      <c r="M47" s="19" t="s">
        <v>2764</v>
      </c>
      <c r="N47" s="19" t="s">
        <v>2744</v>
      </c>
    </row>
    <row r="48" ht="56.25" customHeight="1">
      <c r="A48" s="13" t="s">
        <v>4090</v>
      </c>
      <c r="B48" s="15" t="str">
        <f>IMAGE("https://imgur.com/uAfdltV.png") </f>
        <v/>
      </c>
      <c r="C48" s="22" t="str">
        <f>HYPERLINK("https://imgur.com/a/xSMWSSY","Yes")</f>
        <v>Yes</v>
      </c>
      <c r="D48" s="25" t="s">
        <v>28</v>
      </c>
      <c r="E48" s="13">
        <v>800.0</v>
      </c>
      <c r="F48" s="13">
        <v>200.0</v>
      </c>
      <c r="G48" s="19">
        <v>5177.0</v>
      </c>
      <c r="H48" s="19" t="s">
        <v>112</v>
      </c>
      <c r="I48" s="19" t="s">
        <v>82</v>
      </c>
      <c r="J48" s="19" t="s">
        <v>38</v>
      </c>
      <c r="K48" s="19" t="s">
        <v>43</v>
      </c>
      <c r="L48" s="19" t="s">
        <v>4018</v>
      </c>
      <c r="M48" s="19"/>
      <c r="N48" s="19" t="s">
        <v>2793</v>
      </c>
    </row>
    <row r="49" ht="56.25" customHeight="1">
      <c r="A49" s="13" t="s">
        <v>4091</v>
      </c>
      <c r="B49" s="15" t="str">
        <f>IMAGE("https://imgur.com/hXuTsVc.png") </f>
        <v/>
      </c>
      <c r="C49" s="22" t="str">
        <f>HYPERLINK("https://imgur.com/a/dbkNCam","Yes")</f>
        <v>Yes</v>
      </c>
      <c r="D49" s="25" t="s">
        <v>28</v>
      </c>
      <c r="E49" s="13">
        <v>720.0</v>
      </c>
      <c r="F49" s="13">
        <v>180.0</v>
      </c>
      <c r="G49" s="19">
        <v>5203.0</v>
      </c>
      <c r="H49" s="19" t="s">
        <v>99</v>
      </c>
      <c r="I49" s="19" t="s">
        <v>99</v>
      </c>
      <c r="J49" s="19" t="s">
        <v>38</v>
      </c>
      <c r="K49" s="19" t="s">
        <v>43</v>
      </c>
      <c r="L49" s="19" t="s">
        <v>4018</v>
      </c>
      <c r="M49" s="19"/>
      <c r="N49" s="19" t="s">
        <v>2756</v>
      </c>
    </row>
    <row r="50" ht="56.25" customHeight="1">
      <c r="A50" s="13" t="s">
        <v>4092</v>
      </c>
      <c r="B50" s="15" t="str">
        <f>IMAGE("https://imgur.com/0RNHPA5.png") </f>
        <v/>
      </c>
      <c r="C50" s="22" t="str">
        <f>HYPERLINK("https://imgur.com/a/vlrHcDD","Yes")</f>
        <v>Yes</v>
      </c>
      <c r="D50" s="25" t="s">
        <v>28</v>
      </c>
      <c r="E50" s="13">
        <v>480.0</v>
      </c>
      <c r="F50" s="13">
        <v>120.0</v>
      </c>
      <c r="G50" s="19">
        <v>3095.0</v>
      </c>
      <c r="H50" s="19" t="s">
        <v>99</v>
      </c>
      <c r="I50" s="19" t="s">
        <v>99</v>
      </c>
      <c r="J50" s="19" t="s">
        <v>38</v>
      </c>
      <c r="K50" s="19" t="s">
        <v>43</v>
      </c>
      <c r="L50" s="19" t="s">
        <v>2749</v>
      </c>
      <c r="M50" s="19" t="s">
        <v>2764</v>
      </c>
      <c r="N50" s="19" t="s">
        <v>2744</v>
      </c>
    </row>
    <row r="51" ht="56.25" customHeight="1">
      <c r="A51" s="13" t="s">
        <v>4095</v>
      </c>
      <c r="B51" s="15" t="str">
        <f>IMAGE("https://imgur.com/NME8rNB.png") </f>
        <v/>
      </c>
      <c r="C51" s="22" t="str">
        <f>HYPERLINK("https://imgur.com/a/7JraV6b","Yes")</f>
        <v>Yes</v>
      </c>
      <c r="D51" s="25" t="s">
        <v>28</v>
      </c>
      <c r="E51" s="13">
        <v>450.0</v>
      </c>
      <c r="F51" s="24">
        <v>112.0</v>
      </c>
      <c r="G51" s="19">
        <v>4744.0</v>
      </c>
      <c r="H51" s="19" t="s">
        <v>112</v>
      </c>
      <c r="I51" s="19" t="s">
        <v>112</v>
      </c>
      <c r="J51" s="19" t="s">
        <v>38</v>
      </c>
      <c r="K51" s="19" t="s">
        <v>43</v>
      </c>
      <c r="L51" s="19" t="s">
        <v>2749</v>
      </c>
      <c r="M51" s="19" t="s">
        <v>2764</v>
      </c>
      <c r="N51" s="19" t="s">
        <v>2744</v>
      </c>
    </row>
    <row r="52" ht="56.25" customHeight="1">
      <c r="A52" s="13" t="s">
        <v>4096</v>
      </c>
      <c r="B52" s="15" t="str">
        <f>IMAGE("https://imgur.com/zAsQulP.png") </f>
        <v/>
      </c>
      <c r="C52" s="22" t="str">
        <f>HYPERLINK("https://imgur.com/a/kqYt9Gr","Yes")</f>
        <v>Yes</v>
      </c>
      <c r="D52" s="25" t="s">
        <v>28</v>
      </c>
      <c r="E52" s="13">
        <v>600.0</v>
      </c>
      <c r="F52" s="13">
        <v>150.0</v>
      </c>
      <c r="G52" s="19">
        <v>5199.0</v>
      </c>
      <c r="H52" s="19" t="s">
        <v>99</v>
      </c>
      <c r="I52" s="19" t="s">
        <v>82</v>
      </c>
      <c r="J52" s="19" t="s">
        <v>38</v>
      </c>
      <c r="K52" s="19" t="s">
        <v>43</v>
      </c>
      <c r="L52" s="19" t="s">
        <v>2749</v>
      </c>
      <c r="M52" s="19" t="s">
        <v>2764</v>
      </c>
      <c r="N52" s="19" t="s">
        <v>2744</v>
      </c>
    </row>
    <row r="53" ht="56.25" customHeight="1">
      <c r="A53" s="13" t="s">
        <v>4097</v>
      </c>
      <c r="B53" s="15" t="str">
        <f>IMAGE("https://imgur.com/6npgF82.png") </f>
        <v/>
      </c>
      <c r="C53" s="22" t="str">
        <f>HYPERLINK("https://imgur.com/a/LSARU10","Yes")</f>
        <v>Yes</v>
      </c>
      <c r="D53" s="25" t="s">
        <v>28</v>
      </c>
      <c r="E53" s="13">
        <v>720.0</v>
      </c>
      <c r="F53" s="13">
        <v>180.0</v>
      </c>
      <c r="G53" s="19">
        <v>6045.0</v>
      </c>
      <c r="H53" s="19" t="s">
        <v>208</v>
      </c>
      <c r="I53" s="19" t="s">
        <v>99</v>
      </c>
      <c r="J53" s="19" t="s">
        <v>38</v>
      </c>
      <c r="K53" s="19" t="s">
        <v>43</v>
      </c>
      <c r="L53" s="19" t="s">
        <v>2749</v>
      </c>
      <c r="M53" s="19" t="s">
        <v>2751</v>
      </c>
      <c r="N53" s="19" t="s">
        <v>852</v>
      </c>
    </row>
    <row r="54" ht="56.25" customHeight="1">
      <c r="A54" s="13" t="s">
        <v>4100</v>
      </c>
      <c r="B54" s="15" t="str">
        <f>IMAGE("https://imgur.com/R5kQX8R.png") </f>
        <v/>
      </c>
      <c r="C54" s="22" t="str">
        <f>HYPERLINK("https://imgur.com/a/VW9SXQc","Yes")</f>
        <v>Yes</v>
      </c>
      <c r="D54" s="25" t="s">
        <v>28</v>
      </c>
      <c r="E54" s="13">
        <v>1200.0</v>
      </c>
      <c r="F54" s="13">
        <v>300.0</v>
      </c>
      <c r="G54" s="19">
        <v>4749.0</v>
      </c>
      <c r="H54" s="19" t="s">
        <v>82</v>
      </c>
      <c r="I54" s="19" t="s">
        <v>82</v>
      </c>
      <c r="J54" s="19" t="s">
        <v>38</v>
      </c>
      <c r="K54" s="19" t="s">
        <v>43</v>
      </c>
      <c r="L54" s="19" t="s">
        <v>2749</v>
      </c>
      <c r="M54" s="19" t="s">
        <v>2751</v>
      </c>
      <c r="N54" s="19" t="s">
        <v>2744</v>
      </c>
    </row>
    <row r="55" ht="56.25" customHeight="1">
      <c r="A55" s="13" t="s">
        <v>4101</v>
      </c>
      <c r="B55" s="15" t="str">
        <f>IMAGE("https://imgur.com/k8ilbkY.png") </f>
        <v/>
      </c>
      <c r="C55" s="22" t="str">
        <f>HYPERLINK("https://imgur.com/a/AQVplBQ","Yes")</f>
        <v>Yes</v>
      </c>
      <c r="D55" s="25" t="s">
        <v>28</v>
      </c>
      <c r="E55" s="13">
        <v>600.0</v>
      </c>
      <c r="F55" s="13">
        <v>150.0</v>
      </c>
      <c r="G55" s="19">
        <v>5181.0</v>
      </c>
      <c r="H55" s="19" t="s">
        <v>107</v>
      </c>
      <c r="I55" s="19" t="s">
        <v>82</v>
      </c>
      <c r="J55" s="19" t="s">
        <v>38</v>
      </c>
      <c r="K55" s="19" t="s">
        <v>43</v>
      </c>
      <c r="L55" s="19" t="s">
        <v>2749</v>
      </c>
      <c r="M55" s="19" t="s">
        <v>2764</v>
      </c>
      <c r="N55" s="19" t="s">
        <v>384</v>
      </c>
    </row>
    <row r="56" ht="56.25" customHeight="1">
      <c r="A56" s="13" t="s">
        <v>4103</v>
      </c>
      <c r="B56" s="15" t="str">
        <f>IMAGE("https://imgur.com/3tlQApK.png") </f>
        <v/>
      </c>
      <c r="C56" s="22" t="str">
        <f>HYPERLINK("https://imgur.com/a/OgfFCXp","Yes")</f>
        <v>Yes</v>
      </c>
      <c r="D56" s="25" t="s">
        <v>28</v>
      </c>
      <c r="E56" s="13">
        <v>480.0</v>
      </c>
      <c r="F56" s="13">
        <v>120.0</v>
      </c>
      <c r="G56" s="19">
        <v>4746.0</v>
      </c>
      <c r="H56" s="19" t="s">
        <v>82</v>
      </c>
      <c r="I56" s="19" t="s">
        <v>112</v>
      </c>
      <c r="J56" s="19" t="s">
        <v>38</v>
      </c>
      <c r="K56" s="19" t="s">
        <v>43</v>
      </c>
      <c r="L56" s="19" t="s">
        <v>2749</v>
      </c>
      <c r="M56" s="19" t="s">
        <v>2764</v>
      </c>
      <c r="N56" s="19" t="s">
        <v>2744</v>
      </c>
    </row>
    <row r="57" ht="56.25" customHeight="1">
      <c r="A57" s="13" t="s">
        <v>4104</v>
      </c>
      <c r="B57" s="15" t="str">
        <f>IMAGE("https://imgur.com/mZGp723.png") </f>
        <v/>
      </c>
      <c r="C57" s="22" t="str">
        <f>HYPERLINK("https://imgur.com/a/u4csVLG","Yes")</f>
        <v>Yes</v>
      </c>
      <c r="D57" s="25" t="s">
        <v>28</v>
      </c>
      <c r="E57" s="13">
        <v>480.0</v>
      </c>
      <c r="F57" s="13">
        <v>120.0</v>
      </c>
      <c r="G57" s="19">
        <v>5167.0</v>
      </c>
      <c r="H57" s="19" t="s">
        <v>112</v>
      </c>
      <c r="I57" s="19" t="s">
        <v>112</v>
      </c>
      <c r="J57" s="19" t="s">
        <v>38</v>
      </c>
      <c r="K57" s="19" t="s">
        <v>43</v>
      </c>
      <c r="L57" s="19" t="s">
        <v>2749</v>
      </c>
      <c r="M57" s="19" t="s">
        <v>2764</v>
      </c>
      <c r="N57" s="19" t="s">
        <v>2744</v>
      </c>
    </row>
    <row r="58" ht="56.25" customHeight="1">
      <c r="A58" s="13" t="s">
        <v>4106</v>
      </c>
      <c r="B58" s="15" t="str">
        <f>IMAGE("https://imgur.com/C1jxhX0.png") </f>
        <v/>
      </c>
      <c r="C58" s="22" t="str">
        <f>HYPERLINK("https://imgur.com/a/hEJYRSo","Yes")</f>
        <v>Yes</v>
      </c>
      <c r="D58" s="25" t="s">
        <v>28</v>
      </c>
      <c r="E58" s="13">
        <v>450.0</v>
      </c>
      <c r="F58" s="24">
        <v>112.0</v>
      </c>
      <c r="G58" s="19">
        <v>9585.0</v>
      </c>
      <c r="H58" s="19" t="s">
        <v>1614</v>
      </c>
      <c r="I58" s="19" t="s">
        <v>1614</v>
      </c>
      <c r="J58" s="19" t="s">
        <v>38</v>
      </c>
      <c r="K58" s="19" t="s">
        <v>43</v>
      </c>
      <c r="L58" s="19" t="s">
        <v>2749</v>
      </c>
      <c r="M58" s="19" t="s">
        <v>2751</v>
      </c>
      <c r="N58" s="19" t="s">
        <v>2744</v>
      </c>
    </row>
    <row r="59" ht="56.25" customHeight="1">
      <c r="A59" s="13" t="s">
        <v>4108</v>
      </c>
      <c r="B59" s="15" t="str">
        <f>IMAGE("https://imgur.com/Qi6lyMQ.png") </f>
        <v/>
      </c>
      <c r="C59" s="22" t="str">
        <f>HYPERLINK("https://imgur.com/a/h4ipUNE","Yes")</f>
        <v>Yes</v>
      </c>
      <c r="D59" s="25" t="s">
        <v>28</v>
      </c>
      <c r="E59" s="13">
        <v>480.0</v>
      </c>
      <c r="F59" s="13">
        <v>120.0</v>
      </c>
      <c r="G59" s="19">
        <v>6898.0</v>
      </c>
      <c r="H59" s="19" t="s">
        <v>369</v>
      </c>
      <c r="I59" s="19" t="s">
        <v>369</v>
      </c>
      <c r="J59" s="19" t="s">
        <v>38</v>
      </c>
      <c r="K59" s="19" t="s">
        <v>43</v>
      </c>
      <c r="L59" s="19" t="s">
        <v>2749</v>
      </c>
      <c r="M59" s="19" t="s">
        <v>2751</v>
      </c>
      <c r="N59" s="19" t="s">
        <v>2744</v>
      </c>
    </row>
    <row r="60" ht="56.25" customHeight="1">
      <c r="A60" s="13" t="s">
        <v>4110</v>
      </c>
      <c r="B60" s="15" t="str">
        <f>IMAGE("https://imgur.com/1oxGZmH.png") </f>
        <v/>
      </c>
      <c r="C60" s="22" t="str">
        <f>HYPERLINK("https://imgur.com/a/mVN6tS9","Yes")</f>
        <v>Yes</v>
      </c>
      <c r="D60" s="25" t="s">
        <v>28</v>
      </c>
      <c r="E60" s="13">
        <v>720.0</v>
      </c>
      <c r="F60" s="13">
        <v>180.0</v>
      </c>
      <c r="G60" s="19">
        <v>9582.0</v>
      </c>
      <c r="H60" s="19" t="s">
        <v>1614</v>
      </c>
      <c r="I60" s="19" t="s">
        <v>1614</v>
      </c>
      <c r="J60" s="19" t="s">
        <v>38</v>
      </c>
      <c r="K60" s="19" t="s">
        <v>43</v>
      </c>
      <c r="L60" s="19" t="s">
        <v>2749</v>
      </c>
      <c r="M60" s="19" t="s">
        <v>2751</v>
      </c>
      <c r="N60" s="19" t="s">
        <v>2744</v>
      </c>
    </row>
    <row r="61" ht="56.25" customHeight="1">
      <c r="A61" s="13" t="s">
        <v>4112</v>
      </c>
      <c r="B61" s="15" t="str">
        <f>IMAGE("https://imgur.com/6WpMUiB.png") </f>
        <v/>
      </c>
      <c r="C61" s="22" t="str">
        <f>HYPERLINK("https://imgur.com/a/onVQYtR","Yes")</f>
        <v>Yes</v>
      </c>
      <c r="D61" s="25" t="s">
        <v>28</v>
      </c>
      <c r="E61" s="13">
        <v>600.0</v>
      </c>
      <c r="F61" s="13">
        <v>150.0</v>
      </c>
      <c r="G61" s="19">
        <v>5813.0</v>
      </c>
      <c r="H61" s="19" t="s">
        <v>112</v>
      </c>
      <c r="I61" s="19" t="s">
        <v>1614</v>
      </c>
      <c r="J61" s="19" t="s">
        <v>38</v>
      </c>
      <c r="K61" s="19" t="s">
        <v>43</v>
      </c>
      <c r="L61" s="19" t="s">
        <v>4018</v>
      </c>
      <c r="M61" s="19"/>
      <c r="N61" s="19" t="s">
        <v>2756</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14"/>
    <col customWidth="1" min="2" max="2" width="10.86"/>
    <col customWidth="1" min="3" max="3" width="9.71"/>
    <col customWidth="1" min="4" max="4" width="4.29"/>
    <col customWidth="1" min="5" max="5" width="7.14"/>
    <col customWidth="1" min="6" max="6" width="6.14"/>
    <col customWidth="1" min="7" max="7" width="10.57"/>
    <col customWidth="1" min="8" max="9" width="9.43"/>
    <col customWidth="1" min="10" max="10" width="5.14"/>
    <col customWidth="1" min="11" max="11" width="10.57"/>
    <col customWidth="1" min="12" max="12" width="15.29"/>
    <col customWidth="1" min="13" max="13" width="22.14"/>
    <col customWidth="1" min="14" max="14" width="9.14"/>
  </cols>
  <sheetData>
    <row r="1" ht="21.0" customHeight="1">
      <c r="A1" s="68" t="s">
        <v>0</v>
      </c>
      <c r="B1" s="3" t="s">
        <v>1</v>
      </c>
      <c r="C1" s="69" t="s">
        <v>3</v>
      </c>
      <c r="D1" s="55" t="s">
        <v>4</v>
      </c>
      <c r="E1" s="70" t="s">
        <v>6</v>
      </c>
      <c r="F1" s="70" t="s">
        <v>7</v>
      </c>
      <c r="G1" s="7" t="s">
        <v>8</v>
      </c>
      <c r="H1" s="7" t="s">
        <v>1602</v>
      </c>
      <c r="I1" s="7" t="s">
        <v>1603</v>
      </c>
      <c r="J1" s="7" t="s">
        <v>12</v>
      </c>
      <c r="K1" s="7" t="s">
        <v>18</v>
      </c>
      <c r="L1" s="7" t="s">
        <v>19</v>
      </c>
      <c r="M1" s="7" t="s">
        <v>20</v>
      </c>
      <c r="N1" s="7" t="s">
        <v>2739</v>
      </c>
    </row>
    <row r="2" ht="56.25" customHeight="1">
      <c r="A2" s="23" t="s">
        <v>4118</v>
      </c>
      <c r="B2" s="48" t="str">
        <f>IMAGE("https://storage.googleapis.com/acdb/shoes/ShoesKneeAntique0.png")</f>
        <v/>
      </c>
      <c r="C2" s="19" t="s">
        <v>118</v>
      </c>
      <c r="D2" s="25" t="s">
        <v>28</v>
      </c>
      <c r="E2" s="13">
        <v>2640.0</v>
      </c>
      <c r="F2" s="13">
        <v>660.0</v>
      </c>
      <c r="G2" s="19">
        <v>5523.0</v>
      </c>
      <c r="H2" s="19" t="s">
        <v>118</v>
      </c>
      <c r="I2" s="19" t="s">
        <v>118</v>
      </c>
      <c r="J2" s="19" t="s">
        <v>38</v>
      </c>
      <c r="K2" s="19" t="s">
        <v>43</v>
      </c>
      <c r="L2" s="19" t="s">
        <v>2749</v>
      </c>
      <c r="M2" s="19" t="s">
        <v>2764</v>
      </c>
      <c r="N2" s="19" t="s">
        <v>2744</v>
      </c>
    </row>
    <row r="3" ht="56.25" customHeight="1">
      <c r="A3" s="23" t="s">
        <v>4118</v>
      </c>
      <c r="B3" s="48" t="str">
        <f>IMAGE("https://storage.googleapis.com/acdb/shoes/ShoesKneeAntique1.png")</f>
        <v/>
      </c>
      <c r="C3" s="19" t="s">
        <v>99</v>
      </c>
      <c r="D3" s="25" t="s">
        <v>28</v>
      </c>
      <c r="E3" s="13">
        <v>2640.0</v>
      </c>
      <c r="F3" s="13">
        <v>660.0</v>
      </c>
      <c r="G3" s="19">
        <v>5523.0</v>
      </c>
      <c r="H3" s="19"/>
      <c r="I3" s="19"/>
      <c r="J3" s="19" t="s">
        <v>38</v>
      </c>
      <c r="K3" s="19" t="s">
        <v>43</v>
      </c>
      <c r="L3" s="19" t="s">
        <v>2749</v>
      </c>
      <c r="M3" s="19" t="s">
        <v>2764</v>
      </c>
      <c r="N3" s="19" t="s">
        <v>2744</v>
      </c>
    </row>
    <row r="4" ht="56.25" customHeight="1">
      <c r="A4" s="23" t="s">
        <v>4118</v>
      </c>
      <c r="B4" s="48" t="str">
        <f>IMAGE("https://storage.googleapis.com/acdb/shoes/ShoesKneeAntique2.png")</f>
        <v/>
      </c>
      <c r="C4" s="19" t="s">
        <v>4121</v>
      </c>
      <c r="D4" s="25" t="s">
        <v>28</v>
      </c>
      <c r="E4" s="13">
        <v>2640.0</v>
      </c>
      <c r="F4" s="13">
        <v>660.0</v>
      </c>
      <c r="G4" s="19">
        <v>5523.0</v>
      </c>
      <c r="H4" s="19"/>
      <c r="I4" s="19"/>
      <c r="J4" s="19" t="s">
        <v>38</v>
      </c>
      <c r="K4" s="19" t="s">
        <v>43</v>
      </c>
      <c r="L4" s="19" t="s">
        <v>2749</v>
      </c>
      <c r="M4" s="19" t="s">
        <v>2764</v>
      </c>
      <c r="N4" s="19" t="s">
        <v>2744</v>
      </c>
    </row>
    <row r="5" ht="56.25" customHeight="1">
      <c r="A5" s="23" t="s">
        <v>4122</v>
      </c>
      <c r="B5" s="48" t="str">
        <f>IMAGE("https://storage.googleapis.com/acdb/shoes/ShoesKneeKnightIron.png")</f>
        <v/>
      </c>
      <c r="C5" s="19" t="s">
        <v>94</v>
      </c>
      <c r="D5" s="25" t="s">
        <v>50</v>
      </c>
      <c r="E5" s="24" t="s">
        <v>51</v>
      </c>
      <c r="F5" s="13">
        <v>3000.0</v>
      </c>
      <c r="G5" s="19">
        <v>5472.0</v>
      </c>
      <c r="H5" s="19" t="s">
        <v>94</v>
      </c>
      <c r="I5" s="19" t="s">
        <v>94</v>
      </c>
      <c r="J5" s="19" t="s">
        <v>38</v>
      </c>
      <c r="K5" s="19" t="s">
        <v>54</v>
      </c>
      <c r="L5" s="19" t="s">
        <v>55</v>
      </c>
      <c r="M5" s="19"/>
      <c r="N5" s="19" t="s">
        <v>2756</v>
      </c>
    </row>
    <row r="6" ht="56.25" customHeight="1">
      <c r="A6" s="23" t="s">
        <v>4123</v>
      </c>
      <c r="B6" s="48" t="str">
        <f>IMAGE("https://storage.googleapis.com/acdb/shoes/ShoesSandalBaboush0.png")</f>
        <v/>
      </c>
      <c r="C6" s="19" t="s">
        <v>112</v>
      </c>
      <c r="D6" s="25" t="s">
        <v>28</v>
      </c>
      <c r="E6" s="13">
        <v>560.0</v>
      </c>
      <c r="F6" s="13">
        <v>140.0</v>
      </c>
      <c r="G6" s="19">
        <v>6043.0</v>
      </c>
      <c r="H6" s="19" t="s">
        <v>1614</v>
      </c>
      <c r="I6" s="19" t="s">
        <v>82</v>
      </c>
      <c r="J6" s="19" t="s">
        <v>38</v>
      </c>
      <c r="K6" s="19" t="s">
        <v>43</v>
      </c>
      <c r="L6" s="19" t="s">
        <v>4018</v>
      </c>
      <c r="M6" s="19"/>
      <c r="N6" s="19" t="s">
        <v>384</v>
      </c>
    </row>
    <row r="7" ht="56.25" customHeight="1">
      <c r="A7" s="13" t="s">
        <v>4123</v>
      </c>
      <c r="B7" s="48" t="str">
        <f>IMAGE("https://storage.googleapis.com/acdb/shoes/ShoesSandalBaboush1.png")</f>
        <v/>
      </c>
      <c r="C7" s="19" t="s">
        <v>521</v>
      </c>
      <c r="D7" s="25" t="s">
        <v>28</v>
      </c>
      <c r="E7" s="13">
        <v>560.0</v>
      </c>
      <c r="F7" s="13">
        <v>140.0</v>
      </c>
      <c r="G7" s="19">
        <v>6043.0</v>
      </c>
      <c r="H7" s="19"/>
      <c r="I7" s="19"/>
      <c r="J7" s="19" t="s">
        <v>38</v>
      </c>
      <c r="K7" s="19" t="s">
        <v>43</v>
      </c>
      <c r="L7" s="19" t="s">
        <v>4018</v>
      </c>
      <c r="M7" s="19"/>
      <c r="N7" s="19" t="s">
        <v>384</v>
      </c>
    </row>
    <row r="8" ht="56.25" customHeight="1">
      <c r="A8" s="13" t="s">
        <v>4123</v>
      </c>
      <c r="B8" s="48" t="str">
        <f>IMAGE("https://storage.googleapis.com/acdb/shoes/ShoesSandalBaboush2.png")</f>
        <v/>
      </c>
      <c r="C8" s="19" t="s">
        <v>107</v>
      </c>
      <c r="D8" s="25" t="s">
        <v>28</v>
      </c>
      <c r="E8" s="13">
        <v>560.0</v>
      </c>
      <c r="F8" s="13">
        <v>140.0</v>
      </c>
      <c r="G8" s="19">
        <v>6043.0</v>
      </c>
      <c r="H8" s="19"/>
      <c r="I8" s="19"/>
      <c r="J8" s="19" t="s">
        <v>38</v>
      </c>
      <c r="K8" s="19" t="s">
        <v>43</v>
      </c>
      <c r="L8" s="19" t="s">
        <v>4018</v>
      </c>
      <c r="M8" s="19"/>
      <c r="N8" s="19" t="s">
        <v>384</v>
      </c>
    </row>
    <row r="9" ht="56.25" customHeight="1">
      <c r="A9" s="13" t="s">
        <v>4123</v>
      </c>
      <c r="B9" s="48" t="str">
        <f>IMAGE("https://storage.googleapis.com/acdb/shoes/ShoesSandalBaboush3.png")</f>
        <v/>
      </c>
      <c r="C9" s="19" t="s">
        <v>211</v>
      </c>
      <c r="D9" s="25" t="s">
        <v>28</v>
      </c>
      <c r="E9" s="13">
        <v>560.0</v>
      </c>
      <c r="F9" s="13">
        <v>140.0</v>
      </c>
      <c r="G9" s="19">
        <v>6043.0</v>
      </c>
      <c r="H9" s="19"/>
      <c r="I9" s="19"/>
      <c r="J9" s="19" t="s">
        <v>38</v>
      </c>
      <c r="K9" s="19" t="s">
        <v>43</v>
      </c>
      <c r="L9" s="19" t="s">
        <v>4018</v>
      </c>
      <c r="M9" s="19"/>
      <c r="N9" s="19" t="s">
        <v>384</v>
      </c>
    </row>
    <row r="10" ht="56.25" customHeight="1">
      <c r="A10" s="13" t="s">
        <v>4123</v>
      </c>
      <c r="B10" s="48" t="str">
        <f>IMAGE("https://storage.googleapis.com/acdb/shoes/ShoesSandalBaboush4.png")</f>
        <v/>
      </c>
      <c r="C10" s="19" t="s">
        <v>94</v>
      </c>
      <c r="D10" s="25" t="s">
        <v>28</v>
      </c>
      <c r="E10" s="13">
        <v>560.0</v>
      </c>
      <c r="F10" s="13">
        <v>140.0</v>
      </c>
      <c r="G10" s="19">
        <v>6043.0</v>
      </c>
      <c r="H10" s="19"/>
      <c r="I10" s="19"/>
      <c r="J10" s="19" t="s">
        <v>38</v>
      </c>
      <c r="K10" s="19" t="s">
        <v>43</v>
      </c>
      <c r="L10" s="19" t="s">
        <v>4018</v>
      </c>
      <c r="M10" s="19"/>
      <c r="N10" s="19" t="s">
        <v>384</v>
      </c>
    </row>
    <row r="11" ht="56.25" customHeight="1">
      <c r="A11" s="13" t="s">
        <v>4123</v>
      </c>
      <c r="B11" s="48" t="str">
        <f>IMAGE("https://storage.googleapis.com/acdb/shoes/ShoesSandalBaboush5.png")</f>
        <v/>
      </c>
      <c r="C11" s="19" t="s">
        <v>464</v>
      </c>
      <c r="D11" s="25" t="s">
        <v>28</v>
      </c>
      <c r="E11" s="13">
        <v>560.0</v>
      </c>
      <c r="F11" s="13">
        <v>140.0</v>
      </c>
      <c r="G11" s="19">
        <v>6043.0</v>
      </c>
      <c r="H11" s="19"/>
      <c r="I11" s="19"/>
      <c r="J11" s="19" t="s">
        <v>38</v>
      </c>
      <c r="K11" s="19" t="s">
        <v>43</v>
      </c>
      <c r="L11" s="19" t="s">
        <v>4018</v>
      </c>
      <c r="M11" s="19"/>
      <c r="N11" s="19" t="s">
        <v>384</v>
      </c>
    </row>
    <row r="12" ht="56.25" customHeight="1">
      <c r="A12" s="13" t="s">
        <v>4123</v>
      </c>
      <c r="B12" s="48" t="str">
        <f>IMAGE("https://storage.googleapis.com/acdb/shoes/ShoesSandalBaboush6.png")</f>
        <v/>
      </c>
      <c r="C12" s="19" t="s">
        <v>4128</v>
      </c>
      <c r="D12" s="25" t="s">
        <v>28</v>
      </c>
      <c r="E12" s="13">
        <v>560.0</v>
      </c>
      <c r="F12" s="13">
        <v>140.0</v>
      </c>
      <c r="G12" s="19">
        <v>6043.0</v>
      </c>
      <c r="H12" s="19"/>
      <c r="I12" s="19"/>
      <c r="J12" s="19" t="s">
        <v>38</v>
      </c>
      <c r="K12" s="19" t="s">
        <v>43</v>
      </c>
      <c r="L12" s="19" t="s">
        <v>4018</v>
      </c>
      <c r="M12" s="19"/>
      <c r="N12" s="19" t="s">
        <v>384</v>
      </c>
    </row>
    <row r="13" ht="56.25" customHeight="1">
      <c r="A13" s="13" t="s">
        <v>4123</v>
      </c>
      <c r="B13" s="48" t="str">
        <f>IMAGE("https://storage.googleapis.com/acdb/shoes/ShoesSandalBaboush7.png")</f>
        <v/>
      </c>
      <c r="C13" s="19" t="s">
        <v>208</v>
      </c>
      <c r="D13" s="25" t="s">
        <v>28</v>
      </c>
      <c r="E13" s="13">
        <v>560.0</v>
      </c>
      <c r="F13" s="13">
        <v>140.0</v>
      </c>
      <c r="G13" s="19">
        <v>6043.0</v>
      </c>
      <c r="H13" s="19"/>
      <c r="I13" s="19"/>
      <c r="J13" s="19" t="s">
        <v>38</v>
      </c>
      <c r="K13" s="19" t="s">
        <v>43</v>
      </c>
      <c r="L13" s="19" t="s">
        <v>4018</v>
      </c>
      <c r="M13" s="19"/>
      <c r="N13" s="19" t="s">
        <v>384</v>
      </c>
    </row>
    <row r="14" ht="56.25" customHeight="1">
      <c r="A14" s="23" t="s">
        <v>4131</v>
      </c>
      <c r="B14" s="48" t="str">
        <f>IMAGE("https://storage.googleapis.com/acdb/shoes/ShoesLowcutBallet0.png")</f>
        <v/>
      </c>
      <c r="C14" s="19" t="s">
        <v>107</v>
      </c>
      <c r="D14" s="25" t="s">
        <v>28</v>
      </c>
      <c r="E14" s="13">
        <v>2200.0</v>
      </c>
      <c r="F14" s="13">
        <v>550.0</v>
      </c>
      <c r="G14" s="19">
        <v>5608.0</v>
      </c>
      <c r="H14" s="19" t="s">
        <v>107</v>
      </c>
      <c r="I14" s="19" t="s">
        <v>107</v>
      </c>
      <c r="J14" s="19" t="s">
        <v>38</v>
      </c>
      <c r="K14" s="19" t="s">
        <v>43</v>
      </c>
      <c r="L14" s="19" t="s">
        <v>4018</v>
      </c>
      <c r="M14" s="19"/>
      <c r="N14" s="19" t="s">
        <v>2863</v>
      </c>
    </row>
    <row r="15" ht="56.25" customHeight="1">
      <c r="A15" s="13" t="s">
        <v>4131</v>
      </c>
      <c r="B15" s="48" t="str">
        <f>IMAGE("https://storage.googleapis.com/acdb/shoes/ShoesLowcutBallet1.png")</f>
        <v/>
      </c>
      <c r="C15" s="19" t="s">
        <v>4128</v>
      </c>
      <c r="D15" s="25" t="s">
        <v>28</v>
      </c>
      <c r="E15" s="13">
        <v>2200.0</v>
      </c>
      <c r="F15" s="13">
        <v>550.0</v>
      </c>
      <c r="G15" s="19">
        <v>5608.0</v>
      </c>
      <c r="H15" s="19"/>
      <c r="I15" s="19"/>
      <c r="J15" s="19" t="s">
        <v>38</v>
      </c>
      <c r="K15" s="19" t="s">
        <v>43</v>
      </c>
      <c r="L15" s="19" t="s">
        <v>4018</v>
      </c>
      <c r="M15" s="19"/>
      <c r="N15" s="19" t="s">
        <v>2863</v>
      </c>
    </row>
    <row r="16" ht="56.25" customHeight="1">
      <c r="A16" s="13" t="s">
        <v>4131</v>
      </c>
      <c r="B16" s="48" t="str">
        <f>IMAGE("https://storage.googleapis.com/acdb/shoes/ShoesLowcutBallet2.png")</f>
        <v/>
      </c>
      <c r="C16" s="19" t="s">
        <v>112</v>
      </c>
      <c r="D16" s="25" t="s">
        <v>28</v>
      </c>
      <c r="E16" s="13">
        <v>2200.0</v>
      </c>
      <c r="F16" s="13">
        <v>550.0</v>
      </c>
      <c r="G16" s="19">
        <v>5608.0</v>
      </c>
      <c r="H16" s="19"/>
      <c r="I16" s="19"/>
      <c r="J16" s="19" t="s">
        <v>38</v>
      </c>
      <c r="K16" s="19" t="s">
        <v>43</v>
      </c>
      <c r="L16" s="19" t="s">
        <v>4018</v>
      </c>
      <c r="M16" s="19"/>
      <c r="N16" s="19" t="s">
        <v>2863</v>
      </c>
    </row>
    <row r="17" ht="56.25" customHeight="1">
      <c r="A17" s="13" t="s">
        <v>4131</v>
      </c>
      <c r="B17" s="48" t="str">
        <f>IMAGE("https://storage.googleapis.com/acdb/shoes/ShoesLowcutBallet3.png")</f>
        <v/>
      </c>
      <c r="C17" s="19" t="s">
        <v>464</v>
      </c>
      <c r="D17" s="25" t="s">
        <v>28</v>
      </c>
      <c r="E17" s="13">
        <v>2200.0</v>
      </c>
      <c r="F17" s="13">
        <v>550.0</v>
      </c>
      <c r="G17" s="19">
        <v>5608.0</v>
      </c>
      <c r="H17" s="19"/>
      <c r="I17" s="19"/>
      <c r="J17" s="19" t="s">
        <v>38</v>
      </c>
      <c r="K17" s="19" t="s">
        <v>43</v>
      </c>
      <c r="L17" s="19" t="s">
        <v>4018</v>
      </c>
      <c r="M17" s="19"/>
      <c r="N17" s="19" t="s">
        <v>2863</v>
      </c>
    </row>
    <row r="18" ht="56.25" customHeight="1">
      <c r="A18" s="13" t="s">
        <v>4131</v>
      </c>
      <c r="B18" s="48" t="str">
        <f>IMAGE("https://storage.googleapis.com/acdb/shoes/ShoesLowcutBallet4.png")</f>
        <v/>
      </c>
      <c r="C18" s="19" t="s">
        <v>99</v>
      </c>
      <c r="D18" s="25" t="s">
        <v>28</v>
      </c>
      <c r="E18" s="13">
        <v>2200.0</v>
      </c>
      <c r="F18" s="13">
        <v>550.0</v>
      </c>
      <c r="G18" s="19">
        <v>5608.0</v>
      </c>
      <c r="H18" s="19"/>
      <c r="I18" s="19"/>
      <c r="J18" s="19" t="s">
        <v>38</v>
      </c>
      <c r="K18" s="19" t="s">
        <v>43</v>
      </c>
      <c r="L18" s="19" t="s">
        <v>4018</v>
      </c>
      <c r="M18" s="19"/>
      <c r="N18" s="19" t="s">
        <v>2863</v>
      </c>
    </row>
    <row r="19" ht="56.25" customHeight="1">
      <c r="A19" s="13" t="s">
        <v>4131</v>
      </c>
      <c r="B19" s="48" t="str">
        <f>IMAGE("https://storage.googleapis.com/acdb/shoes/ShoesLowcutBallet5.png")</f>
        <v/>
      </c>
      <c r="C19" s="19" t="s">
        <v>82</v>
      </c>
      <c r="D19" s="25" t="s">
        <v>28</v>
      </c>
      <c r="E19" s="13">
        <v>2200.0</v>
      </c>
      <c r="F19" s="13">
        <v>550.0</v>
      </c>
      <c r="G19" s="19">
        <v>5608.0</v>
      </c>
      <c r="H19" s="19"/>
      <c r="I19" s="19"/>
      <c r="J19" s="19" t="s">
        <v>38</v>
      </c>
      <c r="K19" s="19" t="s">
        <v>43</v>
      </c>
      <c r="L19" s="19" t="s">
        <v>4018</v>
      </c>
      <c r="M19" s="19"/>
      <c r="N19" s="19" t="s">
        <v>2863</v>
      </c>
    </row>
    <row r="20" ht="56.25" customHeight="1">
      <c r="A20" s="13" t="s">
        <v>4131</v>
      </c>
      <c r="B20" s="48" t="str">
        <f>IMAGE("https://storage.googleapis.com/acdb/shoes/ShoesLowcutBallet6.png")</f>
        <v/>
      </c>
      <c r="C20" s="19" t="s">
        <v>211</v>
      </c>
      <c r="D20" s="25" t="s">
        <v>28</v>
      </c>
      <c r="E20" s="13">
        <v>2200.0</v>
      </c>
      <c r="F20" s="13">
        <v>550.0</v>
      </c>
      <c r="G20" s="19">
        <v>5608.0</v>
      </c>
      <c r="H20" s="19"/>
      <c r="I20" s="19"/>
      <c r="J20" s="19" t="s">
        <v>38</v>
      </c>
      <c r="K20" s="19" t="s">
        <v>43</v>
      </c>
      <c r="L20" s="19" t="s">
        <v>4018</v>
      </c>
      <c r="M20" s="19"/>
      <c r="N20" s="19" t="s">
        <v>2863</v>
      </c>
    </row>
    <row r="21" ht="56.25" customHeight="1">
      <c r="A21" s="13" t="s">
        <v>4131</v>
      </c>
      <c r="B21" s="48" t="str">
        <f>IMAGE("https://storage.googleapis.com/acdb/shoes/ShoesLowcutBallet7.png")</f>
        <v/>
      </c>
      <c r="C21" s="19" t="s">
        <v>208</v>
      </c>
      <c r="D21" s="25" t="s">
        <v>28</v>
      </c>
      <c r="E21" s="13">
        <v>2200.0</v>
      </c>
      <c r="F21" s="13">
        <v>550.0</v>
      </c>
      <c r="G21" s="19">
        <v>5608.0</v>
      </c>
      <c r="H21" s="19"/>
      <c r="I21" s="19"/>
      <c r="J21" s="19" t="s">
        <v>38</v>
      </c>
      <c r="K21" s="19" t="s">
        <v>43</v>
      </c>
      <c r="L21" s="19" t="s">
        <v>4018</v>
      </c>
      <c r="M21" s="19"/>
      <c r="N21" s="19" t="s">
        <v>2863</v>
      </c>
    </row>
    <row r="22" ht="56.25" customHeight="1">
      <c r="A22" s="23" t="s">
        <v>4138</v>
      </c>
      <c r="B22" s="48" t="str">
        <f>IMAGE("https://storage.googleapis.com/acdb/shoes/ShoesHighcutBasket0.png")</f>
        <v/>
      </c>
      <c r="C22" s="19" t="s">
        <v>208</v>
      </c>
      <c r="D22" s="25" t="s">
        <v>28</v>
      </c>
      <c r="E22" s="13">
        <v>1500.0</v>
      </c>
      <c r="F22" s="13">
        <v>375.0</v>
      </c>
      <c r="G22" s="19">
        <v>5638.0</v>
      </c>
      <c r="H22" s="19" t="s">
        <v>208</v>
      </c>
      <c r="I22" s="19" t="s">
        <v>99</v>
      </c>
      <c r="J22" s="19" t="s">
        <v>38</v>
      </c>
      <c r="K22" s="19" t="s">
        <v>43</v>
      </c>
      <c r="L22" s="19" t="s">
        <v>2749</v>
      </c>
      <c r="M22" s="19" t="s">
        <v>2764</v>
      </c>
      <c r="N22" s="19" t="s">
        <v>2793</v>
      </c>
    </row>
    <row r="23" ht="56.25" customHeight="1">
      <c r="A23" s="13" t="s">
        <v>4138</v>
      </c>
      <c r="B23" s="48" t="str">
        <f>IMAGE("https://storage.googleapis.com/acdb/shoes/ShoesHighcutBasket1.png")</f>
        <v/>
      </c>
      <c r="C23" s="19" t="s">
        <v>369</v>
      </c>
      <c r="D23" s="25" t="s">
        <v>28</v>
      </c>
      <c r="E23" s="13">
        <v>1500.0</v>
      </c>
      <c r="F23" s="13">
        <v>375.0</v>
      </c>
      <c r="G23" s="19">
        <v>5638.0</v>
      </c>
      <c r="H23" s="19"/>
      <c r="I23" s="19"/>
      <c r="J23" s="19" t="s">
        <v>38</v>
      </c>
      <c r="K23" s="19" t="s">
        <v>43</v>
      </c>
      <c r="L23" s="19" t="s">
        <v>2749</v>
      </c>
      <c r="M23" s="19" t="s">
        <v>2764</v>
      </c>
      <c r="N23" s="19" t="s">
        <v>2793</v>
      </c>
    </row>
    <row r="24" ht="56.25" customHeight="1">
      <c r="A24" s="13" t="s">
        <v>4138</v>
      </c>
      <c r="B24" s="48" t="str">
        <f>IMAGE("https://storage.googleapis.com/acdb/shoes/ShoesHighcutBasket2.png")</f>
        <v/>
      </c>
      <c r="C24" s="19" t="s">
        <v>1608</v>
      </c>
      <c r="D24" s="25" t="s">
        <v>28</v>
      </c>
      <c r="E24" s="13">
        <v>1500.0</v>
      </c>
      <c r="F24" s="13">
        <v>375.0</v>
      </c>
      <c r="G24" s="19">
        <v>5638.0</v>
      </c>
      <c r="H24" s="19"/>
      <c r="I24" s="19"/>
      <c r="J24" s="19" t="s">
        <v>38</v>
      </c>
      <c r="K24" s="19" t="s">
        <v>43</v>
      </c>
      <c r="L24" s="19" t="s">
        <v>2749</v>
      </c>
      <c r="M24" s="19" t="s">
        <v>2764</v>
      </c>
      <c r="N24" s="19" t="s">
        <v>2793</v>
      </c>
    </row>
    <row r="25" ht="56.25" customHeight="1">
      <c r="A25" s="13" t="s">
        <v>4138</v>
      </c>
      <c r="B25" s="48" t="str">
        <f>IMAGE("https://storage.googleapis.com/acdb/shoes/ShoesHighcutBasket3.png")</f>
        <v/>
      </c>
      <c r="C25" s="19" t="s">
        <v>521</v>
      </c>
      <c r="D25" s="25" t="s">
        <v>28</v>
      </c>
      <c r="E25" s="13">
        <v>1500.0</v>
      </c>
      <c r="F25" s="13">
        <v>375.0</v>
      </c>
      <c r="G25" s="19">
        <v>5638.0</v>
      </c>
      <c r="H25" s="19"/>
      <c r="I25" s="19"/>
      <c r="J25" s="19" t="s">
        <v>38</v>
      </c>
      <c r="K25" s="19" t="s">
        <v>43</v>
      </c>
      <c r="L25" s="19" t="s">
        <v>2749</v>
      </c>
      <c r="M25" s="19" t="s">
        <v>2764</v>
      </c>
      <c r="N25" s="19" t="s">
        <v>2793</v>
      </c>
    </row>
    <row r="26" ht="56.25" customHeight="1">
      <c r="A26" s="13" t="s">
        <v>4138</v>
      </c>
      <c r="B26" s="48" t="str">
        <f>IMAGE("https://storage.googleapis.com/acdb/shoes/ShoesHighcutBasket4.png")</f>
        <v/>
      </c>
      <c r="C26" s="19" t="s">
        <v>112</v>
      </c>
      <c r="D26" s="25" t="s">
        <v>28</v>
      </c>
      <c r="E26" s="13">
        <v>1500.0</v>
      </c>
      <c r="F26" s="13">
        <v>375.0</v>
      </c>
      <c r="G26" s="19">
        <v>5638.0</v>
      </c>
      <c r="H26" s="19"/>
      <c r="I26" s="19"/>
      <c r="J26" s="19" t="s">
        <v>38</v>
      </c>
      <c r="K26" s="19" t="s">
        <v>43</v>
      </c>
      <c r="L26" s="19" t="s">
        <v>2749</v>
      </c>
      <c r="M26" s="19" t="s">
        <v>2764</v>
      </c>
      <c r="N26" s="19" t="s">
        <v>2793</v>
      </c>
    </row>
    <row r="27" ht="56.25" customHeight="1">
      <c r="A27" s="13" t="s">
        <v>4138</v>
      </c>
      <c r="B27" s="48" t="str">
        <f>IMAGE("https://storage.googleapis.com/acdb/shoes/ShoesHighcutBasket5.png")</f>
        <v/>
      </c>
      <c r="C27" s="19" t="s">
        <v>464</v>
      </c>
      <c r="D27" s="25" t="s">
        <v>28</v>
      </c>
      <c r="E27" s="13">
        <v>1500.0</v>
      </c>
      <c r="F27" s="13">
        <v>375.0</v>
      </c>
      <c r="G27" s="19">
        <v>5638.0</v>
      </c>
      <c r="H27" s="19"/>
      <c r="I27" s="19"/>
      <c r="J27" s="19" t="s">
        <v>38</v>
      </c>
      <c r="K27" s="19" t="s">
        <v>43</v>
      </c>
      <c r="L27" s="19" t="s">
        <v>2749</v>
      </c>
      <c r="M27" s="19" t="s">
        <v>2764</v>
      </c>
      <c r="N27" s="19" t="s">
        <v>2793</v>
      </c>
    </row>
    <row r="28" ht="56.25" customHeight="1">
      <c r="A28" s="13" t="s">
        <v>4138</v>
      </c>
      <c r="B28" s="48" t="str">
        <f>IMAGE("https://storage.googleapis.com/acdb/shoes/ShoesHighcutBasket6.png")</f>
        <v/>
      </c>
      <c r="C28" s="19" t="s">
        <v>515</v>
      </c>
      <c r="D28" s="25" t="s">
        <v>28</v>
      </c>
      <c r="E28" s="13">
        <v>1500.0</v>
      </c>
      <c r="F28" s="13">
        <v>375.0</v>
      </c>
      <c r="G28" s="19">
        <v>5638.0</v>
      </c>
      <c r="H28" s="19"/>
      <c r="I28" s="19"/>
      <c r="J28" s="19" t="s">
        <v>38</v>
      </c>
      <c r="K28" s="19" t="s">
        <v>43</v>
      </c>
      <c r="L28" s="19" t="s">
        <v>2749</v>
      </c>
      <c r="M28" s="19" t="s">
        <v>2764</v>
      </c>
      <c r="N28" s="19" t="s">
        <v>2793</v>
      </c>
    </row>
    <row r="29" ht="56.25" customHeight="1">
      <c r="A29" s="13" t="s">
        <v>4138</v>
      </c>
      <c r="B29" s="48" t="str">
        <f>IMAGE("https://storage.googleapis.com/acdb/shoes/ShoesHighcutBasket7.png")</f>
        <v/>
      </c>
      <c r="C29" s="19" t="s">
        <v>107</v>
      </c>
      <c r="D29" s="25" t="s">
        <v>28</v>
      </c>
      <c r="E29" s="13">
        <v>1500.0</v>
      </c>
      <c r="F29" s="13">
        <v>375.0</v>
      </c>
      <c r="G29" s="19">
        <v>5638.0</v>
      </c>
      <c r="H29" s="19"/>
      <c r="I29" s="19"/>
      <c r="J29" s="19" t="s">
        <v>38</v>
      </c>
      <c r="K29" s="19" t="s">
        <v>43</v>
      </c>
      <c r="L29" s="19" t="s">
        <v>2749</v>
      </c>
      <c r="M29" s="19" t="s">
        <v>2764</v>
      </c>
      <c r="N29" s="19" t="s">
        <v>2793</v>
      </c>
    </row>
    <row r="30" ht="56.25" customHeight="1">
      <c r="A30" s="23" t="s">
        <v>4144</v>
      </c>
      <c r="B30" s="48" t="str">
        <f>IMAGE("https://storage.googleapis.com/acdb/shoes/ShoesSandalBeads0.png")</f>
        <v/>
      </c>
      <c r="C30" s="19" t="s">
        <v>521</v>
      </c>
      <c r="D30" s="25" t="s">
        <v>28</v>
      </c>
      <c r="E30" s="13">
        <v>1800.0</v>
      </c>
      <c r="F30" s="13">
        <v>450.0</v>
      </c>
      <c r="G30" s="19">
        <v>5478.0</v>
      </c>
      <c r="H30" s="19" t="s">
        <v>521</v>
      </c>
      <c r="I30" s="19" t="s">
        <v>258</v>
      </c>
      <c r="J30" s="19" t="s">
        <v>38</v>
      </c>
      <c r="K30" s="19" t="s">
        <v>43</v>
      </c>
      <c r="L30" s="19" t="s">
        <v>2749</v>
      </c>
      <c r="M30" s="19" t="s">
        <v>2764</v>
      </c>
      <c r="N30" s="19" t="s">
        <v>852</v>
      </c>
    </row>
    <row r="31" ht="56.25" customHeight="1">
      <c r="A31" s="13" t="s">
        <v>4144</v>
      </c>
      <c r="B31" s="48" t="str">
        <f>IMAGE("https://storage.googleapis.com/acdb/shoes/ShoesSandalBeads1.png")</f>
        <v/>
      </c>
      <c r="C31" s="19" t="s">
        <v>464</v>
      </c>
      <c r="D31" s="25" t="s">
        <v>28</v>
      </c>
      <c r="E31" s="13">
        <v>1800.0</v>
      </c>
      <c r="F31" s="13">
        <v>450.0</v>
      </c>
      <c r="G31" s="19">
        <v>5478.0</v>
      </c>
      <c r="H31" s="19"/>
      <c r="I31" s="19"/>
      <c r="J31" s="19" t="s">
        <v>38</v>
      </c>
      <c r="K31" s="19" t="s">
        <v>43</v>
      </c>
      <c r="L31" s="19" t="s">
        <v>2749</v>
      </c>
      <c r="M31" s="19" t="s">
        <v>2764</v>
      </c>
      <c r="N31" s="19" t="s">
        <v>852</v>
      </c>
    </row>
    <row r="32" ht="56.25" customHeight="1">
      <c r="A32" s="13" t="s">
        <v>4144</v>
      </c>
      <c r="B32" s="48" t="str">
        <f>IMAGE("https://storage.googleapis.com/acdb/shoes/ShoesSandalBeads2.png")</f>
        <v/>
      </c>
      <c r="C32" s="19" t="s">
        <v>211</v>
      </c>
      <c r="D32" s="25" t="s">
        <v>28</v>
      </c>
      <c r="E32" s="13">
        <v>1800.0</v>
      </c>
      <c r="F32" s="13">
        <v>450.0</v>
      </c>
      <c r="G32" s="19">
        <v>5478.0</v>
      </c>
      <c r="H32" s="19"/>
      <c r="I32" s="19"/>
      <c r="J32" s="19" t="s">
        <v>38</v>
      </c>
      <c r="K32" s="19" t="s">
        <v>43</v>
      </c>
      <c r="L32" s="19" t="s">
        <v>2749</v>
      </c>
      <c r="M32" s="19" t="s">
        <v>2764</v>
      </c>
      <c r="N32" s="19" t="s">
        <v>852</v>
      </c>
    </row>
    <row r="33" ht="56.25" customHeight="1">
      <c r="A33" s="13" t="s">
        <v>4144</v>
      </c>
      <c r="B33" s="48" t="str">
        <f>IMAGE("https://storage.googleapis.com/acdb/shoes/ShoesSandalBeads3.png")</f>
        <v/>
      </c>
      <c r="C33" s="19" t="s">
        <v>208</v>
      </c>
      <c r="D33" s="25" t="s">
        <v>28</v>
      </c>
      <c r="E33" s="13">
        <v>1800.0</v>
      </c>
      <c r="F33" s="13">
        <v>450.0</v>
      </c>
      <c r="G33" s="19">
        <v>5478.0</v>
      </c>
      <c r="H33" s="19"/>
      <c r="I33" s="19"/>
      <c r="J33" s="19" t="s">
        <v>38</v>
      </c>
      <c r="K33" s="19" t="s">
        <v>43</v>
      </c>
      <c r="L33" s="19" t="s">
        <v>2749</v>
      </c>
      <c r="M33" s="19" t="s">
        <v>2764</v>
      </c>
      <c r="N33" s="19" t="s">
        <v>852</v>
      </c>
    </row>
    <row r="34" ht="56.25" customHeight="1">
      <c r="A34" s="13" t="s">
        <v>4144</v>
      </c>
      <c r="B34" s="48" t="str">
        <f>IMAGE("https://storage.googleapis.com/acdb/shoes/ShoesSandalBeads4.png")</f>
        <v/>
      </c>
      <c r="C34" s="19" t="s">
        <v>369</v>
      </c>
      <c r="D34" s="25" t="s">
        <v>28</v>
      </c>
      <c r="E34" s="13">
        <v>1800.0</v>
      </c>
      <c r="F34" s="13">
        <v>450.0</v>
      </c>
      <c r="G34" s="19">
        <v>5478.0</v>
      </c>
      <c r="H34" s="19"/>
      <c r="I34" s="19"/>
      <c r="J34" s="19" t="s">
        <v>38</v>
      </c>
      <c r="K34" s="19" t="s">
        <v>43</v>
      </c>
      <c r="L34" s="19" t="s">
        <v>2749</v>
      </c>
      <c r="M34" s="19" t="s">
        <v>2764</v>
      </c>
      <c r="N34" s="19" t="s">
        <v>852</v>
      </c>
    </row>
    <row r="35" ht="56.25" customHeight="1">
      <c r="A35" s="13" t="s">
        <v>4144</v>
      </c>
      <c r="B35" s="48" t="str">
        <f>IMAGE("https://storage.googleapis.com/acdb/shoes/ShoesSandalBeads5.png")</f>
        <v/>
      </c>
      <c r="C35" s="19" t="s">
        <v>1608</v>
      </c>
      <c r="D35" s="25" t="s">
        <v>28</v>
      </c>
      <c r="E35" s="13">
        <v>1800.0</v>
      </c>
      <c r="F35" s="13">
        <v>450.0</v>
      </c>
      <c r="G35" s="19">
        <v>5478.0</v>
      </c>
      <c r="H35" s="19"/>
      <c r="I35" s="19"/>
      <c r="J35" s="19" t="s">
        <v>38</v>
      </c>
      <c r="K35" s="19" t="s">
        <v>43</v>
      </c>
      <c r="L35" s="19" t="s">
        <v>2749</v>
      </c>
      <c r="M35" s="19" t="s">
        <v>2764</v>
      </c>
      <c r="N35" s="19" t="s">
        <v>852</v>
      </c>
    </row>
    <row r="36" ht="56.25" customHeight="1">
      <c r="A36" s="23" t="s">
        <v>4148</v>
      </c>
      <c r="B36" s="48" t="str">
        <f>IMAGE("https://storage.googleapis.com/acdb/shoes/ShoesKneeRubberboots0.png")</f>
        <v/>
      </c>
      <c r="C36" s="19" t="s">
        <v>369</v>
      </c>
      <c r="D36" s="25" t="s">
        <v>28</v>
      </c>
      <c r="E36" s="13">
        <v>560.0</v>
      </c>
      <c r="F36" s="13">
        <v>140.0</v>
      </c>
      <c r="G36" s="19">
        <v>5479.0</v>
      </c>
      <c r="H36" s="19" t="s">
        <v>369</v>
      </c>
      <c r="I36" s="19" t="s">
        <v>99</v>
      </c>
      <c r="J36" s="19" t="s">
        <v>38</v>
      </c>
      <c r="K36" s="19" t="s">
        <v>43</v>
      </c>
      <c r="L36" s="19" t="s">
        <v>2749</v>
      </c>
      <c r="M36" s="19" t="s">
        <v>2764</v>
      </c>
      <c r="N36" s="19" t="s">
        <v>2744</v>
      </c>
    </row>
    <row r="37" ht="56.25" customHeight="1">
      <c r="A37" s="13" t="s">
        <v>4148</v>
      </c>
      <c r="B37" s="48" t="str">
        <f>IMAGE("https://storage.googleapis.com/acdb/shoes/ShoesKneeRubberboots1.png")</f>
        <v/>
      </c>
      <c r="C37" s="19" t="s">
        <v>99</v>
      </c>
      <c r="D37" s="25" t="s">
        <v>28</v>
      </c>
      <c r="E37" s="13">
        <v>560.0</v>
      </c>
      <c r="F37" s="13">
        <v>140.0</v>
      </c>
      <c r="G37" s="19">
        <v>5479.0</v>
      </c>
      <c r="H37" s="19"/>
      <c r="I37" s="19"/>
      <c r="J37" s="19" t="s">
        <v>38</v>
      </c>
      <c r="K37" s="19" t="s">
        <v>43</v>
      </c>
      <c r="L37" s="19" t="s">
        <v>2749</v>
      </c>
      <c r="M37" s="19" t="s">
        <v>2764</v>
      </c>
      <c r="N37" s="19" t="s">
        <v>2744</v>
      </c>
    </row>
    <row r="38" ht="56.25" customHeight="1">
      <c r="A38" s="13" t="s">
        <v>4148</v>
      </c>
      <c r="B38" s="48" t="str">
        <f>IMAGE("https://storage.googleapis.com/acdb/shoes/ShoesKneeRubberboots2.png")</f>
        <v/>
      </c>
      <c r="C38" s="19" t="s">
        <v>112</v>
      </c>
      <c r="D38" s="25" t="s">
        <v>28</v>
      </c>
      <c r="E38" s="13">
        <v>560.0</v>
      </c>
      <c r="F38" s="13">
        <v>140.0</v>
      </c>
      <c r="G38" s="19">
        <v>5479.0</v>
      </c>
      <c r="H38" s="19"/>
      <c r="I38" s="19"/>
      <c r="J38" s="19" t="s">
        <v>38</v>
      </c>
      <c r="K38" s="19" t="s">
        <v>43</v>
      </c>
      <c r="L38" s="19" t="s">
        <v>2749</v>
      </c>
      <c r="M38" s="19" t="s">
        <v>2764</v>
      </c>
      <c r="N38" s="19" t="s">
        <v>2744</v>
      </c>
    </row>
    <row r="39" ht="56.25" customHeight="1">
      <c r="A39" s="13" t="s">
        <v>4148</v>
      </c>
      <c r="B39" s="48" t="str">
        <f>IMAGE("https://storage.googleapis.com/acdb/shoes/ShoesKneeRubberboots3.png")</f>
        <v/>
      </c>
      <c r="C39" s="19" t="s">
        <v>208</v>
      </c>
      <c r="D39" s="25" t="s">
        <v>28</v>
      </c>
      <c r="E39" s="13">
        <v>560.0</v>
      </c>
      <c r="F39" s="13">
        <v>140.0</v>
      </c>
      <c r="G39" s="19">
        <v>5479.0</v>
      </c>
      <c r="H39" s="19"/>
      <c r="I39" s="19"/>
      <c r="J39" s="19" t="s">
        <v>38</v>
      </c>
      <c r="K39" s="19" t="s">
        <v>43</v>
      </c>
      <c r="L39" s="19" t="s">
        <v>2749</v>
      </c>
      <c r="M39" s="19" t="s">
        <v>2764</v>
      </c>
      <c r="N39" s="19" t="s">
        <v>2744</v>
      </c>
    </row>
    <row r="40" ht="56.25" customHeight="1">
      <c r="A40" s="13" t="s">
        <v>4148</v>
      </c>
      <c r="B40" s="48" t="str">
        <f>IMAGE("https://storage.googleapis.com/acdb/shoes/ShoesKneeRubberboots4.png")</f>
        <v/>
      </c>
      <c r="C40" s="19" t="s">
        <v>4152</v>
      </c>
      <c r="D40" s="25" t="s">
        <v>28</v>
      </c>
      <c r="E40" s="13">
        <v>560.0</v>
      </c>
      <c r="F40" s="13">
        <v>140.0</v>
      </c>
      <c r="G40" s="19">
        <v>5479.0</v>
      </c>
      <c r="H40" s="19"/>
      <c r="I40" s="19"/>
      <c r="J40" s="19" t="s">
        <v>38</v>
      </c>
      <c r="K40" s="19" t="s">
        <v>43</v>
      </c>
      <c r="L40" s="19" t="s">
        <v>2749</v>
      </c>
      <c r="M40" s="19" t="s">
        <v>2764</v>
      </c>
      <c r="N40" s="19" t="s">
        <v>2744</v>
      </c>
    </row>
    <row r="41" ht="56.25" customHeight="1">
      <c r="A41" s="23" t="s">
        <v>4153</v>
      </c>
      <c r="B41" s="48" t="str">
        <f>IMAGE("https://storage.googleapis.com/acdb/shoes/ShoesLowcutBusiness0.png")</f>
        <v/>
      </c>
      <c r="C41" s="19" t="s">
        <v>99</v>
      </c>
      <c r="D41" s="25" t="s">
        <v>28</v>
      </c>
      <c r="E41" s="13">
        <v>1300.0</v>
      </c>
      <c r="F41" s="13">
        <v>325.0</v>
      </c>
      <c r="G41" s="19">
        <v>4730.0</v>
      </c>
      <c r="H41" s="19" t="s">
        <v>99</v>
      </c>
      <c r="I41" s="19" t="s">
        <v>99</v>
      </c>
      <c r="J41" s="19" t="s">
        <v>38</v>
      </c>
      <c r="K41" s="19" t="s">
        <v>43</v>
      </c>
      <c r="L41" s="19" t="s">
        <v>2749</v>
      </c>
      <c r="M41" s="19" t="s">
        <v>2751</v>
      </c>
      <c r="N41" s="19" t="s">
        <v>2744</v>
      </c>
    </row>
    <row r="42" ht="56.25" customHeight="1">
      <c r="A42" s="13" t="s">
        <v>4153</v>
      </c>
      <c r="B42" s="48" t="str">
        <f>IMAGE("https://storage.googleapis.com/acdb/shoes/ShoesLowcutBusiness1.png")</f>
        <v/>
      </c>
      <c r="C42" s="19" t="s">
        <v>118</v>
      </c>
      <c r="D42" s="25" t="s">
        <v>28</v>
      </c>
      <c r="E42" s="13">
        <v>1300.0</v>
      </c>
      <c r="F42" s="13">
        <v>325.0</v>
      </c>
      <c r="G42" s="19">
        <v>4730.0</v>
      </c>
      <c r="H42" s="19"/>
      <c r="I42" s="19"/>
      <c r="J42" s="19" t="s">
        <v>38</v>
      </c>
      <c r="K42" s="19" t="s">
        <v>43</v>
      </c>
      <c r="L42" s="19" t="s">
        <v>2749</v>
      </c>
      <c r="M42" s="19" t="s">
        <v>2751</v>
      </c>
      <c r="N42" s="19" t="s">
        <v>2744</v>
      </c>
    </row>
    <row r="43" ht="56.25" customHeight="1">
      <c r="A43" s="23" t="s">
        <v>4155</v>
      </c>
      <c r="B43" s="48" t="str">
        <f>IMAGE("https://storage.googleapis.com/acdb/shoes/ShoesLowcutSpike0.png")</f>
        <v/>
      </c>
      <c r="C43" s="19" t="s">
        <v>112</v>
      </c>
      <c r="D43" s="25" t="s">
        <v>28</v>
      </c>
      <c r="E43" s="13">
        <v>1200.0</v>
      </c>
      <c r="F43" s="13">
        <v>300.0</v>
      </c>
      <c r="G43" s="19">
        <v>5654.0</v>
      </c>
      <c r="H43" s="19" t="s">
        <v>112</v>
      </c>
      <c r="I43" s="19" t="s">
        <v>94</v>
      </c>
      <c r="J43" s="19" t="s">
        <v>38</v>
      </c>
      <c r="K43" s="19" t="s">
        <v>43</v>
      </c>
      <c r="L43" s="19" t="s">
        <v>4018</v>
      </c>
      <c r="M43" s="19"/>
      <c r="N43" s="19" t="s">
        <v>2793</v>
      </c>
    </row>
    <row r="44" ht="56.25" customHeight="1">
      <c r="A44" s="13" t="s">
        <v>4155</v>
      </c>
      <c r="B44" s="48" t="str">
        <f>IMAGE("https://storage.googleapis.com/acdb/shoes/ShoesLowcutSpike1.png")</f>
        <v/>
      </c>
      <c r="C44" s="19" t="s">
        <v>515</v>
      </c>
      <c r="D44" s="25" t="s">
        <v>28</v>
      </c>
      <c r="E44" s="13">
        <v>1200.0</v>
      </c>
      <c r="F44" s="13">
        <v>300.0</v>
      </c>
      <c r="G44" s="19">
        <v>5654.0</v>
      </c>
      <c r="H44" s="19"/>
      <c r="I44" s="19"/>
      <c r="J44" s="19" t="s">
        <v>38</v>
      </c>
      <c r="K44" s="19" t="s">
        <v>43</v>
      </c>
      <c r="L44" s="19" t="s">
        <v>4018</v>
      </c>
      <c r="M44" s="19"/>
      <c r="N44" s="19" t="s">
        <v>2793</v>
      </c>
    </row>
    <row r="45" ht="56.25" customHeight="1">
      <c r="A45" s="13" t="s">
        <v>4155</v>
      </c>
      <c r="B45" s="48" t="str">
        <f>IMAGE("https://storage.googleapis.com/acdb/shoes/ShoesLowcutSpike2.png")</f>
        <v/>
      </c>
      <c r="C45" s="19" t="s">
        <v>208</v>
      </c>
      <c r="D45" s="25" t="s">
        <v>28</v>
      </c>
      <c r="E45" s="13">
        <v>1200.0</v>
      </c>
      <c r="F45" s="13">
        <v>300.0</v>
      </c>
      <c r="G45" s="19">
        <v>5654.0</v>
      </c>
      <c r="H45" s="19"/>
      <c r="I45" s="19"/>
      <c r="J45" s="19" t="s">
        <v>38</v>
      </c>
      <c r="K45" s="19" t="s">
        <v>43</v>
      </c>
      <c r="L45" s="19" t="s">
        <v>4018</v>
      </c>
      <c r="M45" s="19"/>
      <c r="N45" s="19" t="s">
        <v>2793</v>
      </c>
    </row>
    <row r="46" ht="56.25" customHeight="1">
      <c r="A46" s="13" t="s">
        <v>4155</v>
      </c>
      <c r="B46" s="48" t="str">
        <f>IMAGE("https://storage.googleapis.com/acdb/shoes/ShoesLowcutSpike3.png")</f>
        <v/>
      </c>
      <c r="C46" s="19" t="s">
        <v>211</v>
      </c>
      <c r="D46" s="25" t="s">
        <v>28</v>
      </c>
      <c r="E46" s="13">
        <v>1200.0</v>
      </c>
      <c r="F46" s="13">
        <v>300.0</v>
      </c>
      <c r="G46" s="19">
        <v>5654.0</v>
      </c>
      <c r="H46" s="19"/>
      <c r="I46" s="19"/>
      <c r="J46" s="19" t="s">
        <v>38</v>
      </c>
      <c r="K46" s="19" t="s">
        <v>43</v>
      </c>
      <c r="L46" s="19" t="s">
        <v>4018</v>
      </c>
      <c r="M46" s="19"/>
      <c r="N46" s="19" t="s">
        <v>2793</v>
      </c>
    </row>
    <row r="47" ht="56.25" customHeight="1">
      <c r="A47" s="13" t="s">
        <v>4155</v>
      </c>
      <c r="B47" s="48" t="str">
        <f>IMAGE("https://storage.googleapis.com/acdb/shoes/ShoesLowcutSpike4.png")</f>
        <v/>
      </c>
      <c r="C47" s="19" t="s">
        <v>99</v>
      </c>
      <c r="D47" s="25" t="s">
        <v>28</v>
      </c>
      <c r="E47" s="13">
        <v>1200.0</v>
      </c>
      <c r="F47" s="13">
        <v>300.0</v>
      </c>
      <c r="G47" s="19">
        <v>5654.0</v>
      </c>
      <c r="H47" s="19"/>
      <c r="I47" s="19"/>
      <c r="J47" s="19" t="s">
        <v>38</v>
      </c>
      <c r="K47" s="19" t="s">
        <v>43</v>
      </c>
      <c r="L47" s="19" t="s">
        <v>4018</v>
      </c>
      <c r="M47" s="19"/>
      <c r="N47" s="19" t="s">
        <v>2793</v>
      </c>
    </row>
    <row r="48" ht="56.25" customHeight="1">
      <c r="A48" s="13" t="s">
        <v>4155</v>
      </c>
      <c r="B48" s="48" t="str">
        <f>IMAGE("https://storage.googleapis.com/acdb/shoes/ShoesLowcutSpike5.png")</f>
        <v/>
      </c>
      <c r="C48" s="19" t="s">
        <v>521</v>
      </c>
      <c r="D48" s="25" t="s">
        <v>28</v>
      </c>
      <c r="E48" s="13">
        <v>1200.0</v>
      </c>
      <c r="F48" s="13">
        <v>300.0</v>
      </c>
      <c r="G48" s="19">
        <v>5654.0</v>
      </c>
      <c r="H48" s="19"/>
      <c r="I48" s="19"/>
      <c r="J48" s="19" t="s">
        <v>38</v>
      </c>
      <c r="K48" s="19" t="s">
        <v>43</v>
      </c>
      <c r="L48" s="19" t="s">
        <v>4018</v>
      </c>
      <c r="M48" s="19"/>
      <c r="N48" s="19" t="s">
        <v>2793</v>
      </c>
    </row>
    <row r="49" ht="56.25" customHeight="1">
      <c r="A49" s="13" t="s">
        <v>4155</v>
      </c>
      <c r="B49" s="48" t="str">
        <f>IMAGE("https://storage.googleapis.com/acdb/shoes/ShoesLowcutSpike6.png")</f>
        <v/>
      </c>
      <c r="C49" s="19" t="s">
        <v>369</v>
      </c>
      <c r="D49" s="25" t="s">
        <v>28</v>
      </c>
      <c r="E49" s="13">
        <v>1200.0</v>
      </c>
      <c r="F49" s="13">
        <v>300.0</v>
      </c>
      <c r="G49" s="19">
        <v>5654.0</v>
      </c>
      <c r="H49" s="19"/>
      <c r="I49" s="19"/>
      <c r="J49" s="19" t="s">
        <v>38</v>
      </c>
      <c r="K49" s="19" t="s">
        <v>43</v>
      </c>
      <c r="L49" s="19" t="s">
        <v>4018</v>
      </c>
      <c r="M49" s="19"/>
      <c r="N49" s="19" t="s">
        <v>2793</v>
      </c>
    </row>
    <row r="50" ht="56.25" customHeight="1">
      <c r="A50" s="13" t="s">
        <v>4155</v>
      </c>
      <c r="B50" s="48" t="str">
        <f>IMAGE("https://storage.googleapis.com/acdb/shoes/ShoesLowcutSpike7.png")</f>
        <v/>
      </c>
      <c r="C50" s="19" t="s">
        <v>464</v>
      </c>
      <c r="D50" s="25" t="s">
        <v>28</v>
      </c>
      <c r="E50" s="13">
        <v>1200.0</v>
      </c>
      <c r="F50" s="13">
        <v>300.0</v>
      </c>
      <c r="G50" s="19">
        <v>5654.0</v>
      </c>
      <c r="H50" s="19"/>
      <c r="I50" s="19"/>
      <c r="J50" s="19" t="s">
        <v>38</v>
      </c>
      <c r="K50" s="19" t="s">
        <v>43</v>
      </c>
      <c r="L50" s="19" t="s">
        <v>4018</v>
      </c>
      <c r="M50" s="19"/>
      <c r="N50" s="19" t="s">
        <v>2793</v>
      </c>
    </row>
    <row r="51" ht="56.25" customHeight="1">
      <c r="A51" s="23" t="s">
        <v>4161</v>
      </c>
      <c r="B51" s="48" t="str">
        <f>IMAGE("https://storage.googleapis.com/acdb/shoes/ShoesSandalComfort0.png")</f>
        <v/>
      </c>
      <c r="C51" s="19" t="s">
        <v>118</v>
      </c>
      <c r="D51" s="25" t="s">
        <v>28</v>
      </c>
      <c r="E51" s="13">
        <v>1040.0</v>
      </c>
      <c r="F51" s="13">
        <v>260.0</v>
      </c>
      <c r="G51" s="19">
        <v>5619.0</v>
      </c>
      <c r="H51" s="19" t="s">
        <v>118</v>
      </c>
      <c r="I51" s="19" t="s">
        <v>1608</v>
      </c>
      <c r="J51" s="19" t="s">
        <v>38</v>
      </c>
      <c r="K51" s="19" t="s">
        <v>43</v>
      </c>
      <c r="L51" s="19" t="s">
        <v>2749</v>
      </c>
      <c r="M51" s="19" t="s">
        <v>2764</v>
      </c>
      <c r="N51" s="19" t="s">
        <v>2744</v>
      </c>
    </row>
    <row r="52" ht="56.25" customHeight="1">
      <c r="A52" s="13" t="s">
        <v>4161</v>
      </c>
      <c r="B52" s="48" t="str">
        <f>IMAGE("https://storage.googleapis.com/acdb/shoes/ShoesSandalComfort1.png")</f>
        <v/>
      </c>
      <c r="C52" s="19" t="s">
        <v>82</v>
      </c>
      <c r="D52" s="25" t="s">
        <v>28</v>
      </c>
      <c r="E52" s="13">
        <v>1040.0</v>
      </c>
      <c r="F52" s="13">
        <v>260.0</v>
      </c>
      <c r="G52" s="19">
        <v>5619.0</v>
      </c>
      <c r="H52" s="19"/>
      <c r="I52" s="19"/>
      <c r="J52" s="19" t="s">
        <v>38</v>
      </c>
      <c r="K52" s="19" t="s">
        <v>43</v>
      </c>
      <c r="L52" s="19" t="s">
        <v>2749</v>
      </c>
      <c r="M52" s="19" t="s">
        <v>2764</v>
      </c>
      <c r="N52" s="19" t="s">
        <v>2744</v>
      </c>
    </row>
    <row r="53" ht="56.25" customHeight="1">
      <c r="A53" s="13" t="s">
        <v>4161</v>
      </c>
      <c r="B53" s="48" t="str">
        <f>IMAGE("https://storage.googleapis.com/acdb/shoes/ShoesSandalComfort2.png")</f>
        <v/>
      </c>
      <c r="C53" s="19" t="s">
        <v>369</v>
      </c>
      <c r="D53" s="25" t="s">
        <v>28</v>
      </c>
      <c r="E53" s="13">
        <v>1040.0</v>
      </c>
      <c r="F53" s="13">
        <v>260.0</v>
      </c>
      <c r="G53" s="19">
        <v>5619.0</v>
      </c>
      <c r="H53" s="19"/>
      <c r="I53" s="19"/>
      <c r="J53" s="19" t="s">
        <v>38</v>
      </c>
      <c r="K53" s="19" t="s">
        <v>43</v>
      </c>
      <c r="L53" s="19" t="s">
        <v>2749</v>
      </c>
      <c r="M53" s="19" t="s">
        <v>2764</v>
      </c>
      <c r="N53" s="19" t="s">
        <v>2744</v>
      </c>
    </row>
    <row r="54" ht="56.25" customHeight="1">
      <c r="A54" s="13" t="s">
        <v>4161</v>
      </c>
      <c r="B54" s="48" t="str">
        <f>IMAGE("https://storage.googleapis.com/acdb/shoes/ShoesSandalComfort3.png")</f>
        <v/>
      </c>
      <c r="C54" s="19" t="s">
        <v>112</v>
      </c>
      <c r="D54" s="25" t="s">
        <v>28</v>
      </c>
      <c r="E54" s="13">
        <v>1040.0</v>
      </c>
      <c r="F54" s="13">
        <v>260.0</v>
      </c>
      <c r="G54" s="19">
        <v>5619.0</v>
      </c>
      <c r="H54" s="19"/>
      <c r="I54" s="19"/>
      <c r="J54" s="19" t="s">
        <v>38</v>
      </c>
      <c r="K54" s="19" t="s">
        <v>43</v>
      </c>
      <c r="L54" s="19" t="s">
        <v>2749</v>
      </c>
      <c r="M54" s="19" t="s">
        <v>2764</v>
      </c>
      <c r="N54" s="19" t="s">
        <v>2744</v>
      </c>
    </row>
    <row r="55" ht="56.25" customHeight="1">
      <c r="A55" s="13" t="s">
        <v>4161</v>
      </c>
      <c r="B55" s="48" t="str">
        <f>IMAGE("https://storage.googleapis.com/acdb/shoes/ShoesSandalComfort4.png")</f>
        <v/>
      </c>
      <c r="C55" s="19" t="s">
        <v>208</v>
      </c>
      <c r="D55" s="25" t="s">
        <v>28</v>
      </c>
      <c r="E55" s="13">
        <v>1040.0</v>
      </c>
      <c r="F55" s="13">
        <v>260.0</v>
      </c>
      <c r="G55" s="19">
        <v>5619.0</v>
      </c>
      <c r="H55" s="19"/>
      <c r="I55" s="19"/>
      <c r="J55" s="19" t="s">
        <v>38</v>
      </c>
      <c r="K55" s="19" t="s">
        <v>43</v>
      </c>
      <c r="L55" s="19" t="s">
        <v>2749</v>
      </c>
      <c r="M55" s="19" t="s">
        <v>2764</v>
      </c>
      <c r="N55" s="19" t="s">
        <v>2744</v>
      </c>
    </row>
    <row r="56" ht="56.25" customHeight="1">
      <c r="A56" s="13" t="s">
        <v>4161</v>
      </c>
      <c r="B56" s="48" t="str">
        <f>IMAGE("https://storage.googleapis.com/acdb/shoes/ShoesSandalComfort5.png")</f>
        <v/>
      </c>
      <c r="C56" s="19" t="s">
        <v>521</v>
      </c>
      <c r="D56" s="25" t="s">
        <v>28</v>
      </c>
      <c r="E56" s="13">
        <v>1040.0</v>
      </c>
      <c r="F56" s="13">
        <v>260.0</v>
      </c>
      <c r="G56" s="19">
        <v>5619.0</v>
      </c>
      <c r="H56" s="19"/>
      <c r="I56" s="19"/>
      <c r="J56" s="19" t="s">
        <v>38</v>
      </c>
      <c r="K56" s="19" t="s">
        <v>43</v>
      </c>
      <c r="L56" s="19" t="s">
        <v>2749</v>
      </c>
      <c r="M56" s="19" t="s">
        <v>2764</v>
      </c>
      <c r="N56" s="19" t="s">
        <v>2744</v>
      </c>
    </row>
    <row r="57" ht="56.25" customHeight="1">
      <c r="A57" s="13" t="s">
        <v>4161</v>
      </c>
      <c r="B57" s="48" t="str">
        <f>IMAGE("https://storage.googleapis.com/acdb/shoes/ShoesSandalComfort6.png")</f>
        <v/>
      </c>
      <c r="C57" s="19" t="s">
        <v>211</v>
      </c>
      <c r="D57" s="25" t="s">
        <v>28</v>
      </c>
      <c r="E57" s="13">
        <v>1040.0</v>
      </c>
      <c r="F57" s="13">
        <v>260.0</v>
      </c>
      <c r="G57" s="19">
        <v>5619.0</v>
      </c>
      <c r="H57" s="19"/>
      <c r="I57" s="19"/>
      <c r="J57" s="19" t="s">
        <v>38</v>
      </c>
      <c r="K57" s="19" t="s">
        <v>43</v>
      </c>
      <c r="L57" s="19" t="s">
        <v>2749</v>
      </c>
      <c r="M57" s="19" t="s">
        <v>2764</v>
      </c>
      <c r="N57" s="19" t="s">
        <v>2744</v>
      </c>
    </row>
    <row r="58" ht="56.25" customHeight="1">
      <c r="A58" s="13" t="s">
        <v>4161</v>
      </c>
      <c r="B58" s="48" t="str">
        <f>IMAGE("https://storage.googleapis.com/acdb/shoes/ShoesSandalComfort7.png")</f>
        <v/>
      </c>
      <c r="C58" s="19" t="s">
        <v>464</v>
      </c>
      <c r="D58" s="25" t="s">
        <v>28</v>
      </c>
      <c r="E58" s="13">
        <v>1040.0</v>
      </c>
      <c r="F58" s="13">
        <v>260.0</v>
      </c>
      <c r="G58" s="19">
        <v>5619.0</v>
      </c>
      <c r="H58" s="19"/>
      <c r="I58" s="19"/>
      <c r="J58" s="19" t="s">
        <v>38</v>
      </c>
      <c r="K58" s="19" t="s">
        <v>43</v>
      </c>
      <c r="L58" s="19" t="s">
        <v>2749</v>
      </c>
      <c r="M58" s="19" t="s">
        <v>2764</v>
      </c>
      <c r="N58" s="19" t="s">
        <v>2744</v>
      </c>
    </row>
    <row r="59" ht="56.25" customHeight="1">
      <c r="A59" s="23" t="s">
        <v>4168</v>
      </c>
      <c r="B59" s="48" t="str">
        <f>IMAGE("https://storage.googleapis.com/acdb/shoes/ShoesKneeWestern0.png")</f>
        <v/>
      </c>
      <c r="C59" s="19" t="s">
        <v>118</v>
      </c>
      <c r="D59" s="25" t="s">
        <v>28</v>
      </c>
      <c r="E59" s="13">
        <v>2380.0</v>
      </c>
      <c r="F59" s="13">
        <v>595.0</v>
      </c>
      <c r="G59" s="19">
        <v>5643.0</v>
      </c>
      <c r="H59" s="19" t="s">
        <v>118</v>
      </c>
      <c r="I59" s="19" t="s">
        <v>118</v>
      </c>
      <c r="J59" s="19" t="s">
        <v>38</v>
      </c>
      <c r="K59" s="19" t="s">
        <v>43</v>
      </c>
      <c r="L59" s="19" t="s">
        <v>2749</v>
      </c>
      <c r="M59" s="19" t="s">
        <v>2751</v>
      </c>
      <c r="N59" s="19" t="s">
        <v>2863</v>
      </c>
    </row>
    <row r="60" ht="56.25" customHeight="1">
      <c r="A60" s="23" t="s">
        <v>4168</v>
      </c>
      <c r="B60" s="48" t="str">
        <f>IMAGE("https://storage.googleapis.com/acdb/shoes/ShoesKneeWestern1.png")</f>
        <v/>
      </c>
      <c r="C60" s="19" t="s">
        <v>99</v>
      </c>
      <c r="D60" s="25" t="s">
        <v>28</v>
      </c>
      <c r="E60" s="13">
        <v>2380.0</v>
      </c>
      <c r="F60" s="13">
        <v>595.0</v>
      </c>
      <c r="G60" s="19">
        <v>5643.0</v>
      </c>
      <c r="H60" s="19"/>
      <c r="I60" s="19"/>
      <c r="J60" s="19" t="s">
        <v>38</v>
      </c>
      <c r="K60" s="19" t="s">
        <v>43</v>
      </c>
      <c r="L60" s="19" t="s">
        <v>2749</v>
      </c>
      <c r="M60" s="19" t="s">
        <v>2751</v>
      </c>
      <c r="N60" s="19" t="s">
        <v>2863</v>
      </c>
    </row>
    <row r="61" ht="56.25" customHeight="1">
      <c r="A61" s="23" t="s">
        <v>4168</v>
      </c>
      <c r="B61" s="48" t="str">
        <f>IMAGE("https://storage.googleapis.com/acdb/shoes/ShoesKneeWestern2.png")</f>
        <v/>
      </c>
      <c r="C61" s="19" t="s">
        <v>411</v>
      </c>
      <c r="D61" s="25" t="s">
        <v>28</v>
      </c>
      <c r="E61" s="13">
        <v>2380.0</v>
      </c>
      <c r="F61" s="13">
        <v>595.0</v>
      </c>
      <c r="G61" s="19">
        <v>5643.0</v>
      </c>
      <c r="H61" s="19"/>
      <c r="I61" s="19"/>
      <c r="J61" s="19" t="s">
        <v>38</v>
      </c>
      <c r="K61" s="19" t="s">
        <v>43</v>
      </c>
      <c r="L61" s="19" t="s">
        <v>2749</v>
      </c>
      <c r="M61" s="19" t="s">
        <v>2751</v>
      </c>
      <c r="N61" s="19" t="s">
        <v>2863</v>
      </c>
    </row>
    <row r="62" ht="56.25" customHeight="1">
      <c r="A62" s="23" t="s">
        <v>4168</v>
      </c>
      <c r="B62" s="48" t="str">
        <f>IMAGE("https://storage.googleapis.com/acdb/shoes/ShoesKneeWestern3.png")</f>
        <v/>
      </c>
      <c r="C62" s="19" t="s">
        <v>107</v>
      </c>
      <c r="D62" s="25" t="s">
        <v>28</v>
      </c>
      <c r="E62" s="13">
        <v>2380.0</v>
      </c>
      <c r="F62" s="13">
        <v>595.0</v>
      </c>
      <c r="G62" s="19">
        <v>5643.0</v>
      </c>
      <c r="H62" s="19"/>
      <c r="I62" s="19"/>
      <c r="J62" s="19" t="s">
        <v>38</v>
      </c>
      <c r="K62" s="19" t="s">
        <v>43</v>
      </c>
      <c r="L62" s="19" t="s">
        <v>2749</v>
      </c>
      <c r="M62" s="19" t="s">
        <v>2751</v>
      </c>
      <c r="N62" s="19" t="s">
        <v>2863</v>
      </c>
    </row>
    <row r="63" ht="56.25" customHeight="1">
      <c r="A63" s="23" t="s">
        <v>4168</v>
      </c>
      <c r="B63" s="48" t="str">
        <f>IMAGE("https://storage.googleapis.com/acdb/shoes/ShoesKneeWestern4.png")</f>
        <v/>
      </c>
      <c r="C63" s="19" t="s">
        <v>112</v>
      </c>
      <c r="D63" s="25" t="s">
        <v>28</v>
      </c>
      <c r="E63" s="13">
        <v>2380.0</v>
      </c>
      <c r="F63" s="13">
        <v>595.0</v>
      </c>
      <c r="G63" s="19">
        <v>5643.0</v>
      </c>
      <c r="H63" s="19"/>
      <c r="I63" s="19"/>
      <c r="J63" s="19" t="s">
        <v>38</v>
      </c>
      <c r="K63" s="19" t="s">
        <v>43</v>
      </c>
      <c r="L63" s="19" t="s">
        <v>2749</v>
      </c>
      <c r="M63" s="19" t="s">
        <v>2751</v>
      </c>
      <c r="N63" s="19" t="s">
        <v>2863</v>
      </c>
    </row>
    <row r="64" ht="56.25" customHeight="1">
      <c r="A64" s="23" t="s">
        <v>4171</v>
      </c>
      <c r="B64" s="48" t="str">
        <f>IMAGE("https://storage.googleapis.com/acdb/shoes/ShoesSandalCrossbelt0.png")</f>
        <v/>
      </c>
      <c r="C64" s="19" t="s">
        <v>369</v>
      </c>
      <c r="D64" s="25" t="s">
        <v>28</v>
      </c>
      <c r="E64" s="13">
        <v>1040.0</v>
      </c>
      <c r="F64" s="13">
        <v>260.0</v>
      </c>
      <c r="G64" s="19">
        <v>4725.0</v>
      </c>
      <c r="H64" s="19" t="s">
        <v>369</v>
      </c>
      <c r="I64" s="19" t="s">
        <v>369</v>
      </c>
      <c r="J64" s="19" t="s">
        <v>38</v>
      </c>
      <c r="K64" s="19" t="s">
        <v>43</v>
      </c>
      <c r="L64" s="19" t="s">
        <v>2749</v>
      </c>
      <c r="M64" s="19" t="s">
        <v>2751</v>
      </c>
      <c r="N64" s="19" t="s">
        <v>2863</v>
      </c>
    </row>
    <row r="65" ht="56.25" customHeight="1">
      <c r="A65" s="13" t="s">
        <v>4171</v>
      </c>
      <c r="B65" s="48" t="str">
        <f>IMAGE("https://storage.googleapis.com/acdb/shoes/ShoesSandalCrossbelt1.png")</f>
        <v/>
      </c>
      <c r="C65" s="19" t="s">
        <v>107</v>
      </c>
      <c r="D65" s="25" t="s">
        <v>28</v>
      </c>
      <c r="E65" s="13">
        <v>1040.0</v>
      </c>
      <c r="F65" s="13">
        <v>260.0</v>
      </c>
      <c r="G65" s="19">
        <v>4725.0</v>
      </c>
      <c r="H65" s="19"/>
      <c r="I65" s="19"/>
      <c r="J65" s="19" t="s">
        <v>38</v>
      </c>
      <c r="K65" s="19" t="s">
        <v>43</v>
      </c>
      <c r="L65" s="19" t="s">
        <v>2749</v>
      </c>
      <c r="M65" s="19" t="s">
        <v>2751</v>
      </c>
      <c r="N65" s="19" t="s">
        <v>2863</v>
      </c>
    </row>
    <row r="66" ht="56.25" customHeight="1">
      <c r="A66" s="13" t="s">
        <v>4171</v>
      </c>
      <c r="B66" s="48" t="str">
        <f>IMAGE("https://storage.googleapis.com/acdb/shoes/ShoesSandalCrossbelt2.png")</f>
        <v/>
      </c>
      <c r="C66" s="19" t="s">
        <v>94</v>
      </c>
      <c r="D66" s="25" t="s">
        <v>28</v>
      </c>
      <c r="E66" s="13">
        <v>1040.0</v>
      </c>
      <c r="F66" s="13">
        <v>260.0</v>
      </c>
      <c r="G66" s="19">
        <v>4725.0</v>
      </c>
      <c r="H66" s="19"/>
      <c r="I66" s="19"/>
      <c r="J66" s="19" t="s">
        <v>38</v>
      </c>
      <c r="K66" s="19" t="s">
        <v>43</v>
      </c>
      <c r="L66" s="19" t="s">
        <v>2749</v>
      </c>
      <c r="M66" s="19" t="s">
        <v>2751</v>
      </c>
      <c r="N66" s="19" t="s">
        <v>2863</v>
      </c>
    </row>
    <row r="67" ht="56.25" customHeight="1">
      <c r="A67" s="13" t="s">
        <v>4171</v>
      </c>
      <c r="B67" s="48" t="str">
        <f>IMAGE("https://storage.googleapis.com/acdb/shoes/ShoesSandalCrossbelt3.png")</f>
        <v/>
      </c>
      <c r="C67" s="19" t="s">
        <v>118</v>
      </c>
      <c r="D67" s="25" t="s">
        <v>28</v>
      </c>
      <c r="E67" s="13">
        <v>1040.0</v>
      </c>
      <c r="F67" s="13">
        <v>260.0</v>
      </c>
      <c r="G67" s="19">
        <v>4725.0</v>
      </c>
      <c r="H67" s="19"/>
      <c r="I67" s="19"/>
      <c r="J67" s="19" t="s">
        <v>38</v>
      </c>
      <c r="K67" s="19" t="s">
        <v>43</v>
      </c>
      <c r="L67" s="19" t="s">
        <v>2749</v>
      </c>
      <c r="M67" s="19" t="s">
        <v>2751</v>
      </c>
      <c r="N67" s="19" t="s">
        <v>2863</v>
      </c>
    </row>
    <row r="68" ht="56.25" customHeight="1">
      <c r="A68" s="13" t="s">
        <v>4171</v>
      </c>
      <c r="B68" s="48" t="str">
        <f>IMAGE("https://storage.googleapis.com/acdb/shoes/ShoesSandalCrossbelt4.png")</f>
        <v/>
      </c>
      <c r="C68" s="19" t="s">
        <v>99</v>
      </c>
      <c r="D68" s="25" t="s">
        <v>28</v>
      </c>
      <c r="E68" s="13">
        <v>1040.0</v>
      </c>
      <c r="F68" s="13">
        <v>260.0</v>
      </c>
      <c r="G68" s="19">
        <v>4725.0</v>
      </c>
      <c r="H68" s="19"/>
      <c r="I68" s="19"/>
      <c r="J68" s="19" t="s">
        <v>38</v>
      </c>
      <c r="K68" s="19" t="s">
        <v>43</v>
      </c>
      <c r="L68" s="19" t="s">
        <v>2749</v>
      </c>
      <c r="M68" s="19" t="s">
        <v>2751</v>
      </c>
      <c r="N68" s="19" t="s">
        <v>2863</v>
      </c>
    </row>
    <row r="69" ht="56.25" customHeight="1">
      <c r="A69" s="13" t="s">
        <v>4171</v>
      </c>
      <c r="B69" s="48" t="str">
        <f>IMAGE("https://storage.googleapis.com/acdb/shoes/ShoesSandalCrossbelt5.png")</f>
        <v/>
      </c>
      <c r="C69" s="19" t="s">
        <v>464</v>
      </c>
      <c r="D69" s="25" t="s">
        <v>28</v>
      </c>
      <c r="E69" s="13">
        <v>1040.0</v>
      </c>
      <c r="F69" s="13">
        <v>260.0</v>
      </c>
      <c r="G69" s="19">
        <v>4725.0</v>
      </c>
      <c r="H69" s="19"/>
      <c r="I69" s="19"/>
      <c r="J69" s="19" t="s">
        <v>38</v>
      </c>
      <c r="K69" s="19" t="s">
        <v>43</v>
      </c>
      <c r="L69" s="19" t="s">
        <v>2749</v>
      </c>
      <c r="M69" s="19" t="s">
        <v>2751</v>
      </c>
      <c r="N69" s="19" t="s">
        <v>2863</v>
      </c>
    </row>
    <row r="70" ht="56.25" customHeight="1">
      <c r="A70" s="23" t="s">
        <v>4176</v>
      </c>
      <c r="B70" s="48" t="str">
        <f>IMAGE("https://storage.googleapis.com/acdb/shoes/ShoesHighcutCute0.png")</f>
        <v/>
      </c>
      <c r="C70" s="19" t="s">
        <v>515</v>
      </c>
      <c r="D70" s="25" t="s">
        <v>28</v>
      </c>
      <c r="E70" s="13">
        <v>1260.0</v>
      </c>
      <c r="F70" s="13">
        <v>315.0</v>
      </c>
      <c r="G70" s="19">
        <v>5803.0</v>
      </c>
      <c r="H70" s="19" t="s">
        <v>1614</v>
      </c>
      <c r="I70" s="19" t="s">
        <v>107</v>
      </c>
      <c r="J70" s="19" t="s">
        <v>38</v>
      </c>
      <c r="K70" s="19" t="s">
        <v>43</v>
      </c>
      <c r="L70" s="19" t="s">
        <v>2749</v>
      </c>
      <c r="M70" s="19" t="s">
        <v>2764</v>
      </c>
      <c r="N70" s="19" t="s">
        <v>384</v>
      </c>
    </row>
    <row r="71" ht="56.25" customHeight="1">
      <c r="A71" s="13" t="s">
        <v>4176</v>
      </c>
      <c r="B71" s="48" t="str">
        <f>IMAGE("https://storage.googleapis.com/acdb/shoes/ShoesHighcutCute1.png")</f>
        <v/>
      </c>
      <c r="C71" s="19" t="s">
        <v>369</v>
      </c>
      <c r="D71" s="25" t="s">
        <v>28</v>
      </c>
      <c r="E71" s="13">
        <v>1260.0</v>
      </c>
      <c r="F71" s="13">
        <v>315.0</v>
      </c>
      <c r="G71" s="19">
        <v>5803.0</v>
      </c>
      <c r="H71" s="19"/>
      <c r="I71" s="19"/>
      <c r="J71" s="19" t="s">
        <v>38</v>
      </c>
      <c r="K71" s="19" t="s">
        <v>43</v>
      </c>
      <c r="L71" s="19" t="s">
        <v>2749</v>
      </c>
      <c r="M71" s="19" t="s">
        <v>2764</v>
      </c>
      <c r="N71" s="19" t="s">
        <v>384</v>
      </c>
    </row>
    <row r="72" ht="56.25" customHeight="1">
      <c r="A72" s="13" t="s">
        <v>4176</v>
      </c>
      <c r="B72" s="48" t="str">
        <f>IMAGE("https://storage.googleapis.com/acdb/shoes/ShoesHighcutCute2.png")</f>
        <v/>
      </c>
      <c r="C72" s="19" t="s">
        <v>107</v>
      </c>
      <c r="D72" s="25" t="s">
        <v>28</v>
      </c>
      <c r="E72" s="13">
        <v>1260.0</v>
      </c>
      <c r="F72" s="13">
        <v>315.0</v>
      </c>
      <c r="G72" s="19">
        <v>5803.0</v>
      </c>
      <c r="H72" s="19"/>
      <c r="I72" s="19"/>
      <c r="J72" s="19" t="s">
        <v>38</v>
      </c>
      <c r="K72" s="19" t="s">
        <v>43</v>
      </c>
      <c r="L72" s="19" t="s">
        <v>2749</v>
      </c>
      <c r="M72" s="19" t="s">
        <v>2764</v>
      </c>
      <c r="N72" s="19" t="s">
        <v>384</v>
      </c>
    </row>
    <row r="73" ht="56.25" customHeight="1">
      <c r="A73" s="13" t="s">
        <v>4176</v>
      </c>
      <c r="B73" s="48" t="str">
        <f>IMAGE("https://storage.googleapis.com/acdb/shoes/ShoesHighcutCute3.png")</f>
        <v/>
      </c>
      <c r="C73" s="19" t="s">
        <v>211</v>
      </c>
      <c r="D73" s="25" t="s">
        <v>28</v>
      </c>
      <c r="E73" s="13">
        <v>1260.0</v>
      </c>
      <c r="F73" s="13">
        <v>315.0</v>
      </c>
      <c r="G73" s="19">
        <v>5803.0</v>
      </c>
      <c r="H73" s="19"/>
      <c r="I73" s="19"/>
      <c r="J73" s="19" t="s">
        <v>38</v>
      </c>
      <c r="K73" s="19" t="s">
        <v>43</v>
      </c>
      <c r="L73" s="19" t="s">
        <v>2749</v>
      </c>
      <c r="M73" s="19" t="s">
        <v>2764</v>
      </c>
      <c r="N73" s="19" t="s">
        <v>384</v>
      </c>
    </row>
    <row r="74" ht="56.25" customHeight="1">
      <c r="A74" s="13" t="s">
        <v>4176</v>
      </c>
      <c r="B74" s="48" t="str">
        <f>IMAGE("https://storage.googleapis.com/acdb/shoes/ShoesHighcutCute4.png")</f>
        <v/>
      </c>
      <c r="C74" s="19" t="s">
        <v>464</v>
      </c>
      <c r="D74" s="25" t="s">
        <v>28</v>
      </c>
      <c r="E74" s="13">
        <v>1260.0</v>
      </c>
      <c r="F74" s="13">
        <v>315.0</v>
      </c>
      <c r="G74" s="19">
        <v>5803.0</v>
      </c>
      <c r="H74" s="19"/>
      <c r="I74" s="19"/>
      <c r="J74" s="19" t="s">
        <v>38</v>
      </c>
      <c r="K74" s="19" t="s">
        <v>43</v>
      </c>
      <c r="L74" s="19" t="s">
        <v>2749</v>
      </c>
      <c r="M74" s="19" t="s">
        <v>2764</v>
      </c>
      <c r="N74" s="19" t="s">
        <v>384</v>
      </c>
    </row>
    <row r="75" ht="56.25" customHeight="1">
      <c r="A75" s="13" t="s">
        <v>4176</v>
      </c>
      <c r="B75" s="48" t="str">
        <f>IMAGE("https://storage.googleapis.com/acdb/shoes/ShoesHighcutCute5.png")</f>
        <v/>
      </c>
      <c r="C75" s="19" t="s">
        <v>112</v>
      </c>
      <c r="D75" s="25" t="s">
        <v>28</v>
      </c>
      <c r="E75" s="13">
        <v>1260.0</v>
      </c>
      <c r="F75" s="13">
        <v>315.0</v>
      </c>
      <c r="G75" s="19">
        <v>5803.0</v>
      </c>
      <c r="H75" s="19"/>
      <c r="I75" s="19"/>
      <c r="J75" s="19" t="s">
        <v>38</v>
      </c>
      <c r="K75" s="19" t="s">
        <v>43</v>
      </c>
      <c r="L75" s="19" t="s">
        <v>2749</v>
      </c>
      <c r="M75" s="19" t="s">
        <v>2764</v>
      </c>
      <c r="N75" s="19" t="s">
        <v>384</v>
      </c>
    </row>
    <row r="76" ht="56.25" customHeight="1">
      <c r="A76" s="23" t="s">
        <v>4181</v>
      </c>
      <c r="B76" s="48" t="str">
        <f>IMAGE("https://storage.googleapis.com/acdb/shoes/AccessoryGlassSlippers0.png")</f>
        <v/>
      </c>
      <c r="C76" s="19" t="s">
        <v>112</v>
      </c>
      <c r="D76" s="25" t="s">
        <v>28</v>
      </c>
      <c r="E76" s="13">
        <v>4040.0</v>
      </c>
      <c r="F76" s="13">
        <v>1010.0</v>
      </c>
      <c r="G76" s="19">
        <v>12130.0</v>
      </c>
      <c r="H76" s="19" t="s">
        <v>112</v>
      </c>
      <c r="I76" s="19" t="s">
        <v>112</v>
      </c>
      <c r="J76" s="19" t="s">
        <v>38</v>
      </c>
      <c r="K76" s="19" t="s">
        <v>54</v>
      </c>
      <c r="L76" s="19" t="s">
        <v>563</v>
      </c>
      <c r="M76" s="19" t="s">
        <v>565</v>
      </c>
      <c r="N76" s="19" t="s">
        <v>2744</v>
      </c>
    </row>
    <row r="77" ht="56.25" customHeight="1">
      <c r="A77" s="23" t="s">
        <v>4182</v>
      </c>
      <c r="B77" s="48" t="str">
        <f>IMAGE("https://storage.googleapis.com/acdb/shoes/ShoesLowcutEggground0.png")</f>
        <v/>
      </c>
      <c r="C77" s="19" t="s">
        <v>208</v>
      </c>
      <c r="D77" s="15" t="s">
        <v>50</v>
      </c>
      <c r="E77" s="24" t="s">
        <v>51</v>
      </c>
      <c r="F77" s="24">
        <v>800.0</v>
      </c>
      <c r="G77" s="19"/>
      <c r="H77" s="19"/>
      <c r="I77" s="19"/>
      <c r="J77" s="19" t="s">
        <v>38</v>
      </c>
      <c r="K77" s="19" t="s">
        <v>54</v>
      </c>
      <c r="L77" s="19" t="s">
        <v>55</v>
      </c>
      <c r="M77" s="19"/>
      <c r="N77" s="19"/>
    </row>
    <row r="78" ht="56.25" customHeight="1">
      <c r="A78" s="23" t="s">
        <v>4183</v>
      </c>
      <c r="B78" s="48" t="str">
        <f>IMAGE("https://storage.googleapis.com/acdb/shoes/ShoesLowcutEmbroidery0.png")</f>
        <v/>
      </c>
      <c r="C78" s="19" t="s">
        <v>208</v>
      </c>
      <c r="D78" s="25" t="s">
        <v>28</v>
      </c>
      <c r="E78" s="13">
        <v>2100.0</v>
      </c>
      <c r="F78" s="13">
        <v>525.0</v>
      </c>
      <c r="G78" s="19">
        <v>9847.0</v>
      </c>
      <c r="H78" s="19" t="s">
        <v>208</v>
      </c>
      <c r="I78" s="19" t="s">
        <v>107</v>
      </c>
      <c r="J78" s="19" t="s">
        <v>38</v>
      </c>
      <c r="K78" s="19" t="s">
        <v>43</v>
      </c>
      <c r="L78" s="19" t="s">
        <v>4018</v>
      </c>
      <c r="M78" s="19"/>
      <c r="N78" s="19" t="s">
        <v>2863</v>
      </c>
    </row>
    <row r="79" ht="56.25" customHeight="1">
      <c r="A79" s="23" t="s">
        <v>4183</v>
      </c>
      <c r="B79" s="48" t="str">
        <f>IMAGE("https://storage.googleapis.com/acdb/shoes/ShoesLowcutEmbroidery1.png")</f>
        <v/>
      </c>
      <c r="C79" s="19" t="s">
        <v>82</v>
      </c>
      <c r="D79" s="25" t="s">
        <v>28</v>
      </c>
      <c r="E79" s="13">
        <v>2100.0</v>
      </c>
      <c r="F79" s="13">
        <v>525.0</v>
      </c>
      <c r="G79" s="19">
        <v>9847.0</v>
      </c>
      <c r="H79" s="19"/>
      <c r="I79" s="19"/>
      <c r="J79" s="19" t="s">
        <v>38</v>
      </c>
      <c r="K79" s="19" t="s">
        <v>43</v>
      </c>
      <c r="L79" s="19" t="s">
        <v>4018</v>
      </c>
      <c r="M79" s="19"/>
      <c r="N79" s="19" t="s">
        <v>2863</v>
      </c>
    </row>
    <row r="80" ht="56.25" customHeight="1">
      <c r="A80" s="23" t="s">
        <v>4183</v>
      </c>
      <c r="B80" s="48" t="str">
        <f>IMAGE("https://storage.googleapis.com/acdb/shoes/ShoesLowcutEmbroidery2.png")</f>
        <v/>
      </c>
      <c r="C80" s="19" t="s">
        <v>99</v>
      </c>
      <c r="D80" s="25" t="s">
        <v>28</v>
      </c>
      <c r="E80" s="13">
        <v>2100.0</v>
      </c>
      <c r="F80" s="13">
        <v>525.0</v>
      </c>
      <c r="G80" s="19">
        <v>9847.0</v>
      </c>
      <c r="H80" s="19"/>
      <c r="I80" s="19"/>
      <c r="J80" s="19" t="s">
        <v>38</v>
      </c>
      <c r="K80" s="19" t="s">
        <v>43</v>
      </c>
      <c r="L80" s="19" t="s">
        <v>4018</v>
      </c>
      <c r="M80" s="19"/>
      <c r="N80" s="19" t="s">
        <v>2863</v>
      </c>
    </row>
    <row r="81" ht="56.25" customHeight="1">
      <c r="A81" s="23" t="s">
        <v>4183</v>
      </c>
      <c r="B81" s="48" t="str">
        <f>IMAGE("https://storage.googleapis.com/acdb/shoes/ShoesLowcutEmbroidery3.png")</f>
        <v/>
      </c>
      <c r="C81" s="19" t="s">
        <v>112</v>
      </c>
      <c r="D81" s="25" t="s">
        <v>28</v>
      </c>
      <c r="E81" s="13">
        <v>2100.0</v>
      </c>
      <c r="F81" s="13">
        <v>525.0</v>
      </c>
      <c r="G81" s="19">
        <v>9847.0</v>
      </c>
      <c r="H81" s="19"/>
      <c r="I81" s="19"/>
      <c r="J81" s="19" t="s">
        <v>38</v>
      </c>
      <c r="K81" s="19" t="s">
        <v>43</v>
      </c>
      <c r="L81" s="19" t="s">
        <v>4018</v>
      </c>
      <c r="M81" s="19"/>
      <c r="N81" s="19" t="s">
        <v>2863</v>
      </c>
    </row>
    <row r="82" ht="56.25" customHeight="1">
      <c r="A82" s="23" t="s">
        <v>4187</v>
      </c>
      <c r="B82" s="48" t="str">
        <f>IMAGE("https://storage.googleapis.com/acdb/shoes/ShoesHighcutFurboots0.png")</f>
        <v/>
      </c>
      <c r="C82" s="19" t="s">
        <v>4152</v>
      </c>
      <c r="D82" s="25" t="s">
        <v>28</v>
      </c>
      <c r="E82" s="13">
        <v>1450.0</v>
      </c>
      <c r="F82" s="13">
        <v>362.0</v>
      </c>
      <c r="G82" s="19">
        <v>5476.0</v>
      </c>
      <c r="H82" s="19" t="s">
        <v>369</v>
      </c>
      <c r="I82" s="19" t="s">
        <v>82</v>
      </c>
      <c r="J82" s="19" t="s">
        <v>38</v>
      </c>
      <c r="K82" s="19" t="s">
        <v>43</v>
      </c>
      <c r="L82" s="19" t="s">
        <v>2749</v>
      </c>
      <c r="M82" s="19" t="s">
        <v>2764</v>
      </c>
      <c r="N82" s="19" t="s">
        <v>2863</v>
      </c>
    </row>
    <row r="83" ht="56.25" customHeight="1">
      <c r="A83" s="13" t="s">
        <v>4187</v>
      </c>
      <c r="B83" s="48" t="str">
        <f>IMAGE("https://storage.googleapis.com/acdb/shoes/ShoesHighcutFurboots1.png")</f>
        <v/>
      </c>
      <c r="C83" s="19" t="s">
        <v>1608</v>
      </c>
      <c r="D83" s="25" t="s">
        <v>28</v>
      </c>
      <c r="E83" s="13">
        <v>1450.0</v>
      </c>
      <c r="F83" s="13">
        <v>362.0</v>
      </c>
      <c r="G83" s="19">
        <v>5476.0</v>
      </c>
      <c r="H83" s="19"/>
      <c r="I83" s="19"/>
      <c r="J83" s="19" t="s">
        <v>38</v>
      </c>
      <c r="K83" s="19" t="s">
        <v>43</v>
      </c>
      <c r="L83" s="19" t="s">
        <v>2749</v>
      </c>
      <c r="M83" s="19" t="s">
        <v>2764</v>
      </c>
      <c r="N83" s="19" t="s">
        <v>2863</v>
      </c>
    </row>
    <row r="84" ht="56.25" customHeight="1">
      <c r="A84" s="13" t="s">
        <v>4187</v>
      </c>
      <c r="B84" s="48" t="str">
        <f>IMAGE("https://storage.googleapis.com/acdb/shoes/ShoesHighcutFurboots2.png")</f>
        <v/>
      </c>
      <c r="C84" s="19" t="s">
        <v>4190</v>
      </c>
      <c r="D84" s="25" t="s">
        <v>28</v>
      </c>
      <c r="E84" s="13">
        <v>1450.0</v>
      </c>
      <c r="F84" s="13">
        <v>362.0</v>
      </c>
      <c r="G84" s="19">
        <v>5476.0</v>
      </c>
      <c r="H84" s="19"/>
      <c r="I84" s="19"/>
      <c r="J84" s="19" t="s">
        <v>38</v>
      </c>
      <c r="K84" s="19" t="s">
        <v>43</v>
      </c>
      <c r="L84" s="19" t="s">
        <v>2749</v>
      </c>
      <c r="M84" s="19" t="s">
        <v>2764</v>
      </c>
      <c r="N84" s="19" t="s">
        <v>2863</v>
      </c>
    </row>
    <row r="85" ht="56.25" customHeight="1">
      <c r="A85" s="13" t="s">
        <v>4187</v>
      </c>
      <c r="B85" s="48" t="str">
        <f>IMAGE("https://storage.googleapis.com/acdb/shoes/ShoesHighcutFurboots3.png")</f>
        <v/>
      </c>
      <c r="C85" s="19" t="s">
        <v>4192</v>
      </c>
      <c r="D85" s="25" t="s">
        <v>28</v>
      </c>
      <c r="E85" s="13">
        <v>1450.0</v>
      </c>
      <c r="F85" s="13">
        <v>362.0</v>
      </c>
      <c r="G85" s="19">
        <v>5476.0</v>
      </c>
      <c r="H85" s="19"/>
      <c r="I85" s="19"/>
      <c r="J85" s="19" t="s">
        <v>38</v>
      </c>
      <c r="K85" s="19" t="s">
        <v>43</v>
      </c>
      <c r="L85" s="19" t="s">
        <v>2749</v>
      </c>
      <c r="M85" s="19" t="s">
        <v>2764</v>
      </c>
      <c r="N85" s="19" t="s">
        <v>2863</v>
      </c>
    </row>
    <row r="86" ht="56.25" customHeight="1">
      <c r="A86" s="23" t="s">
        <v>4194</v>
      </c>
      <c r="B86" s="48" t="str">
        <f>IMAGE("https://storage.googleapis.com/acdb/shoes/ShoesHighcutMouton0.png")</f>
        <v/>
      </c>
      <c r="C86" s="19" t="s">
        <v>1608</v>
      </c>
      <c r="D86" s="25" t="s">
        <v>28</v>
      </c>
      <c r="E86" s="13">
        <v>1600.0</v>
      </c>
      <c r="F86" s="13">
        <v>400.0</v>
      </c>
      <c r="G86" s="19">
        <v>4721.0</v>
      </c>
      <c r="H86" s="19" t="s">
        <v>1608</v>
      </c>
      <c r="I86" s="19" t="s">
        <v>82</v>
      </c>
      <c r="J86" s="19" t="s">
        <v>38</v>
      </c>
      <c r="K86" s="19" t="s">
        <v>43</v>
      </c>
      <c r="L86" s="19" t="s">
        <v>2749</v>
      </c>
      <c r="M86" s="19" t="s">
        <v>2764</v>
      </c>
      <c r="N86" s="19" t="s">
        <v>384</v>
      </c>
    </row>
    <row r="87" ht="56.25" customHeight="1">
      <c r="A87" s="13" t="s">
        <v>4194</v>
      </c>
      <c r="B87" s="48" t="str">
        <f>IMAGE("https://storage.googleapis.com/acdb/shoes/ShoesHighcutMouton1.png")</f>
        <v/>
      </c>
      <c r="C87" s="19" t="s">
        <v>107</v>
      </c>
      <c r="D87" s="25" t="s">
        <v>28</v>
      </c>
      <c r="E87" s="13">
        <v>1600.0</v>
      </c>
      <c r="F87" s="13">
        <v>400.0</v>
      </c>
      <c r="G87" s="19">
        <v>4721.0</v>
      </c>
      <c r="H87" s="19"/>
      <c r="I87" s="19"/>
      <c r="J87" s="19" t="s">
        <v>38</v>
      </c>
      <c r="K87" s="19" t="s">
        <v>43</v>
      </c>
      <c r="L87" s="19" t="s">
        <v>2749</v>
      </c>
      <c r="M87" s="19" t="s">
        <v>2764</v>
      </c>
      <c r="N87" s="19" t="s">
        <v>384</v>
      </c>
    </row>
    <row r="88" ht="56.25" customHeight="1">
      <c r="A88" s="13" t="s">
        <v>4194</v>
      </c>
      <c r="B88" s="48" t="str">
        <f>IMAGE("https://storage.googleapis.com/acdb/shoes/ShoesHighcutMouton2.png")</f>
        <v/>
      </c>
      <c r="C88" s="19" t="s">
        <v>369</v>
      </c>
      <c r="D88" s="25" t="s">
        <v>28</v>
      </c>
      <c r="E88" s="13">
        <v>1600.0</v>
      </c>
      <c r="F88" s="13">
        <v>400.0</v>
      </c>
      <c r="G88" s="19">
        <v>4721.0</v>
      </c>
      <c r="H88" s="19"/>
      <c r="I88" s="19"/>
      <c r="J88" s="19" t="s">
        <v>38</v>
      </c>
      <c r="K88" s="19" t="s">
        <v>43</v>
      </c>
      <c r="L88" s="19" t="s">
        <v>2749</v>
      </c>
      <c r="M88" s="19" t="s">
        <v>2764</v>
      </c>
      <c r="N88" s="19" t="s">
        <v>384</v>
      </c>
    </row>
    <row r="89" ht="56.25" customHeight="1">
      <c r="A89" s="13" t="s">
        <v>4194</v>
      </c>
      <c r="B89" s="48" t="str">
        <f>IMAGE("https://storage.googleapis.com/acdb/shoes/ShoesHighcutMouton3.png")</f>
        <v/>
      </c>
      <c r="C89" s="19" t="s">
        <v>99</v>
      </c>
      <c r="D89" s="25" t="s">
        <v>28</v>
      </c>
      <c r="E89" s="13">
        <v>1600.0</v>
      </c>
      <c r="F89" s="13">
        <v>400.0</v>
      </c>
      <c r="G89" s="19">
        <v>4721.0</v>
      </c>
      <c r="H89" s="19"/>
      <c r="I89" s="19"/>
      <c r="J89" s="19" t="s">
        <v>38</v>
      </c>
      <c r="K89" s="19" t="s">
        <v>43</v>
      </c>
      <c r="L89" s="19" t="s">
        <v>2749</v>
      </c>
      <c r="M89" s="19" t="s">
        <v>2764</v>
      </c>
      <c r="N89" s="19" t="s">
        <v>384</v>
      </c>
    </row>
    <row r="90" ht="56.25" customHeight="1">
      <c r="A90" s="13" t="s">
        <v>4194</v>
      </c>
      <c r="B90" s="48" t="str">
        <f>IMAGE("https://storage.googleapis.com/acdb/shoes/ShoesHighcutMouton4.png")</f>
        <v/>
      </c>
      <c r="C90" s="19" t="s">
        <v>94</v>
      </c>
      <c r="D90" s="25" t="s">
        <v>28</v>
      </c>
      <c r="E90" s="13">
        <v>1600.0</v>
      </c>
      <c r="F90" s="13">
        <v>400.0</v>
      </c>
      <c r="G90" s="19">
        <v>4721.0</v>
      </c>
      <c r="H90" s="19"/>
      <c r="I90" s="19"/>
      <c r="J90" s="19" t="s">
        <v>38</v>
      </c>
      <c r="K90" s="19" t="s">
        <v>43</v>
      </c>
      <c r="L90" s="19" t="s">
        <v>2749</v>
      </c>
      <c r="M90" s="19" t="s">
        <v>2764</v>
      </c>
      <c r="N90" s="19" t="s">
        <v>384</v>
      </c>
    </row>
    <row r="91" ht="56.25" customHeight="1">
      <c r="A91" s="23" t="s">
        <v>4201</v>
      </c>
      <c r="B91" s="48" t="str">
        <f>IMAGE("https://storage.googleapis.com/acdb/shoes/ShoesLowcutSuede0.png")</f>
        <v/>
      </c>
      <c r="C91" s="19" t="s">
        <v>369</v>
      </c>
      <c r="D91" s="25" t="s">
        <v>28</v>
      </c>
      <c r="E91" s="13">
        <v>1080.0</v>
      </c>
      <c r="F91" s="13">
        <v>270.0</v>
      </c>
      <c r="G91" s="19">
        <v>6893.0</v>
      </c>
      <c r="H91" s="19" t="s">
        <v>369</v>
      </c>
      <c r="I91" s="19" t="s">
        <v>82</v>
      </c>
      <c r="J91" s="19" t="s">
        <v>38</v>
      </c>
      <c r="K91" s="19" t="s">
        <v>43</v>
      </c>
      <c r="L91" s="19" t="s">
        <v>2749</v>
      </c>
      <c r="M91" s="19" t="s">
        <v>2751</v>
      </c>
      <c r="N91" s="19" t="s">
        <v>2744</v>
      </c>
    </row>
    <row r="92" ht="56.25" customHeight="1">
      <c r="A92" s="23" t="s">
        <v>4201</v>
      </c>
      <c r="B92" s="48" t="str">
        <f>IMAGE("https://storage.googleapis.com/acdb/shoes/ShoesLowcutSuede1.png")</f>
        <v/>
      </c>
      <c r="C92" s="19" t="s">
        <v>4192</v>
      </c>
      <c r="D92" s="25" t="s">
        <v>28</v>
      </c>
      <c r="E92" s="13">
        <v>1080.0</v>
      </c>
      <c r="F92" s="13">
        <v>270.0</v>
      </c>
      <c r="G92" s="19">
        <v>6893.0</v>
      </c>
      <c r="H92" s="19"/>
      <c r="I92" s="19"/>
      <c r="J92" s="19" t="s">
        <v>38</v>
      </c>
      <c r="K92" s="19" t="s">
        <v>43</v>
      </c>
      <c r="L92" s="19" t="s">
        <v>2749</v>
      </c>
      <c r="M92" s="19" t="s">
        <v>2751</v>
      </c>
      <c r="N92" s="19" t="s">
        <v>2744</v>
      </c>
    </row>
    <row r="93" ht="56.25" customHeight="1">
      <c r="A93" s="23" t="s">
        <v>4201</v>
      </c>
      <c r="B93" s="48" t="str">
        <f>IMAGE("https://storage.googleapis.com/acdb/shoes/ShoesLowcutSuede2.png")</f>
        <v/>
      </c>
      <c r="C93" s="19" t="s">
        <v>1608</v>
      </c>
      <c r="D93" s="25" t="s">
        <v>28</v>
      </c>
      <c r="E93" s="13">
        <v>1080.0</v>
      </c>
      <c r="F93" s="13">
        <v>270.0</v>
      </c>
      <c r="G93" s="19">
        <v>6893.0</v>
      </c>
      <c r="H93" s="19"/>
      <c r="I93" s="19"/>
      <c r="J93" s="19" t="s">
        <v>38</v>
      </c>
      <c r="K93" s="19" t="s">
        <v>43</v>
      </c>
      <c r="L93" s="19" t="s">
        <v>2749</v>
      </c>
      <c r="M93" s="19" t="s">
        <v>2751</v>
      </c>
      <c r="N93" s="19" t="s">
        <v>2744</v>
      </c>
    </row>
    <row r="94" ht="56.25" customHeight="1">
      <c r="A94" s="23" t="s">
        <v>4201</v>
      </c>
      <c r="B94" s="48" t="str">
        <f>IMAGE("https://storage.googleapis.com/acdb/shoes/ShoesLowcutSuede3.png")</f>
        <v/>
      </c>
      <c r="C94" s="19" t="s">
        <v>521</v>
      </c>
      <c r="D94" s="25" t="s">
        <v>28</v>
      </c>
      <c r="E94" s="13">
        <v>1080.0</v>
      </c>
      <c r="F94" s="13">
        <v>270.0</v>
      </c>
      <c r="G94" s="19">
        <v>6893.0</v>
      </c>
      <c r="H94" s="19"/>
      <c r="I94" s="19"/>
      <c r="J94" s="19" t="s">
        <v>38</v>
      </c>
      <c r="K94" s="19" t="s">
        <v>43</v>
      </c>
      <c r="L94" s="19" t="s">
        <v>2749</v>
      </c>
      <c r="M94" s="19" t="s">
        <v>2751</v>
      </c>
      <c r="N94" s="19" t="s">
        <v>2744</v>
      </c>
    </row>
    <row r="95" ht="56.25" customHeight="1">
      <c r="A95" s="23" t="s">
        <v>4201</v>
      </c>
      <c r="B95" s="48" t="str">
        <f>IMAGE("https://storage.googleapis.com/acdb/shoes/ShoesLowcutSuede4.png")</f>
        <v/>
      </c>
      <c r="C95" s="19" t="s">
        <v>107</v>
      </c>
      <c r="D95" s="25" t="s">
        <v>28</v>
      </c>
      <c r="E95" s="13">
        <v>1080.0</v>
      </c>
      <c r="F95" s="13">
        <v>270.0</v>
      </c>
      <c r="G95" s="19">
        <v>6893.0</v>
      </c>
      <c r="H95" s="19"/>
      <c r="I95" s="19"/>
      <c r="J95" s="19" t="s">
        <v>38</v>
      </c>
      <c r="K95" s="19" t="s">
        <v>43</v>
      </c>
      <c r="L95" s="19" t="s">
        <v>2749</v>
      </c>
      <c r="M95" s="19" t="s">
        <v>2751</v>
      </c>
      <c r="N95" s="19" t="s">
        <v>2744</v>
      </c>
    </row>
    <row r="96" ht="56.25" customHeight="1">
      <c r="A96" s="23" t="s">
        <v>4201</v>
      </c>
      <c r="B96" s="48" t="str">
        <f>IMAGE("https://storage.googleapis.com/acdb/shoes/ShoesLowcutSuede5.png")</f>
        <v/>
      </c>
      <c r="C96" s="19" t="s">
        <v>515</v>
      </c>
      <c r="D96" s="25" t="s">
        <v>28</v>
      </c>
      <c r="E96" s="13">
        <v>1080.0</v>
      </c>
      <c r="F96" s="13">
        <v>270.0</v>
      </c>
      <c r="G96" s="19">
        <v>6893.0</v>
      </c>
      <c r="H96" s="19"/>
      <c r="I96" s="19"/>
      <c r="J96" s="19" t="s">
        <v>38</v>
      </c>
      <c r="K96" s="19" t="s">
        <v>43</v>
      </c>
      <c r="L96" s="19" t="s">
        <v>2749</v>
      </c>
      <c r="M96" s="19" t="s">
        <v>2751</v>
      </c>
      <c r="N96" s="19" t="s">
        <v>2744</v>
      </c>
    </row>
    <row r="97" ht="56.25" customHeight="1">
      <c r="A97" s="23" t="s">
        <v>4201</v>
      </c>
      <c r="B97" s="48" t="str">
        <f>IMAGE("https://storage.googleapis.com/acdb/shoes/ShoesLowcutSuede6.png")</f>
        <v/>
      </c>
      <c r="C97" s="19" t="s">
        <v>464</v>
      </c>
      <c r="D97" s="25" t="s">
        <v>28</v>
      </c>
      <c r="E97" s="13">
        <v>1080.0</v>
      </c>
      <c r="F97" s="13">
        <v>270.0</v>
      </c>
      <c r="G97" s="19">
        <v>6893.0</v>
      </c>
      <c r="H97" s="19"/>
      <c r="I97" s="19"/>
      <c r="J97" s="19" t="s">
        <v>38</v>
      </c>
      <c r="K97" s="19" t="s">
        <v>43</v>
      </c>
      <c r="L97" s="19" t="s">
        <v>2749</v>
      </c>
      <c r="M97" s="19" t="s">
        <v>2751</v>
      </c>
      <c r="N97" s="19" t="s">
        <v>2744</v>
      </c>
    </row>
    <row r="98" ht="56.25" customHeight="1">
      <c r="A98" s="23" t="s">
        <v>4201</v>
      </c>
      <c r="B98" s="48" t="str">
        <f>IMAGE("https://storage.googleapis.com/acdb/shoes/ShoesLowcutSuede7.png")</f>
        <v/>
      </c>
      <c r="C98" s="19" t="s">
        <v>4205</v>
      </c>
      <c r="D98" s="25" t="s">
        <v>28</v>
      </c>
      <c r="E98" s="13">
        <v>1080.0</v>
      </c>
      <c r="F98" s="13">
        <v>270.0</v>
      </c>
      <c r="G98" s="19">
        <v>6893.0</v>
      </c>
      <c r="H98" s="19"/>
      <c r="I98" s="19"/>
      <c r="J98" s="19" t="s">
        <v>38</v>
      </c>
      <c r="K98" s="19" t="s">
        <v>43</v>
      </c>
      <c r="L98" s="19" t="s">
        <v>2749</v>
      </c>
      <c r="M98" s="19" t="s">
        <v>2751</v>
      </c>
      <c r="N98" s="19" t="s">
        <v>2744</v>
      </c>
    </row>
    <row r="99" ht="56.25" customHeight="1">
      <c r="A99" s="23" t="s">
        <v>4206</v>
      </c>
      <c r="B99" s="48" t="str">
        <f>IMAGE("https://storage.googleapis.com/acdb/shoes/ShoesSandalBeachborder0.png")</f>
        <v/>
      </c>
      <c r="C99" s="19" t="s">
        <v>112</v>
      </c>
      <c r="D99" s="25" t="s">
        <v>28</v>
      </c>
      <c r="E99" s="13">
        <v>350.0</v>
      </c>
      <c r="F99" s="13">
        <v>87.0</v>
      </c>
      <c r="G99" s="19">
        <v>5470.0</v>
      </c>
      <c r="H99" s="19" t="s">
        <v>112</v>
      </c>
      <c r="I99" s="19" t="s">
        <v>1614</v>
      </c>
      <c r="J99" s="19" t="s">
        <v>38</v>
      </c>
      <c r="K99" s="19" t="s">
        <v>43</v>
      </c>
      <c r="L99" s="19" t="s">
        <v>2749</v>
      </c>
      <c r="M99" s="19" t="s">
        <v>2764</v>
      </c>
      <c r="N99" s="19" t="s">
        <v>2793</v>
      </c>
    </row>
    <row r="100" ht="56.25" customHeight="1">
      <c r="A100" s="13" t="s">
        <v>4206</v>
      </c>
      <c r="B100" s="48" t="str">
        <f>IMAGE("https://storage.googleapis.com/acdb/shoes/ShoesSandalBeachborder1.png")</f>
        <v/>
      </c>
      <c r="C100" s="19" t="s">
        <v>369</v>
      </c>
      <c r="D100" s="25" t="s">
        <v>28</v>
      </c>
      <c r="E100" s="13">
        <v>350.0</v>
      </c>
      <c r="F100" s="13">
        <v>87.0</v>
      </c>
      <c r="G100" s="19">
        <v>5470.0</v>
      </c>
      <c r="H100" s="19"/>
      <c r="I100" s="19"/>
      <c r="J100" s="19" t="s">
        <v>38</v>
      </c>
      <c r="K100" s="19" t="s">
        <v>43</v>
      </c>
      <c r="L100" s="19" t="s">
        <v>2749</v>
      </c>
      <c r="M100" s="19" t="s">
        <v>2764</v>
      </c>
      <c r="N100" s="19" t="s">
        <v>2793</v>
      </c>
    </row>
    <row r="101" ht="56.25" customHeight="1">
      <c r="A101" s="13" t="s">
        <v>4206</v>
      </c>
      <c r="B101" s="48" t="str">
        <f>IMAGE("https://storage.googleapis.com/acdb/shoes/ShoesSandalBeachborder2.png")</f>
        <v/>
      </c>
      <c r="C101" s="19" t="s">
        <v>211</v>
      </c>
      <c r="D101" s="25" t="s">
        <v>28</v>
      </c>
      <c r="E101" s="13">
        <v>350.0</v>
      </c>
      <c r="F101" s="13">
        <v>87.0</v>
      </c>
      <c r="G101" s="19">
        <v>5470.0</v>
      </c>
      <c r="H101" s="19"/>
      <c r="I101" s="19"/>
      <c r="J101" s="19" t="s">
        <v>38</v>
      </c>
      <c r="K101" s="19" t="s">
        <v>43</v>
      </c>
      <c r="L101" s="19" t="s">
        <v>2749</v>
      </c>
      <c r="M101" s="19" t="s">
        <v>2764</v>
      </c>
      <c r="N101" s="19" t="s">
        <v>2793</v>
      </c>
    </row>
    <row r="102" ht="56.25" customHeight="1">
      <c r="A102" s="13" t="s">
        <v>4206</v>
      </c>
      <c r="B102" s="48" t="str">
        <f>IMAGE("https://storage.googleapis.com/acdb/shoes/ShoesSandalBeachborder3.png")</f>
        <v/>
      </c>
      <c r="C102" s="19" t="s">
        <v>82</v>
      </c>
      <c r="D102" s="25" t="s">
        <v>28</v>
      </c>
      <c r="E102" s="13">
        <v>350.0</v>
      </c>
      <c r="F102" s="13">
        <v>87.0</v>
      </c>
      <c r="G102" s="19">
        <v>5470.0</v>
      </c>
      <c r="H102" s="19"/>
      <c r="I102" s="19"/>
      <c r="J102" s="19" t="s">
        <v>38</v>
      </c>
      <c r="K102" s="19" t="s">
        <v>43</v>
      </c>
      <c r="L102" s="19" t="s">
        <v>2749</v>
      </c>
      <c r="M102" s="19" t="s">
        <v>2764</v>
      </c>
      <c r="N102" s="19" t="s">
        <v>2793</v>
      </c>
    </row>
    <row r="103" ht="56.25" customHeight="1">
      <c r="A103" s="13" t="s">
        <v>4206</v>
      </c>
      <c r="B103" s="48" t="str">
        <f>IMAGE("https://storage.googleapis.com/acdb/shoes/ShoesSandalBeachborder4.png")</f>
        <v/>
      </c>
      <c r="C103" s="19" t="s">
        <v>521</v>
      </c>
      <c r="D103" s="25" t="s">
        <v>28</v>
      </c>
      <c r="E103" s="13">
        <v>350.0</v>
      </c>
      <c r="F103" s="13">
        <v>87.0</v>
      </c>
      <c r="G103" s="19">
        <v>5470.0</v>
      </c>
      <c r="H103" s="19"/>
      <c r="I103" s="19"/>
      <c r="J103" s="19" t="s">
        <v>38</v>
      </c>
      <c r="K103" s="19" t="s">
        <v>43</v>
      </c>
      <c r="L103" s="19" t="s">
        <v>2749</v>
      </c>
      <c r="M103" s="19" t="s">
        <v>2764</v>
      </c>
      <c r="N103" s="19" t="s">
        <v>2793</v>
      </c>
    </row>
    <row r="104" ht="56.25" customHeight="1">
      <c r="A104" s="13" t="s">
        <v>4206</v>
      </c>
      <c r="B104" s="48" t="str">
        <f>IMAGE("https://storage.googleapis.com/acdb/shoes/ShoesSandalBeachborder5.png")</f>
        <v/>
      </c>
      <c r="C104" s="19" t="s">
        <v>515</v>
      </c>
      <c r="D104" s="25" t="s">
        <v>28</v>
      </c>
      <c r="E104" s="13">
        <v>350.0</v>
      </c>
      <c r="F104" s="13">
        <v>87.0</v>
      </c>
      <c r="G104" s="19">
        <v>5470.0</v>
      </c>
      <c r="H104" s="19"/>
      <c r="I104" s="19"/>
      <c r="J104" s="19" t="s">
        <v>38</v>
      </c>
      <c r="K104" s="19" t="s">
        <v>43</v>
      </c>
      <c r="L104" s="19" t="s">
        <v>2749</v>
      </c>
      <c r="M104" s="19" t="s">
        <v>2764</v>
      </c>
      <c r="N104" s="19" t="s">
        <v>2793</v>
      </c>
    </row>
    <row r="105" ht="56.25" customHeight="1">
      <c r="A105" s="13" t="s">
        <v>4206</v>
      </c>
      <c r="B105" s="48" t="str">
        <f>IMAGE("https://storage.googleapis.com/acdb/shoes/ShoesSandalBeachborder6.png")</f>
        <v/>
      </c>
      <c r="C105" s="19" t="s">
        <v>107</v>
      </c>
      <c r="D105" s="25" t="s">
        <v>28</v>
      </c>
      <c r="E105" s="13">
        <v>350.0</v>
      </c>
      <c r="F105" s="13">
        <v>87.0</v>
      </c>
      <c r="G105" s="19">
        <v>5470.0</v>
      </c>
      <c r="H105" s="19"/>
      <c r="I105" s="19"/>
      <c r="J105" s="19" t="s">
        <v>38</v>
      </c>
      <c r="K105" s="19" t="s">
        <v>43</v>
      </c>
      <c r="L105" s="19" t="s">
        <v>2749</v>
      </c>
      <c r="M105" s="19" t="s">
        <v>2764</v>
      </c>
      <c r="N105" s="19" t="s">
        <v>2793</v>
      </c>
    </row>
    <row r="106" ht="56.25" customHeight="1">
      <c r="A106" s="13" t="s">
        <v>4206</v>
      </c>
      <c r="B106" s="48" t="str">
        <f>IMAGE("https://storage.googleapis.com/acdb/shoes/ShoesSandalBeachborder7.png")</f>
        <v/>
      </c>
      <c r="C106" s="19" t="s">
        <v>208</v>
      </c>
      <c r="D106" s="25" t="s">
        <v>28</v>
      </c>
      <c r="E106" s="13">
        <v>350.0</v>
      </c>
      <c r="F106" s="13">
        <v>87.0</v>
      </c>
      <c r="G106" s="19">
        <v>5470.0</v>
      </c>
      <c r="H106" s="19"/>
      <c r="I106" s="19"/>
      <c r="J106" s="19" t="s">
        <v>38</v>
      </c>
      <c r="K106" s="19" t="s">
        <v>43</v>
      </c>
      <c r="L106" s="19" t="s">
        <v>2749</v>
      </c>
      <c r="M106" s="19" t="s">
        <v>2764</v>
      </c>
      <c r="N106" s="19" t="s">
        <v>2793</v>
      </c>
    </row>
    <row r="107" ht="56.25" customHeight="1">
      <c r="A107" s="23" t="s">
        <v>4208</v>
      </c>
      <c r="B107" s="48" t="str">
        <f>IMAGE("https://storage.googleapis.com/acdb/shoes/ShoesSandalFlower0.png")</f>
        <v/>
      </c>
      <c r="C107" s="22" t="str">
        <f>HYPERLINK("https://imgur.com/a/mRyAesg","Yes")</f>
        <v>Yes</v>
      </c>
      <c r="D107" s="25" t="s">
        <v>28</v>
      </c>
      <c r="E107" s="13">
        <v>1200.0</v>
      </c>
      <c r="F107" s="13">
        <v>300.0</v>
      </c>
      <c r="G107" s="19">
        <v>5475.0</v>
      </c>
      <c r="H107" s="19" t="s">
        <v>211</v>
      </c>
      <c r="I107" s="19" t="s">
        <v>82</v>
      </c>
      <c r="J107" s="19" t="s">
        <v>38</v>
      </c>
      <c r="K107" s="19" t="s">
        <v>43</v>
      </c>
      <c r="L107" s="19" t="s">
        <v>2749</v>
      </c>
      <c r="M107" s="19" t="s">
        <v>2751</v>
      </c>
      <c r="N107" s="19" t="s">
        <v>384</v>
      </c>
    </row>
    <row r="108" ht="56.25" customHeight="1">
      <c r="A108" s="23" t="s">
        <v>4210</v>
      </c>
      <c r="B108" s="48" t="str">
        <f>IMAGE("https://storage.googleapis.com/acdb/shoes/ShoesLowcutBrogues0.png")</f>
        <v/>
      </c>
      <c r="C108" s="22" t="str">
        <f>HYPERLINK("https://imgur.com/a/mbZBdxy","Yes")</f>
        <v>Yes</v>
      </c>
      <c r="D108" s="25" t="s">
        <v>28</v>
      </c>
      <c r="E108" s="13">
        <v>2340.0</v>
      </c>
      <c r="F108" s="13">
        <v>585.0</v>
      </c>
      <c r="G108" s="19">
        <v>6042.0</v>
      </c>
      <c r="H108" s="19" t="s">
        <v>118</v>
      </c>
      <c r="I108" s="19" t="s">
        <v>118</v>
      </c>
      <c r="J108" s="19" t="s">
        <v>38</v>
      </c>
      <c r="K108" s="19" t="s">
        <v>43</v>
      </c>
      <c r="L108" s="19" t="s">
        <v>4018</v>
      </c>
      <c r="M108" s="19"/>
      <c r="N108" s="19" t="s">
        <v>852</v>
      </c>
    </row>
    <row r="109" ht="56.25" customHeight="1">
      <c r="A109" s="23" t="s">
        <v>4212</v>
      </c>
      <c r="B109" s="48" t="str">
        <f>IMAGE("https://storage.googleapis.com/acdb/shoes/ShoesSandalGladiator0.png")</f>
        <v/>
      </c>
      <c r="C109" s="22" t="str">
        <f>HYPERLINK("https://imgur.com/a/oYnVt8p","Yes")</f>
        <v>Yes</v>
      </c>
      <c r="D109" s="25" t="s">
        <v>28</v>
      </c>
      <c r="E109" s="13">
        <v>1800.0</v>
      </c>
      <c r="F109" s="13">
        <v>450.0</v>
      </c>
      <c r="G109" s="19">
        <v>5620.0</v>
      </c>
      <c r="H109" s="19" t="s">
        <v>118</v>
      </c>
      <c r="I109" s="19" t="s">
        <v>118</v>
      </c>
      <c r="J109" s="19" t="s">
        <v>38</v>
      </c>
      <c r="K109" s="19" t="s">
        <v>43</v>
      </c>
      <c r="L109" s="19" t="s">
        <v>2749</v>
      </c>
      <c r="M109" s="19" t="s">
        <v>2764</v>
      </c>
      <c r="N109" s="19" t="s">
        <v>2863</v>
      </c>
    </row>
    <row r="110" ht="56.25" customHeight="1">
      <c r="A110" s="23" t="s">
        <v>4215</v>
      </c>
      <c r="B110" s="48" t="str">
        <f>IMAGE("https://storage.googleapis.com/acdb/shoes/ShoesKneeKnightGold.png")</f>
        <v/>
      </c>
      <c r="C110" s="15" t="s">
        <v>40</v>
      </c>
      <c r="D110" s="25" t="s">
        <v>50</v>
      </c>
      <c r="E110" s="24" t="s">
        <v>51</v>
      </c>
      <c r="F110" s="13">
        <v>40000.0</v>
      </c>
      <c r="G110" s="19">
        <v>5524.0</v>
      </c>
      <c r="H110" s="19" t="s">
        <v>211</v>
      </c>
      <c r="I110" s="19" t="s">
        <v>211</v>
      </c>
      <c r="J110" s="19" t="s">
        <v>38</v>
      </c>
      <c r="K110" s="19" t="s">
        <v>54</v>
      </c>
      <c r="L110" s="19" t="s">
        <v>55</v>
      </c>
      <c r="M110" s="19"/>
      <c r="N110" s="19" t="s">
        <v>852</v>
      </c>
    </row>
    <row r="111" ht="56.25" customHeight="1">
      <c r="A111" s="23" t="s">
        <v>4217</v>
      </c>
      <c r="B111" s="48" t="str">
        <f>IMAGE("https://storage.googleapis.com/acdb/shoes/ShoesHighcutHightech0.png")</f>
        <v/>
      </c>
      <c r="C111" s="22" t="str">
        <f>HYPERLINK("https://imgur.com/a/YMOc9EG","Yes")</f>
        <v>Yes</v>
      </c>
      <c r="D111" s="25" t="s">
        <v>28</v>
      </c>
      <c r="E111" s="13">
        <v>1260.0</v>
      </c>
      <c r="F111" s="13">
        <v>315.0</v>
      </c>
      <c r="G111" s="19">
        <v>5659.0</v>
      </c>
      <c r="H111" s="19" t="s">
        <v>521</v>
      </c>
      <c r="I111" s="19" t="s">
        <v>211</v>
      </c>
      <c r="J111" s="19" t="s">
        <v>38</v>
      </c>
      <c r="K111" s="19" t="s">
        <v>43</v>
      </c>
      <c r="L111" s="19" t="s">
        <v>2749</v>
      </c>
      <c r="M111" s="19" t="s">
        <v>2751</v>
      </c>
      <c r="N111" s="19" t="s">
        <v>2756</v>
      </c>
    </row>
    <row r="112" ht="56.25" customHeight="1">
      <c r="A112" s="23" t="s">
        <v>4221</v>
      </c>
      <c r="B112" s="48" t="str">
        <f>IMAGE("https://storage.googleapis.com/acdb/shoes/ShoesHighcutSneaker0.png")</f>
        <v/>
      </c>
      <c r="C112" s="22" t="str">
        <f>HYPERLINK("https://imgur.com/a/bLRuEqc","Yes")</f>
        <v>Yes</v>
      </c>
      <c r="D112" s="25" t="s">
        <v>28</v>
      </c>
      <c r="E112" s="13">
        <v>1080.0</v>
      </c>
      <c r="F112" s="13">
        <v>270.0</v>
      </c>
      <c r="G112" s="19">
        <v>2572.0</v>
      </c>
      <c r="H112" s="19" t="s">
        <v>94</v>
      </c>
      <c r="I112" s="19" t="s">
        <v>99</v>
      </c>
      <c r="J112" s="19" t="s">
        <v>38</v>
      </c>
      <c r="K112" s="19" t="s">
        <v>43</v>
      </c>
      <c r="L112" s="19" t="s">
        <v>2749</v>
      </c>
      <c r="M112" s="19" t="s">
        <v>2751</v>
      </c>
      <c r="N112" s="19" t="s">
        <v>2744</v>
      </c>
    </row>
    <row r="113" ht="56.25" customHeight="1">
      <c r="A113" s="23" t="s">
        <v>4224</v>
      </c>
      <c r="B113" s="48" t="str">
        <f>IMAGE("https://storage.googleapis.com/acdb/shoes/ShoesSandalRoomborder0.png")</f>
        <v/>
      </c>
      <c r="C113" s="22" t="str">
        <f>HYPERLINK("https://imgur.com/a/0RDJVn6","Yes")</f>
        <v>Yes</v>
      </c>
      <c r="D113" s="25" t="s">
        <v>28</v>
      </c>
      <c r="E113" s="13">
        <v>490.0</v>
      </c>
      <c r="F113" s="13">
        <v>122.0</v>
      </c>
      <c r="G113" s="19">
        <v>5564.0</v>
      </c>
      <c r="H113" s="19" t="s">
        <v>94</v>
      </c>
      <c r="I113" s="19" t="s">
        <v>82</v>
      </c>
      <c r="J113" s="19" t="s">
        <v>38</v>
      </c>
      <c r="K113" s="19" t="s">
        <v>43</v>
      </c>
      <c r="L113" s="19" t="s">
        <v>2749</v>
      </c>
      <c r="M113" s="19" t="s">
        <v>2764</v>
      </c>
      <c r="N113" s="19" t="s">
        <v>2744</v>
      </c>
    </row>
    <row r="114" ht="56.25" customHeight="1">
      <c r="A114" s="23" t="s">
        <v>4227</v>
      </c>
      <c r="B114" s="48" t="str">
        <f>IMAGE("https://storage.googleapis.com/acdb/shoes/ShoesKneeClown0.png")</f>
        <v/>
      </c>
      <c r="C114" s="22" t="str">
        <f>HYPERLINK("https://imgur.com/a/59Vh2BO","Yes")</f>
        <v>Yes</v>
      </c>
      <c r="D114" s="25" t="s">
        <v>28</v>
      </c>
      <c r="E114" s="13">
        <v>1900.0</v>
      </c>
      <c r="F114" s="13">
        <v>475.0</v>
      </c>
      <c r="G114" s="19">
        <v>5639.0</v>
      </c>
      <c r="H114" s="19" t="s">
        <v>464</v>
      </c>
      <c r="I114" s="19" t="s">
        <v>208</v>
      </c>
      <c r="J114" s="19" t="s">
        <v>38</v>
      </c>
      <c r="K114" s="19" t="s">
        <v>43</v>
      </c>
      <c r="L114" s="19" t="s">
        <v>4018</v>
      </c>
      <c r="M114" s="19"/>
      <c r="N114" s="19" t="s">
        <v>2793</v>
      </c>
    </row>
    <row r="115" ht="56.25" customHeight="1">
      <c r="A115" s="23" t="s">
        <v>4229</v>
      </c>
      <c r="B115" s="48" t="str">
        <f>IMAGE("https://storage.googleapis.com/acdb/shoes/ShoesHighcutSports0.png")</f>
        <v/>
      </c>
      <c r="C115" s="22" t="str">
        <f>HYPERLINK("https://imgur.com/a/804PiKh","Yes")</f>
        <v>Yes</v>
      </c>
      <c r="D115" s="25" t="s">
        <v>28</v>
      </c>
      <c r="E115" s="13">
        <v>700.0</v>
      </c>
      <c r="F115" s="13">
        <v>175.0</v>
      </c>
      <c r="G115" s="19">
        <v>5761.0</v>
      </c>
      <c r="H115" s="19" t="s">
        <v>208</v>
      </c>
      <c r="I115" s="19" t="s">
        <v>211</v>
      </c>
      <c r="J115" s="19" t="s">
        <v>38</v>
      </c>
      <c r="K115" s="19" t="s">
        <v>43</v>
      </c>
      <c r="L115" s="19" t="s">
        <v>4018</v>
      </c>
      <c r="M115" s="19"/>
      <c r="N115" s="19" t="s">
        <v>2793</v>
      </c>
    </row>
    <row r="116" ht="56.25" customHeight="1">
      <c r="A116" s="23" t="s">
        <v>4232</v>
      </c>
      <c r="B116" s="48" t="str">
        <f>IMAGE("https://storage.googleapis.com/acdb/shoes/ShoesSandalGeta0.png")</f>
        <v/>
      </c>
      <c r="C116" s="19" t="s">
        <v>99</v>
      </c>
      <c r="D116" s="25" t="s">
        <v>28</v>
      </c>
      <c r="E116" s="13">
        <v>1600.0</v>
      </c>
      <c r="F116" s="13">
        <v>400.0</v>
      </c>
      <c r="G116" s="19">
        <v>3704.0</v>
      </c>
      <c r="H116" s="19" t="s">
        <v>99</v>
      </c>
      <c r="I116" s="19" t="s">
        <v>1608</v>
      </c>
      <c r="J116" s="19" t="s">
        <v>38</v>
      </c>
      <c r="K116" s="19" t="s">
        <v>43</v>
      </c>
      <c r="L116" s="19" t="s">
        <v>4018</v>
      </c>
      <c r="M116" s="19"/>
      <c r="N116" s="19" t="s">
        <v>2744</v>
      </c>
    </row>
    <row r="117" ht="56.25" customHeight="1">
      <c r="A117" s="13" t="s">
        <v>4232</v>
      </c>
      <c r="B117" s="48" t="str">
        <f>IMAGE("https://storage.googleapis.com/acdb/shoes/ShoesSandalGeta1.png")</f>
        <v/>
      </c>
      <c r="C117" s="19" t="s">
        <v>208</v>
      </c>
      <c r="D117" s="25" t="s">
        <v>28</v>
      </c>
      <c r="E117" s="13">
        <v>1600.0</v>
      </c>
      <c r="F117" s="13">
        <v>400.0</v>
      </c>
      <c r="G117" s="19">
        <v>3704.0</v>
      </c>
      <c r="H117" s="19"/>
      <c r="I117" s="19"/>
      <c r="J117" s="19" t="s">
        <v>38</v>
      </c>
      <c r="K117" s="19" t="s">
        <v>43</v>
      </c>
      <c r="L117" s="19" t="s">
        <v>4018</v>
      </c>
      <c r="M117" s="19"/>
      <c r="N117" s="19" t="s">
        <v>2744</v>
      </c>
    </row>
    <row r="118" ht="56.25" customHeight="1">
      <c r="A118" s="13" t="s">
        <v>4232</v>
      </c>
      <c r="B118" s="48" t="str">
        <f>IMAGE("https://storage.googleapis.com/acdb/shoes/ShoesSandalGeta2.png")</f>
        <v/>
      </c>
      <c r="C118" s="19" t="s">
        <v>107</v>
      </c>
      <c r="D118" s="25" t="s">
        <v>28</v>
      </c>
      <c r="E118" s="13">
        <v>1600.0</v>
      </c>
      <c r="F118" s="13">
        <v>400.0</v>
      </c>
      <c r="G118" s="19">
        <v>3704.0</v>
      </c>
      <c r="H118" s="19"/>
      <c r="I118" s="19"/>
      <c r="J118" s="19" t="s">
        <v>38</v>
      </c>
      <c r="K118" s="19" t="s">
        <v>43</v>
      </c>
      <c r="L118" s="19" t="s">
        <v>4018</v>
      </c>
      <c r="M118" s="19"/>
      <c r="N118" s="19" t="s">
        <v>2744</v>
      </c>
    </row>
    <row r="119" ht="56.25" customHeight="1">
      <c r="A119" s="13" t="s">
        <v>4232</v>
      </c>
      <c r="B119" s="48" t="str">
        <f>IMAGE("https://storage.googleapis.com/acdb/shoes/ShoesSandalGeta3.png")</f>
        <v/>
      </c>
      <c r="C119" s="19" t="s">
        <v>4238</v>
      </c>
      <c r="D119" s="25" t="s">
        <v>28</v>
      </c>
      <c r="E119" s="13">
        <v>1600.0</v>
      </c>
      <c r="F119" s="13">
        <v>400.0</v>
      </c>
      <c r="G119" s="19">
        <v>3704.0</v>
      </c>
      <c r="H119" s="19"/>
      <c r="I119" s="19"/>
      <c r="J119" s="19" t="s">
        <v>38</v>
      </c>
      <c r="K119" s="19" t="s">
        <v>43</v>
      </c>
      <c r="L119" s="19" t="s">
        <v>4018</v>
      </c>
      <c r="M119" s="19"/>
      <c r="N119" s="19" t="s">
        <v>2744</v>
      </c>
    </row>
    <row r="120" ht="56.25" customHeight="1">
      <c r="A120" s="13" t="s">
        <v>4232</v>
      </c>
      <c r="B120" s="48" t="str">
        <f>IMAGE("https://storage.googleapis.com/acdb/shoes/ShoesSandalGeta4.png")</f>
        <v/>
      </c>
      <c r="C120" s="19" t="s">
        <v>94</v>
      </c>
      <c r="D120" s="25" t="s">
        <v>28</v>
      </c>
      <c r="E120" s="13">
        <v>1600.0</v>
      </c>
      <c r="F120" s="13">
        <v>400.0</v>
      </c>
      <c r="G120" s="19">
        <v>3704.0</v>
      </c>
      <c r="H120" s="19"/>
      <c r="I120" s="19"/>
      <c r="J120" s="19" t="s">
        <v>38</v>
      </c>
      <c r="K120" s="19" t="s">
        <v>43</v>
      </c>
      <c r="L120" s="19" t="s">
        <v>4018</v>
      </c>
      <c r="M120" s="19"/>
      <c r="N120" s="19" t="s">
        <v>2744</v>
      </c>
    </row>
    <row r="121" ht="56.25" customHeight="1">
      <c r="A121" s="13" t="s">
        <v>4232</v>
      </c>
      <c r="B121" s="48" t="str">
        <f>IMAGE("https://storage.googleapis.com/acdb/shoes/ShoesSandalGeta5.png")</f>
        <v/>
      </c>
      <c r="C121" s="19" t="s">
        <v>464</v>
      </c>
      <c r="D121" s="25" t="s">
        <v>28</v>
      </c>
      <c r="E121" s="13">
        <v>1600.0</v>
      </c>
      <c r="F121" s="13">
        <v>400.0</v>
      </c>
      <c r="G121" s="19">
        <v>3704.0</v>
      </c>
      <c r="H121" s="19"/>
      <c r="I121" s="19"/>
      <c r="J121" s="19" t="s">
        <v>38</v>
      </c>
      <c r="K121" s="19" t="s">
        <v>43</v>
      </c>
      <c r="L121" s="19" t="s">
        <v>4018</v>
      </c>
      <c r="M121" s="19"/>
      <c r="N121" s="19" t="s">
        <v>2744</v>
      </c>
    </row>
    <row r="122" ht="56.25" customHeight="1">
      <c r="A122" s="13" t="s">
        <v>4232</v>
      </c>
      <c r="B122" s="48" t="str">
        <f>IMAGE("https://storage.googleapis.com/acdb/shoes/ShoesSandalGeta6.png")</f>
        <v/>
      </c>
      <c r="C122" s="19" t="s">
        <v>211</v>
      </c>
      <c r="D122" s="25" t="s">
        <v>28</v>
      </c>
      <c r="E122" s="13">
        <v>1600.0</v>
      </c>
      <c r="F122" s="13">
        <v>400.0</v>
      </c>
      <c r="G122" s="19">
        <v>3704.0</v>
      </c>
      <c r="H122" s="19"/>
      <c r="I122" s="19"/>
      <c r="J122" s="19" t="s">
        <v>38</v>
      </c>
      <c r="K122" s="19" t="s">
        <v>43</v>
      </c>
      <c r="L122" s="19" t="s">
        <v>4018</v>
      </c>
      <c r="M122" s="19"/>
      <c r="N122" s="19" t="s">
        <v>2744</v>
      </c>
    </row>
    <row r="123" ht="56.25" customHeight="1">
      <c r="A123" s="13" t="s">
        <v>4232</v>
      </c>
      <c r="B123" s="48" t="str">
        <f>IMAGE("https://storage.googleapis.com/acdb/shoes/ShoesSandalGeta7.png")</f>
        <v/>
      </c>
      <c r="C123" s="19" t="s">
        <v>369</v>
      </c>
      <c r="D123" s="25" t="s">
        <v>28</v>
      </c>
      <c r="E123" s="13">
        <v>1600.0</v>
      </c>
      <c r="F123" s="13">
        <v>400.0</v>
      </c>
      <c r="G123" s="19">
        <v>3704.0</v>
      </c>
      <c r="H123" s="19"/>
      <c r="I123" s="19"/>
      <c r="J123" s="19" t="s">
        <v>38</v>
      </c>
      <c r="K123" s="19" t="s">
        <v>43</v>
      </c>
      <c r="L123" s="19" t="s">
        <v>4018</v>
      </c>
      <c r="M123" s="19"/>
      <c r="N123" s="19" t="s">
        <v>2744</v>
      </c>
    </row>
    <row r="124" ht="56.25" customHeight="1">
      <c r="A124" s="23" t="s">
        <v>4244</v>
      </c>
      <c r="B124" s="48" t="str">
        <f>IMAGE("https://storage.googleapis.com/acdb/shoes/ShoesLowcutKungfu0.png")</f>
        <v/>
      </c>
      <c r="C124" s="19" t="s">
        <v>99</v>
      </c>
      <c r="D124" s="25" t="s">
        <v>28</v>
      </c>
      <c r="E124" s="13">
        <v>1260.0</v>
      </c>
      <c r="F124" s="13">
        <v>315.0</v>
      </c>
      <c r="G124" s="19">
        <v>9846.0</v>
      </c>
      <c r="H124" s="19" t="s">
        <v>99</v>
      </c>
      <c r="I124" s="19" t="s">
        <v>82</v>
      </c>
      <c r="J124" s="19" t="s">
        <v>38</v>
      </c>
      <c r="K124" s="19" t="s">
        <v>43</v>
      </c>
      <c r="L124" s="19" t="s">
        <v>4018</v>
      </c>
      <c r="M124" s="19"/>
      <c r="N124" s="19" t="s">
        <v>2793</v>
      </c>
    </row>
    <row r="125" ht="56.25" customHeight="1">
      <c r="A125" s="23" t="s">
        <v>4246</v>
      </c>
      <c r="B125" s="48" t="str">
        <f>IMAGE("https://storage.googleapis.com/acdb/shoes/ShoesLowcutKateheel0.png")</f>
        <v/>
      </c>
      <c r="C125" s="19" t="s">
        <v>4247</v>
      </c>
      <c r="D125" s="25" t="s">
        <v>28</v>
      </c>
      <c r="E125" s="13">
        <v>3500.0</v>
      </c>
      <c r="F125" s="13">
        <v>875.0</v>
      </c>
      <c r="G125" s="19">
        <v>9884.0</v>
      </c>
      <c r="H125" s="19" t="s">
        <v>464</v>
      </c>
      <c r="I125" s="19" t="s">
        <v>94</v>
      </c>
      <c r="J125" s="19" t="s">
        <v>38</v>
      </c>
      <c r="K125" s="19" t="s">
        <v>43</v>
      </c>
      <c r="L125" s="19" t="s">
        <v>3134</v>
      </c>
      <c r="M125" s="19"/>
      <c r="N125" s="19" t="s">
        <v>2863</v>
      </c>
    </row>
    <row r="126" ht="56.25" customHeight="1">
      <c r="A126" s="23" t="s">
        <v>4246</v>
      </c>
      <c r="B126" s="48" t="str">
        <f>IMAGE("https://storage.googleapis.com/acdb/shoes/ShoesLowcutKateheel1.png")</f>
        <v/>
      </c>
      <c r="C126" s="19" t="s">
        <v>4249</v>
      </c>
      <c r="D126" s="25" t="s">
        <v>28</v>
      </c>
      <c r="E126" s="13">
        <v>3500.0</v>
      </c>
      <c r="F126" s="13">
        <v>875.0</v>
      </c>
      <c r="G126" s="19">
        <v>9884.0</v>
      </c>
      <c r="H126" s="19"/>
      <c r="I126" s="19"/>
      <c r="J126" s="19" t="s">
        <v>38</v>
      </c>
      <c r="K126" s="19" t="s">
        <v>43</v>
      </c>
      <c r="L126" s="19" t="s">
        <v>3134</v>
      </c>
      <c r="M126" s="19"/>
      <c r="N126" s="19" t="s">
        <v>2863</v>
      </c>
    </row>
    <row r="127" ht="56.25" customHeight="1">
      <c r="A127" s="23" t="s">
        <v>4246</v>
      </c>
      <c r="B127" s="48" t="str">
        <f>IMAGE("https://storage.googleapis.com/acdb/shoes/ShoesLowcutKateheel2.png")</f>
        <v/>
      </c>
      <c r="C127" s="19" t="s">
        <v>4252</v>
      </c>
      <c r="D127" s="25" t="s">
        <v>28</v>
      </c>
      <c r="E127" s="13">
        <v>3500.0</v>
      </c>
      <c r="F127" s="13">
        <v>875.0</v>
      </c>
      <c r="G127" s="19">
        <v>9884.0</v>
      </c>
      <c r="H127" s="19"/>
      <c r="I127" s="19"/>
      <c r="J127" s="19" t="s">
        <v>38</v>
      </c>
      <c r="K127" s="19" t="s">
        <v>43</v>
      </c>
      <c r="L127" s="19" t="s">
        <v>3134</v>
      </c>
      <c r="M127" s="19"/>
      <c r="N127" s="19" t="s">
        <v>2863</v>
      </c>
    </row>
    <row r="128" ht="56.25" customHeight="1">
      <c r="A128" s="23" t="s">
        <v>4246</v>
      </c>
      <c r="B128" s="48" t="str">
        <f>IMAGE("https://storage.googleapis.com/acdb/shoes/ShoesLowcutKateheel3.png")</f>
        <v/>
      </c>
      <c r="C128" s="19" t="s">
        <v>4255</v>
      </c>
      <c r="D128" s="25" t="s">
        <v>28</v>
      </c>
      <c r="E128" s="13">
        <v>3500.0</v>
      </c>
      <c r="F128" s="13">
        <v>875.0</v>
      </c>
      <c r="G128" s="19">
        <v>9884.0</v>
      </c>
      <c r="H128" s="19"/>
      <c r="I128" s="19"/>
      <c r="J128" s="19" t="s">
        <v>38</v>
      </c>
      <c r="K128" s="19" t="s">
        <v>43</v>
      </c>
      <c r="L128" s="19" t="s">
        <v>3134</v>
      </c>
      <c r="M128" s="19"/>
      <c r="N128" s="19" t="s">
        <v>2863</v>
      </c>
    </row>
    <row r="129" ht="56.25" customHeight="1">
      <c r="A129" s="23" t="s">
        <v>4246</v>
      </c>
      <c r="B129" s="48" t="str">
        <f>IMAGE("https://storage.googleapis.com/acdb/shoes/ShoesLowcutKateheel4.png")</f>
        <v/>
      </c>
      <c r="C129" s="19" t="s">
        <v>4257</v>
      </c>
      <c r="D129" s="25" t="s">
        <v>28</v>
      </c>
      <c r="E129" s="13">
        <v>3500.0</v>
      </c>
      <c r="F129" s="13">
        <v>875.0</v>
      </c>
      <c r="G129" s="19">
        <v>9884.0</v>
      </c>
      <c r="H129" s="19"/>
      <c r="I129" s="19"/>
      <c r="J129" s="19" t="s">
        <v>38</v>
      </c>
      <c r="K129" s="19" t="s">
        <v>43</v>
      </c>
      <c r="L129" s="19" t="s">
        <v>3134</v>
      </c>
      <c r="M129" s="19"/>
      <c r="N129" s="19" t="s">
        <v>2863</v>
      </c>
    </row>
    <row r="130" ht="56.25" customHeight="1">
      <c r="A130" s="23" t="s">
        <v>4246</v>
      </c>
      <c r="B130" s="48" t="str">
        <f>IMAGE("https://storage.googleapis.com/acdb/shoes/ShoesLowcutKateheel5.png")</f>
        <v/>
      </c>
      <c r="C130" s="19" t="s">
        <v>4259</v>
      </c>
      <c r="D130" s="25" t="s">
        <v>28</v>
      </c>
      <c r="E130" s="13">
        <v>3500.0</v>
      </c>
      <c r="F130" s="13">
        <v>875.0</v>
      </c>
      <c r="G130" s="19">
        <v>9884.0</v>
      </c>
      <c r="H130" s="19"/>
      <c r="I130" s="19"/>
      <c r="J130" s="19" t="s">
        <v>38</v>
      </c>
      <c r="K130" s="19" t="s">
        <v>43</v>
      </c>
      <c r="L130" s="19" t="s">
        <v>3134</v>
      </c>
      <c r="M130" s="19"/>
      <c r="N130" s="19" t="s">
        <v>2863</v>
      </c>
    </row>
    <row r="131" ht="56.25" customHeight="1">
      <c r="A131" s="23" t="s">
        <v>4260</v>
      </c>
      <c r="B131" s="48" t="str">
        <f>IMAGE("https://storage.googleapis.com/acdb/shoes/ShoesHighcutKatesneaker0.png")</f>
        <v/>
      </c>
      <c r="C131" s="19" t="s">
        <v>4247</v>
      </c>
      <c r="D131" s="25" t="s">
        <v>28</v>
      </c>
      <c r="E131" s="13">
        <v>3300.0</v>
      </c>
      <c r="F131" s="13">
        <v>825.0</v>
      </c>
      <c r="G131" s="19">
        <v>9885.0</v>
      </c>
      <c r="H131" s="19" t="s">
        <v>464</v>
      </c>
      <c r="I131" s="19" t="s">
        <v>99</v>
      </c>
      <c r="J131" s="19" t="s">
        <v>38</v>
      </c>
      <c r="K131" s="19" t="s">
        <v>43</v>
      </c>
      <c r="L131" s="19" t="s">
        <v>3134</v>
      </c>
      <c r="M131" s="19"/>
      <c r="N131" s="19" t="s">
        <v>2756</v>
      </c>
    </row>
    <row r="132" ht="56.25" customHeight="1">
      <c r="A132" s="13" t="s">
        <v>4264</v>
      </c>
      <c r="B132" s="48" t="str">
        <f>IMAGE("https://storage.googleapis.com/acdb/shoes/ShoesHighcutKatesneaker1.png")</f>
        <v/>
      </c>
      <c r="C132" s="19" t="s">
        <v>4249</v>
      </c>
      <c r="D132" s="25" t="s">
        <v>28</v>
      </c>
      <c r="E132" s="13">
        <v>3300.0</v>
      </c>
      <c r="F132" s="13">
        <v>825.0</v>
      </c>
      <c r="G132" s="19">
        <v>9885.0</v>
      </c>
      <c r="H132" s="19"/>
      <c r="I132" s="19"/>
      <c r="J132" s="19" t="s">
        <v>38</v>
      </c>
      <c r="K132" s="19" t="s">
        <v>43</v>
      </c>
      <c r="L132" s="19" t="s">
        <v>3134</v>
      </c>
      <c r="M132" s="19"/>
      <c r="N132" s="19" t="s">
        <v>2756</v>
      </c>
    </row>
    <row r="133" ht="56.25" customHeight="1">
      <c r="A133" s="13" t="s">
        <v>4264</v>
      </c>
      <c r="B133" s="48" t="str">
        <f>IMAGE("https://storage.googleapis.com/acdb/shoes/ShoesHighcutKatesneaker2.png")</f>
        <v/>
      </c>
      <c r="C133" s="19" t="s">
        <v>4252</v>
      </c>
      <c r="D133" s="25" t="s">
        <v>28</v>
      </c>
      <c r="E133" s="13">
        <v>3300.0</v>
      </c>
      <c r="F133" s="13">
        <v>825.0</v>
      </c>
      <c r="G133" s="19">
        <v>9885.0</v>
      </c>
      <c r="H133" s="19"/>
      <c r="I133" s="19"/>
      <c r="J133" s="19" t="s">
        <v>38</v>
      </c>
      <c r="K133" s="19" t="s">
        <v>43</v>
      </c>
      <c r="L133" s="19" t="s">
        <v>3134</v>
      </c>
      <c r="M133" s="19"/>
      <c r="N133" s="19" t="s">
        <v>2756</v>
      </c>
    </row>
    <row r="134" ht="56.25" customHeight="1">
      <c r="A134" s="13" t="s">
        <v>4264</v>
      </c>
      <c r="B134" s="48" t="str">
        <f>IMAGE("https://storage.googleapis.com/acdb/shoes/ShoesHighcutKatesneaker3.png")</f>
        <v/>
      </c>
      <c r="C134" s="19" t="s">
        <v>4255</v>
      </c>
      <c r="D134" s="25" t="s">
        <v>28</v>
      </c>
      <c r="E134" s="13">
        <v>3300.0</v>
      </c>
      <c r="F134" s="13">
        <v>825.0</v>
      </c>
      <c r="G134" s="19">
        <v>9885.0</v>
      </c>
      <c r="H134" s="19"/>
      <c r="I134" s="19"/>
      <c r="J134" s="19" t="s">
        <v>38</v>
      </c>
      <c r="K134" s="19" t="s">
        <v>43</v>
      </c>
      <c r="L134" s="19" t="s">
        <v>3134</v>
      </c>
      <c r="M134" s="19"/>
      <c r="N134" s="19" t="s">
        <v>2756</v>
      </c>
    </row>
    <row r="135" ht="56.25" customHeight="1">
      <c r="A135" s="13" t="s">
        <v>4264</v>
      </c>
      <c r="B135" s="48" t="str">
        <f>IMAGE("https://storage.googleapis.com/acdb/shoes/ShoesHighcutKatesneaker4.png")</f>
        <v/>
      </c>
      <c r="C135" s="19" t="s">
        <v>4257</v>
      </c>
      <c r="D135" s="25" t="s">
        <v>28</v>
      </c>
      <c r="E135" s="13">
        <v>3300.0</v>
      </c>
      <c r="F135" s="13">
        <v>825.0</v>
      </c>
      <c r="G135" s="19">
        <v>9885.0</v>
      </c>
      <c r="H135" s="19"/>
      <c r="I135" s="19"/>
      <c r="J135" s="19" t="s">
        <v>38</v>
      </c>
      <c r="K135" s="19" t="s">
        <v>43</v>
      </c>
      <c r="L135" s="19" t="s">
        <v>3134</v>
      </c>
      <c r="M135" s="19"/>
      <c r="N135" s="19" t="s">
        <v>2756</v>
      </c>
    </row>
    <row r="136" ht="56.25" customHeight="1">
      <c r="A136" s="13" t="s">
        <v>4264</v>
      </c>
      <c r="B136" s="48" t="str">
        <f>IMAGE("https://storage.googleapis.com/acdb/shoes/ShoesHighcutKatesneaker5.png")</f>
        <v/>
      </c>
      <c r="C136" s="19" t="s">
        <v>4259</v>
      </c>
      <c r="D136" s="25" t="s">
        <v>28</v>
      </c>
      <c r="E136" s="13">
        <v>3300.0</v>
      </c>
      <c r="F136" s="13">
        <v>825.0</v>
      </c>
      <c r="G136" s="19">
        <v>9885.0</v>
      </c>
      <c r="H136" s="19"/>
      <c r="I136" s="19"/>
      <c r="J136" s="19" t="s">
        <v>38</v>
      </c>
      <c r="K136" s="19" t="s">
        <v>43</v>
      </c>
      <c r="L136" s="19" t="s">
        <v>3134</v>
      </c>
      <c r="M136" s="19"/>
      <c r="N136" s="19" t="s">
        <v>2756</v>
      </c>
    </row>
    <row r="137" ht="56.25" customHeight="1">
      <c r="A137" s="23" t="s">
        <v>4272</v>
      </c>
      <c r="B137" s="48" t="str">
        <f>IMAGE("https://storage.googleapis.com/acdb/shoes/ShoesKneeLaceup0.png")</f>
        <v/>
      </c>
      <c r="C137" s="33" t="str">
        <f>HYPERLINK("https://imgur.com/a/Akzo6g8","Yes")</f>
        <v>Yes</v>
      </c>
      <c r="D137" s="25" t="s">
        <v>28</v>
      </c>
      <c r="E137" s="13">
        <v>1920.0</v>
      </c>
      <c r="F137" s="13">
        <v>480.0</v>
      </c>
      <c r="G137" s="19">
        <v>5667.0</v>
      </c>
      <c r="H137" s="19" t="s">
        <v>99</v>
      </c>
      <c r="I137" s="19" t="s">
        <v>99</v>
      </c>
      <c r="J137" s="19" t="s">
        <v>38</v>
      </c>
      <c r="K137" s="19" t="s">
        <v>43</v>
      </c>
      <c r="L137" s="19" t="s">
        <v>2749</v>
      </c>
      <c r="M137" s="19" t="s">
        <v>2751</v>
      </c>
      <c r="N137" s="19" t="s">
        <v>2756</v>
      </c>
    </row>
    <row r="138" ht="56.25" customHeight="1">
      <c r="A138" s="23" t="s">
        <v>4275</v>
      </c>
      <c r="B138" s="48" t="str">
        <f>IMAGE("https://storage.googleapis.com/acdb/shoes/ShoesLowcutEggleaf0.png")</f>
        <v/>
      </c>
      <c r="C138" s="19" t="s">
        <v>369</v>
      </c>
      <c r="D138" s="15" t="s">
        <v>50</v>
      </c>
      <c r="E138" s="24" t="s">
        <v>51</v>
      </c>
      <c r="F138" s="24">
        <v>800.0</v>
      </c>
      <c r="G138" s="19"/>
      <c r="H138" s="19"/>
      <c r="I138" s="19"/>
      <c r="J138" s="19" t="s">
        <v>38</v>
      </c>
      <c r="K138" s="19" t="s">
        <v>54</v>
      </c>
      <c r="L138" s="19" t="s">
        <v>55</v>
      </c>
      <c r="M138" s="19"/>
      <c r="N138" s="19"/>
    </row>
    <row r="139" ht="56.25" customHeight="1">
      <c r="A139" s="23" t="s">
        <v>4277</v>
      </c>
      <c r="B139" s="48" t="str">
        <f>IMAGE("https://storage.googleapis.com/acdb/shoes/ShoesLowcutLeopard0.png")</f>
        <v/>
      </c>
      <c r="C139" s="22" t="str">
        <f>HYPERLINK("https://imgur.com/a/6S7Fp84","Yes")</f>
        <v>Yes</v>
      </c>
      <c r="D139" s="25" t="s">
        <v>28</v>
      </c>
      <c r="E139" s="13">
        <v>1560.0</v>
      </c>
      <c r="F139" s="13">
        <v>390.0</v>
      </c>
      <c r="G139" s="19">
        <v>5477.0</v>
      </c>
      <c r="H139" s="19" t="s">
        <v>1608</v>
      </c>
      <c r="I139" s="19" t="s">
        <v>118</v>
      </c>
      <c r="J139" s="19" t="s">
        <v>38</v>
      </c>
      <c r="K139" s="19" t="s">
        <v>43</v>
      </c>
      <c r="L139" s="19" t="s">
        <v>2749</v>
      </c>
      <c r="M139" s="19" t="s">
        <v>2751</v>
      </c>
      <c r="N139" s="19" t="s">
        <v>2863</v>
      </c>
    </row>
    <row r="140" ht="56.25" customHeight="1">
      <c r="A140" s="23" t="s">
        <v>4280</v>
      </c>
      <c r="B140" s="48" t="str">
        <f>IMAGE("https://storage.googleapis.com/acdb/shoes/ShoesLowcutLoafers0.png")</f>
        <v/>
      </c>
      <c r="C140" s="22" t="str">
        <f>HYPERLINK("https://imgur.com/a/Cvmxg1v","Yes")</f>
        <v>Yes</v>
      </c>
      <c r="D140" s="25" t="s">
        <v>28</v>
      </c>
      <c r="E140" s="13">
        <v>1300.0</v>
      </c>
      <c r="F140" s="13">
        <v>325.0</v>
      </c>
      <c r="G140" s="19">
        <v>4724.0</v>
      </c>
      <c r="H140" s="19" t="s">
        <v>118</v>
      </c>
      <c r="I140" s="19" t="s">
        <v>118</v>
      </c>
      <c r="J140" s="19" t="s">
        <v>38</v>
      </c>
      <c r="K140" s="19" t="s">
        <v>43</v>
      </c>
      <c r="L140" s="19" t="s">
        <v>2749</v>
      </c>
      <c r="M140" s="19" t="s">
        <v>2751</v>
      </c>
      <c r="N140" s="19" t="s">
        <v>2744</v>
      </c>
    </row>
    <row r="141" ht="56.25" customHeight="1">
      <c r="A141" s="23" t="s">
        <v>4283</v>
      </c>
      <c r="B141" s="48" t="str">
        <f>IMAGE("https://storage.googleapis.com/acdb/shoes/ShoesKneeWitch0.png")</f>
        <v/>
      </c>
      <c r="C141" s="22" t="str">
        <f>HYPERLINK("https://imgur.com/a/9mdd5Je","Yes")</f>
        <v>Yes</v>
      </c>
      <c r="D141" s="25" t="s">
        <v>28</v>
      </c>
      <c r="E141" s="13">
        <v>1550.0</v>
      </c>
      <c r="F141" s="13">
        <v>387.0</v>
      </c>
      <c r="G141" s="19">
        <v>6894.0</v>
      </c>
      <c r="H141" s="19" t="s">
        <v>99</v>
      </c>
      <c r="I141" s="19" t="s">
        <v>464</v>
      </c>
      <c r="J141" s="19" t="s">
        <v>38</v>
      </c>
      <c r="K141" s="19" t="s">
        <v>43</v>
      </c>
      <c r="L141" s="19" t="s">
        <v>4018</v>
      </c>
      <c r="M141" s="19"/>
      <c r="N141" s="19" t="s">
        <v>2756</v>
      </c>
    </row>
    <row r="142" ht="56.25" customHeight="1">
      <c r="A142" s="23" t="s">
        <v>4285</v>
      </c>
      <c r="B142" s="48" t="str">
        <f>IMAGE("https://storage.googleapis.com/acdb/shoes/ShoesLowcutStrap0.png")</f>
        <v/>
      </c>
      <c r="C142" s="22" t="str">
        <f>HYPERLINK("https://imgur.com/a/L3ny4vp","Yes")</f>
        <v>Yes</v>
      </c>
      <c r="D142" s="25" t="s">
        <v>28</v>
      </c>
      <c r="E142" s="13">
        <v>1800.0</v>
      </c>
      <c r="F142" s="13">
        <v>450.0</v>
      </c>
      <c r="G142" s="19">
        <v>5471.0</v>
      </c>
      <c r="H142" s="19" t="s">
        <v>99</v>
      </c>
      <c r="I142" s="19" t="s">
        <v>99</v>
      </c>
      <c r="J142" s="19" t="s">
        <v>38</v>
      </c>
      <c r="K142" s="19" t="s">
        <v>43</v>
      </c>
      <c r="L142" s="19" t="s">
        <v>2749</v>
      </c>
      <c r="M142" s="19" t="s">
        <v>2751</v>
      </c>
      <c r="N142" s="19" t="s">
        <v>384</v>
      </c>
    </row>
    <row r="143" ht="56.25" customHeight="1">
      <c r="A143" s="23" t="s">
        <v>4287</v>
      </c>
      <c r="B143" s="48" t="str">
        <f>IMAGE("https://storage.googleapis.com/acdb/shoes/ShoesHighcutMoccasin0.png")</f>
        <v/>
      </c>
      <c r="C143" s="22" t="str">
        <f>HYPERLINK("https://imgur.com/a/qVWH5pf","Yes")</f>
        <v>Yes</v>
      </c>
      <c r="D143" s="25" t="s">
        <v>28</v>
      </c>
      <c r="E143" s="13">
        <v>1120.0</v>
      </c>
      <c r="F143" s="13">
        <v>280.0</v>
      </c>
      <c r="G143" s="19">
        <v>5542.0</v>
      </c>
      <c r="H143" s="19" t="s">
        <v>211</v>
      </c>
      <c r="I143" s="19" t="s">
        <v>1608</v>
      </c>
      <c r="J143" s="19" t="s">
        <v>38</v>
      </c>
      <c r="K143" s="19" t="s">
        <v>43</v>
      </c>
      <c r="L143" s="19" t="s">
        <v>2749</v>
      </c>
      <c r="M143" s="19" t="s">
        <v>2751</v>
      </c>
      <c r="N143" s="19" t="s">
        <v>2744</v>
      </c>
    </row>
    <row r="144" ht="56.25" customHeight="1">
      <c r="A144" s="23" t="s">
        <v>4290</v>
      </c>
      <c r="B144" s="48" t="str">
        <f>IMAGE("https://storage.googleapis.com/acdb/shoes/ShoesLowcutMoccasin0.png")</f>
        <v/>
      </c>
      <c r="C144" s="22" t="str">
        <f>HYPERLINK("https://imgur.com/a/LfJqVwl","Yes")</f>
        <v>Yes</v>
      </c>
      <c r="D144" s="25" t="s">
        <v>28</v>
      </c>
      <c r="E144" s="13">
        <v>1080.0</v>
      </c>
      <c r="F144" s="13">
        <v>270.0</v>
      </c>
      <c r="G144" s="19">
        <v>5807.0</v>
      </c>
      <c r="H144" s="19" t="s">
        <v>211</v>
      </c>
      <c r="I144" s="19" t="s">
        <v>118</v>
      </c>
      <c r="J144" s="19" t="s">
        <v>38</v>
      </c>
      <c r="K144" s="19" t="s">
        <v>43</v>
      </c>
      <c r="L144" s="19" t="s">
        <v>2749</v>
      </c>
      <c r="M144" s="19" t="s">
        <v>2751</v>
      </c>
      <c r="N144" s="19" t="s">
        <v>2863</v>
      </c>
    </row>
    <row r="145" ht="56.25" customHeight="1">
      <c r="A145" s="23" t="s">
        <v>4293</v>
      </c>
      <c r="B145" s="48" t="str">
        <f>IMAGE("https://storage.googleapis.com/acdb/shoes/ShoesSandalRco.png")</f>
        <v/>
      </c>
      <c r="C145" s="19" t="s">
        <v>82</v>
      </c>
      <c r="D145" s="15" t="s">
        <v>28</v>
      </c>
      <c r="E145" s="24" t="s">
        <v>51</v>
      </c>
      <c r="F145" s="13">
        <v>2000.0</v>
      </c>
      <c r="G145" s="19">
        <v>5630.0</v>
      </c>
      <c r="H145" s="19" t="s">
        <v>82</v>
      </c>
      <c r="I145" s="19" t="s">
        <v>369</v>
      </c>
      <c r="J145" s="19" t="s">
        <v>38</v>
      </c>
      <c r="K145" s="19" t="s">
        <v>54</v>
      </c>
      <c r="L145" s="19" t="s">
        <v>516</v>
      </c>
      <c r="M145" s="19"/>
      <c r="N145" s="19" t="s">
        <v>2744</v>
      </c>
    </row>
    <row r="146" ht="56.25" customHeight="1">
      <c r="A146" s="23" t="s">
        <v>4296</v>
      </c>
      <c r="B146" s="48" t="str">
        <f>IMAGE("https://storage.googleapis.com/acdb/shoes/ShoesSandalOutdoor0.png")</f>
        <v/>
      </c>
      <c r="C146" s="22" t="str">
        <f>HYPERLINK("https://imgur.com/a/H0thjZe","Yes")</f>
        <v>Yes</v>
      </c>
      <c r="D146" s="25" t="s">
        <v>28</v>
      </c>
      <c r="E146" s="13">
        <v>630.0</v>
      </c>
      <c r="F146" s="13">
        <v>157.0</v>
      </c>
      <c r="G146" s="19">
        <v>5640.0</v>
      </c>
      <c r="H146" s="19" t="s">
        <v>369</v>
      </c>
      <c r="I146" s="19" t="s">
        <v>99</v>
      </c>
      <c r="J146" s="19" t="s">
        <v>38</v>
      </c>
      <c r="K146" s="19" t="s">
        <v>43</v>
      </c>
      <c r="L146" s="19" t="s">
        <v>2749</v>
      </c>
      <c r="M146" s="19" t="s">
        <v>2764</v>
      </c>
      <c r="N146" s="19" t="s">
        <v>2793</v>
      </c>
    </row>
    <row r="147" ht="56.25" customHeight="1">
      <c r="A147" s="23" t="s">
        <v>4299</v>
      </c>
      <c r="B147" s="48" t="str">
        <f>IMAGE("https://storage.googleapis.com/acdb/shoes/ShoesLowcutAnimal0.png")</f>
        <v/>
      </c>
      <c r="C147" s="22" t="str">
        <f>HYPERLINK("https://imgur.com/a/SDlbrV7","Yes")</f>
        <v>Yes</v>
      </c>
      <c r="D147" s="25" t="s">
        <v>28</v>
      </c>
      <c r="E147" s="13">
        <v>1260.0</v>
      </c>
      <c r="F147" s="13">
        <v>315.0</v>
      </c>
      <c r="G147" s="19">
        <v>5469.0</v>
      </c>
      <c r="H147" s="19" t="s">
        <v>107</v>
      </c>
      <c r="I147" s="19" t="s">
        <v>107</v>
      </c>
      <c r="J147" s="19" t="s">
        <v>38</v>
      </c>
      <c r="K147" s="19" t="s">
        <v>43</v>
      </c>
      <c r="L147" s="19" t="s">
        <v>4018</v>
      </c>
      <c r="M147" s="19"/>
      <c r="N147" s="19" t="s">
        <v>384</v>
      </c>
    </row>
    <row r="148" ht="56.25" customHeight="1">
      <c r="A148" s="23" t="s">
        <v>4301</v>
      </c>
      <c r="B148" s="48" t="str">
        <f>IMAGE("https://storage.googleapis.com/acdb/shoes/ShoesHighcutShortboots0.png")</f>
        <v/>
      </c>
      <c r="C148" s="22" t="str">
        <f>HYPERLINK("https://imgur.com/a/ZTJPtLl","Yes")</f>
        <v>Yes</v>
      </c>
      <c r="D148" s="25" t="s">
        <v>28</v>
      </c>
      <c r="E148" s="13">
        <v>1280.0</v>
      </c>
      <c r="F148" s="13">
        <v>320.0</v>
      </c>
      <c r="G148" s="19">
        <v>5474.0</v>
      </c>
      <c r="H148" s="19" t="s">
        <v>118</v>
      </c>
      <c r="I148" s="19" t="s">
        <v>118</v>
      </c>
      <c r="J148" s="19" t="s">
        <v>38</v>
      </c>
      <c r="K148" s="19" t="s">
        <v>43</v>
      </c>
      <c r="L148" s="19" t="s">
        <v>2749</v>
      </c>
      <c r="M148" s="19" t="s">
        <v>2751</v>
      </c>
      <c r="N148" s="19" t="s">
        <v>2863</v>
      </c>
    </row>
    <row r="149" ht="56.25" customHeight="1">
      <c r="A149" s="23" t="s">
        <v>4304</v>
      </c>
      <c r="B149" s="48" t="str">
        <f>IMAGE("https://storage.googleapis.com/acdb/shoes/ShoesLowcutLeathersneker0.png")</f>
        <v/>
      </c>
      <c r="C149" s="22" t="str">
        <f>HYPERLINK("https://imgur.com/a/yEF99h2","Yes")</f>
        <v>Yes</v>
      </c>
      <c r="D149" s="25" t="s">
        <v>28</v>
      </c>
      <c r="E149" s="13">
        <v>700.0</v>
      </c>
      <c r="F149" s="13">
        <v>175.0</v>
      </c>
      <c r="G149" s="19">
        <v>4716.0</v>
      </c>
      <c r="H149" s="19" t="s">
        <v>82</v>
      </c>
      <c r="I149" s="19" t="s">
        <v>82</v>
      </c>
      <c r="J149" s="19" t="s">
        <v>38</v>
      </c>
      <c r="K149" s="19" t="s">
        <v>43</v>
      </c>
      <c r="L149" s="19" t="s">
        <v>2749</v>
      </c>
      <c r="M149" s="19" t="s">
        <v>2764</v>
      </c>
      <c r="N149" s="19" t="s">
        <v>2744</v>
      </c>
    </row>
    <row r="150" ht="56.25" customHeight="1">
      <c r="A150" s="23" t="s">
        <v>4308</v>
      </c>
      <c r="B150" s="48" t="str">
        <f>IMAGE("https://storage.googleapis.com/acdb/shoes/ShoesHighcutBobbles0.png")</f>
        <v/>
      </c>
      <c r="C150" s="22" t="str">
        <f>HYPERLINK("https://imgur.com/a/YU9vfUE","Yes")</f>
        <v>Yes</v>
      </c>
      <c r="D150" s="25" t="s">
        <v>28</v>
      </c>
      <c r="E150" s="13">
        <v>1600.0</v>
      </c>
      <c r="F150" s="13">
        <v>400.0</v>
      </c>
      <c r="G150" s="19">
        <v>5545.0</v>
      </c>
      <c r="H150" s="19" t="s">
        <v>107</v>
      </c>
      <c r="I150" s="19" t="s">
        <v>82</v>
      </c>
      <c r="J150" s="19" t="s">
        <v>38</v>
      </c>
      <c r="K150" s="19" t="s">
        <v>43</v>
      </c>
      <c r="L150" s="19" t="s">
        <v>2749</v>
      </c>
      <c r="M150" s="19" t="s">
        <v>2751</v>
      </c>
      <c r="N150" s="19" t="s">
        <v>384</v>
      </c>
    </row>
    <row r="151" ht="56.25" customHeight="1">
      <c r="A151" s="23" t="s">
        <v>4310</v>
      </c>
      <c r="B151" s="48" t="str">
        <f>IMAGE("https://storage.googleapis.com/acdb/shoes/ShoesKneePowered0.png")</f>
        <v/>
      </c>
      <c r="C151" s="22" t="str">
        <f>HYPERLINK("https://imgur.com/a/VRztNJi","Yes")</f>
        <v>Yes</v>
      </c>
      <c r="D151" s="25" t="s">
        <v>28</v>
      </c>
      <c r="E151" s="13">
        <v>3150.0</v>
      </c>
      <c r="F151" s="13">
        <v>787.0</v>
      </c>
      <c r="G151" s="19">
        <v>5698.0</v>
      </c>
      <c r="H151" s="19" t="s">
        <v>208</v>
      </c>
      <c r="I151" s="19" t="s">
        <v>94</v>
      </c>
      <c r="J151" s="19" t="s">
        <v>38</v>
      </c>
      <c r="K151" s="19" t="s">
        <v>43</v>
      </c>
      <c r="L151" s="19" t="s">
        <v>4018</v>
      </c>
      <c r="M151" s="19"/>
      <c r="N151" s="19" t="s">
        <v>2793</v>
      </c>
    </row>
    <row r="152" ht="56.25" customHeight="1">
      <c r="A152" s="23" t="s">
        <v>4312</v>
      </c>
      <c r="B152" s="48" t="str">
        <f>IMAGE("https://storage.googleapis.com/acdb/shoes/ShoesKneeRainboots0.png")</f>
        <v/>
      </c>
      <c r="C152" s="22" t="str">
        <f>HYPERLINK("https://imgur.com/a/AwMxWYm","Yes")</f>
        <v>Yes</v>
      </c>
      <c r="D152" s="25" t="s">
        <v>28</v>
      </c>
      <c r="E152" s="13">
        <v>490.0</v>
      </c>
      <c r="F152" s="13">
        <v>122.0</v>
      </c>
      <c r="G152" s="19">
        <v>4733.0</v>
      </c>
      <c r="H152" s="19" t="s">
        <v>211</v>
      </c>
      <c r="I152" s="19" t="s">
        <v>211</v>
      </c>
      <c r="J152" s="19" t="s">
        <v>38</v>
      </c>
      <c r="K152" s="19" t="s">
        <v>43</v>
      </c>
      <c r="L152" s="19" t="s">
        <v>2749</v>
      </c>
      <c r="M152" s="19" t="s">
        <v>2764</v>
      </c>
      <c r="N152" s="19" t="s">
        <v>2744</v>
      </c>
    </row>
    <row r="153" ht="56.25" customHeight="1">
      <c r="A153" s="23" t="s">
        <v>4315</v>
      </c>
      <c r="B153" s="48" t="str">
        <f>IMAGE("https://storage.googleapis.com/acdb/shoes/ShoesKneeRecyclingboots0.png")</f>
        <v/>
      </c>
      <c r="C153" s="19" t="s">
        <v>118</v>
      </c>
      <c r="D153" s="15" t="s">
        <v>50</v>
      </c>
      <c r="E153" s="24" t="s">
        <v>51</v>
      </c>
      <c r="F153" s="13">
        <v>40.0</v>
      </c>
      <c r="G153" s="19">
        <v>12326.0</v>
      </c>
      <c r="H153" s="19" t="s">
        <v>118</v>
      </c>
      <c r="I153" s="19" t="s">
        <v>94</v>
      </c>
      <c r="J153" s="19" t="s">
        <v>38</v>
      </c>
      <c r="K153" s="19" t="s">
        <v>54</v>
      </c>
      <c r="L153" s="19" t="s">
        <v>55</v>
      </c>
      <c r="M153" s="19"/>
      <c r="N153" s="19" t="s">
        <v>2744</v>
      </c>
    </row>
    <row r="154" ht="56.25" customHeight="1">
      <c r="A154" s="23" t="s">
        <v>4318</v>
      </c>
      <c r="B154" s="48" t="str">
        <f>IMAGE("https://storage.googleapis.com/acdb/shoes/ShoesLowcutToilet0.png")</f>
        <v/>
      </c>
      <c r="C154" s="22" t="str">
        <f>HYPERLINK("https://imgur.com/a/Ic4nxB6","Yes")</f>
        <v>Yes</v>
      </c>
      <c r="D154" s="25" t="s">
        <v>28</v>
      </c>
      <c r="E154" s="13">
        <v>350.0</v>
      </c>
      <c r="F154" s="13">
        <v>87.0</v>
      </c>
      <c r="G154" s="19">
        <v>5800.0</v>
      </c>
      <c r="H154" s="19" t="s">
        <v>112</v>
      </c>
      <c r="I154" s="19" t="s">
        <v>112</v>
      </c>
      <c r="J154" s="19" t="s">
        <v>38</v>
      </c>
      <c r="K154" s="19" t="s">
        <v>43</v>
      </c>
      <c r="L154" s="19" t="s">
        <v>4018</v>
      </c>
      <c r="M154" s="19"/>
      <c r="N154" s="19" t="s">
        <v>2744</v>
      </c>
    </row>
    <row r="155" ht="56.25" customHeight="1">
      <c r="A155" s="23" t="s">
        <v>4321</v>
      </c>
      <c r="B155" s="48" t="str">
        <f>IMAGE("https://storage.googleapis.com/acdb/shoes/ShoesSandalRibbon0.png")</f>
        <v/>
      </c>
      <c r="C155" s="22" t="str">
        <f>HYPERLINK("https://imgur.com/a/oDpKxUa","Yes")</f>
        <v>Yes</v>
      </c>
      <c r="D155" s="25" t="s">
        <v>28</v>
      </c>
      <c r="E155" s="13">
        <v>1300.0</v>
      </c>
      <c r="F155" s="13">
        <v>325.0</v>
      </c>
      <c r="G155" s="19">
        <v>5814.0</v>
      </c>
      <c r="H155" s="19" t="s">
        <v>112</v>
      </c>
      <c r="I155" s="19" t="s">
        <v>1608</v>
      </c>
      <c r="J155" s="19" t="s">
        <v>38</v>
      </c>
      <c r="K155" s="19" t="s">
        <v>43</v>
      </c>
      <c r="L155" s="19" t="s">
        <v>2749</v>
      </c>
      <c r="M155" s="19" t="s">
        <v>2764</v>
      </c>
      <c r="N155" s="19" t="s">
        <v>384</v>
      </c>
    </row>
    <row r="156" ht="56.25" customHeight="1">
      <c r="A156" s="23" t="s">
        <v>4324</v>
      </c>
      <c r="B156" s="48" t="str">
        <f>IMAGE("https://storage.googleapis.com/acdb/shoes/ShoesHighcutRubbertoe0.png")</f>
        <v/>
      </c>
      <c r="C156" s="22" t="str">
        <f>HYPERLINK("https://imgur.com/a/mm8bB9F","Yes")</f>
        <v>Yes</v>
      </c>
      <c r="D156" s="25" t="s">
        <v>28</v>
      </c>
      <c r="E156" s="13">
        <v>1260.0</v>
      </c>
      <c r="F156" s="13">
        <v>315.0</v>
      </c>
      <c r="G156" s="19">
        <v>5617.0</v>
      </c>
      <c r="H156" s="19" t="s">
        <v>112</v>
      </c>
      <c r="I156" s="19" t="s">
        <v>82</v>
      </c>
      <c r="J156" s="19" t="s">
        <v>38</v>
      </c>
      <c r="K156" s="19" t="s">
        <v>43</v>
      </c>
      <c r="L156" s="19" t="s">
        <v>2749</v>
      </c>
      <c r="M156" s="19" t="s">
        <v>2751</v>
      </c>
      <c r="N156" s="19" t="s">
        <v>2744</v>
      </c>
    </row>
    <row r="157" ht="56.25" customHeight="1">
      <c r="A157" s="23" t="s">
        <v>4327</v>
      </c>
      <c r="B157" s="48" t="str">
        <f>IMAGE("https://storage.googleapis.com/acdb/shoes/ShoesLowcutRubbertoe0.png")</f>
        <v/>
      </c>
      <c r="C157" s="22" t="str">
        <f>HYPERLINK("https://imgur.com/a/M6IeScS","Yes")</f>
        <v>Yes</v>
      </c>
      <c r="D157" s="25" t="s">
        <v>28</v>
      </c>
      <c r="E157" s="13">
        <v>1080.0</v>
      </c>
      <c r="F157" s="13">
        <v>270.0</v>
      </c>
      <c r="G157" s="19">
        <v>6892.0</v>
      </c>
      <c r="H157" s="19" t="s">
        <v>464</v>
      </c>
      <c r="I157" s="19" t="s">
        <v>82</v>
      </c>
      <c r="J157" s="19" t="s">
        <v>38</v>
      </c>
      <c r="K157" s="19" t="s">
        <v>43</v>
      </c>
      <c r="L157" s="19" t="s">
        <v>2749</v>
      </c>
      <c r="M157" s="19" t="s">
        <v>2764</v>
      </c>
      <c r="N157" s="19" t="s">
        <v>2744</v>
      </c>
    </row>
    <row r="158" ht="56.25" customHeight="1">
      <c r="A158" s="23" t="s">
        <v>4330</v>
      </c>
      <c r="B158" s="48" t="str">
        <f>IMAGE("https://storage.googleapis.com/acdb/shoes/ShoesKneeLegguard0.png")</f>
        <v/>
      </c>
      <c r="C158" s="22" t="str">
        <f>HYPERLINK("https://imgur.com/a/V25Uvr4","Yes")</f>
        <v>Yes</v>
      </c>
      <c r="D158" s="25" t="s">
        <v>28</v>
      </c>
      <c r="E158" s="13">
        <v>4300.0</v>
      </c>
      <c r="F158" s="13">
        <v>1075.0</v>
      </c>
      <c r="G158" s="19">
        <v>5546.0</v>
      </c>
      <c r="H158" s="19" t="s">
        <v>208</v>
      </c>
      <c r="I158" s="19" t="s">
        <v>112</v>
      </c>
      <c r="J158" s="19" t="s">
        <v>38</v>
      </c>
      <c r="K158" s="19" t="s">
        <v>43</v>
      </c>
      <c r="L158" s="19" t="s">
        <v>4018</v>
      </c>
      <c r="M158" s="19"/>
      <c r="N158" s="19" t="s">
        <v>2756</v>
      </c>
    </row>
    <row r="159" ht="56.25" customHeight="1">
      <c r="A159" s="23" t="s">
        <v>4331</v>
      </c>
      <c r="B159" s="48" t="str">
        <f>IMAGE("https://storage.googleapis.com/acdb/shoes/ShoesLowcutLolita0.png")</f>
        <v/>
      </c>
      <c r="C159" s="22" t="str">
        <f>HYPERLINK("https://imgur.com/a/NAHF0UO","Yes")</f>
        <v>Yes</v>
      </c>
      <c r="D159" s="25" t="s">
        <v>28</v>
      </c>
      <c r="E159" s="13">
        <v>2400.0</v>
      </c>
      <c r="F159" s="13">
        <v>600.0</v>
      </c>
      <c r="G159" s="19">
        <v>5606.0</v>
      </c>
      <c r="H159" s="19" t="s">
        <v>107</v>
      </c>
      <c r="I159" s="19" t="s">
        <v>107</v>
      </c>
      <c r="J159" s="19" t="s">
        <v>38</v>
      </c>
      <c r="K159" s="19" t="s">
        <v>43</v>
      </c>
      <c r="L159" s="19" t="s">
        <v>4018</v>
      </c>
      <c r="M159" s="19"/>
      <c r="N159" s="19" t="s">
        <v>384</v>
      </c>
    </row>
    <row r="160" ht="56.25" customHeight="1">
      <c r="A160" s="23" t="s">
        <v>4333</v>
      </c>
      <c r="B160" s="48" t="str">
        <f>IMAGE("https://storage.googleapis.com/acdb/shoes/ShoesSandalShower0.png")</f>
        <v/>
      </c>
      <c r="C160" s="22" t="str">
        <f>HYPERLINK("https://imgur.com/a/3IkO28d","Yes")</f>
        <v>Yes</v>
      </c>
      <c r="D160" s="25" t="s">
        <v>28</v>
      </c>
      <c r="E160" s="13">
        <v>350.0</v>
      </c>
      <c r="F160" s="13">
        <v>87.0</v>
      </c>
      <c r="G160" s="19">
        <v>4714.0</v>
      </c>
      <c r="H160" s="19" t="s">
        <v>99</v>
      </c>
      <c r="I160" s="19" t="s">
        <v>82</v>
      </c>
      <c r="J160" s="19" t="s">
        <v>38</v>
      </c>
      <c r="K160" s="19" t="s">
        <v>43</v>
      </c>
      <c r="L160" s="19" t="s">
        <v>2749</v>
      </c>
      <c r="M160" s="19" t="s">
        <v>2764</v>
      </c>
      <c r="N160" s="19" t="s">
        <v>2793</v>
      </c>
    </row>
    <row r="161" ht="56.25" customHeight="1">
      <c r="A161" s="23" t="s">
        <v>4334</v>
      </c>
      <c r="B161" s="48" t="str">
        <f>IMAGE("https://storage.googleapis.com/acdb/shoes/ShoesKneeSki0.png")</f>
        <v/>
      </c>
      <c r="C161" s="22" t="str">
        <f>HYPERLINK("https://imgur.com/a/BVZx4nN","Yes")</f>
        <v>Yes</v>
      </c>
      <c r="D161" s="25" t="s">
        <v>28</v>
      </c>
      <c r="E161" s="13">
        <v>1800.0</v>
      </c>
      <c r="F161" s="13">
        <v>450.0</v>
      </c>
      <c r="G161" s="19">
        <v>5660.0</v>
      </c>
      <c r="H161" s="19" t="s">
        <v>82</v>
      </c>
      <c r="I161" s="19" t="s">
        <v>112</v>
      </c>
      <c r="J161" s="19" t="s">
        <v>38</v>
      </c>
      <c r="K161" s="19" t="s">
        <v>43</v>
      </c>
      <c r="L161" s="19" t="s">
        <v>4018</v>
      </c>
      <c r="M161" s="19"/>
      <c r="N161" s="19" t="s">
        <v>2793</v>
      </c>
    </row>
    <row r="162" ht="56.25" customHeight="1">
      <c r="A162" s="23" t="s">
        <v>4335</v>
      </c>
      <c r="B162" s="48" t="str">
        <f>IMAGE("https://storage.googleapis.com/acdb/shoes/ShoesLowcutEggsky0.png")</f>
        <v/>
      </c>
      <c r="C162" s="19" t="s">
        <v>112</v>
      </c>
      <c r="D162" s="25" t="s">
        <v>50</v>
      </c>
      <c r="E162" s="24" t="s">
        <v>51</v>
      </c>
      <c r="F162" s="24">
        <v>800.0</v>
      </c>
      <c r="G162" s="19"/>
      <c r="H162" s="19"/>
      <c r="I162" s="19"/>
      <c r="J162" s="19" t="s">
        <v>38</v>
      </c>
      <c r="K162" s="19" t="s">
        <v>54</v>
      </c>
      <c r="L162" s="19" t="s">
        <v>55</v>
      </c>
      <c r="M162" s="19"/>
      <c r="N162" s="19"/>
    </row>
    <row r="163" ht="56.25" customHeight="1">
      <c r="A163" s="23" t="s">
        <v>4336</v>
      </c>
      <c r="B163" s="48" t="str">
        <f>IMAGE("https://storage.googleapis.com/acdb/shoes/ShoesLowcutSlipon0.png")</f>
        <v/>
      </c>
      <c r="C163" s="22" t="str">
        <f>HYPERLINK("https://imgur.com/a/0F7YMs3","Yes")</f>
        <v>Yes</v>
      </c>
      <c r="D163" s="25" t="s">
        <v>28</v>
      </c>
      <c r="E163" s="13">
        <v>490.0</v>
      </c>
      <c r="F163" s="13">
        <v>122.0</v>
      </c>
      <c r="G163" s="19">
        <v>5566.0</v>
      </c>
      <c r="H163" s="19" t="s">
        <v>211</v>
      </c>
      <c r="I163" s="19" t="s">
        <v>82</v>
      </c>
      <c r="J163" s="19" t="s">
        <v>38</v>
      </c>
      <c r="K163" s="19" t="s">
        <v>43</v>
      </c>
      <c r="L163" s="19" t="s">
        <v>2749</v>
      </c>
      <c r="M163" s="19" t="s">
        <v>2764</v>
      </c>
      <c r="N163" s="19" t="s">
        <v>2744</v>
      </c>
    </row>
    <row r="164" ht="56.25" customHeight="1">
      <c r="A164" s="23" t="s">
        <v>4340</v>
      </c>
      <c r="B164" s="48" t="str">
        <f>IMAGE("https://storage.googleapis.com/acdb/shoes/ShoesSandalResin0.png")</f>
        <v/>
      </c>
      <c r="C164" s="22" t="str">
        <f>HYPERLINK("https://imgur.com/a/quMRYlE","Yes")</f>
        <v>Yes</v>
      </c>
      <c r="D164" s="25" t="s">
        <v>28</v>
      </c>
      <c r="E164" s="13">
        <v>560.0</v>
      </c>
      <c r="F164" s="13">
        <v>140.0</v>
      </c>
      <c r="G164" s="19">
        <v>5565.0</v>
      </c>
      <c r="H164" s="19" t="s">
        <v>1614</v>
      </c>
      <c r="I164" s="19" t="s">
        <v>1614</v>
      </c>
      <c r="J164" s="19" t="s">
        <v>38</v>
      </c>
      <c r="K164" s="19" t="s">
        <v>43</v>
      </c>
      <c r="L164" s="19" t="s">
        <v>2749</v>
      </c>
      <c r="M164" s="19" t="s">
        <v>2764</v>
      </c>
      <c r="N164" s="19" t="s">
        <v>2793</v>
      </c>
    </row>
    <row r="165" ht="56.25" customHeight="1">
      <c r="A165" s="23" t="s">
        <v>4345</v>
      </c>
      <c r="B165" s="48" t="str">
        <f>IMAGE("https://storage.googleapis.com/acdb/shoes/ShoesLowcutSchool0.png")</f>
        <v/>
      </c>
      <c r="C165" s="22" t="str">
        <f>HYPERLINK("https://imgur.com/a/NEpKP3I","Yes")</f>
        <v>Yes</v>
      </c>
      <c r="D165" s="25" t="s">
        <v>28</v>
      </c>
      <c r="E165" s="13">
        <v>350.0</v>
      </c>
      <c r="F165" s="13">
        <v>87.0</v>
      </c>
      <c r="G165" s="19">
        <v>5473.0</v>
      </c>
      <c r="H165" s="19" t="s">
        <v>208</v>
      </c>
      <c r="I165" s="19" t="s">
        <v>82</v>
      </c>
      <c r="J165" s="19" t="s">
        <v>38</v>
      </c>
      <c r="K165" s="19" t="s">
        <v>43</v>
      </c>
      <c r="L165" s="19" t="s">
        <v>4018</v>
      </c>
      <c r="M165" s="19"/>
      <c r="N165" s="19" t="s">
        <v>2744</v>
      </c>
    </row>
    <row r="166" ht="56.25" customHeight="1">
      <c r="A166" s="23" t="s">
        <v>4350</v>
      </c>
      <c r="B166" s="48" t="str">
        <f>IMAGE("https://storage.googleapis.com/acdb/shoes/ShoesLowcutSlipper0.png")</f>
        <v/>
      </c>
      <c r="C166" s="22" t="str">
        <f>HYPERLINK("https://imgur.com/a/Sq8x2kS","Yes")</f>
        <v>Yes</v>
      </c>
      <c r="D166" s="25" t="s">
        <v>28</v>
      </c>
      <c r="E166" s="13">
        <v>350.0</v>
      </c>
      <c r="F166" s="13">
        <v>87.0</v>
      </c>
      <c r="G166" s="19">
        <v>5525.0</v>
      </c>
      <c r="H166" s="19" t="s">
        <v>94</v>
      </c>
      <c r="I166" s="19" t="s">
        <v>94</v>
      </c>
      <c r="J166" s="19" t="s">
        <v>38</v>
      </c>
      <c r="K166" s="19" t="s">
        <v>43</v>
      </c>
      <c r="L166" s="19" t="s">
        <v>4018</v>
      </c>
      <c r="M166" s="19"/>
      <c r="N166" s="19" t="s">
        <v>2744</v>
      </c>
    </row>
    <row r="167" ht="56.25" customHeight="1">
      <c r="A167" s="23" t="s">
        <v>4355</v>
      </c>
      <c r="B167" s="48" t="str">
        <f>IMAGE("https://storage.googleapis.com/acdb/shoes/ShoesKneeSpaceWhite.png")</f>
        <v/>
      </c>
      <c r="C167" s="15" t="s">
        <v>40</v>
      </c>
      <c r="D167" s="25" t="s">
        <v>28</v>
      </c>
      <c r="E167" s="13">
        <v>4300.0</v>
      </c>
      <c r="F167" s="13">
        <v>1075.0</v>
      </c>
      <c r="G167" s="19">
        <v>5760.0</v>
      </c>
      <c r="H167" s="19" t="s">
        <v>82</v>
      </c>
      <c r="I167" s="19" t="s">
        <v>82</v>
      </c>
      <c r="J167" s="19" t="s">
        <v>38</v>
      </c>
      <c r="K167" s="19" t="s">
        <v>43</v>
      </c>
      <c r="L167" s="19" t="s">
        <v>4018</v>
      </c>
      <c r="M167" s="19"/>
      <c r="N167" s="19" t="s">
        <v>2793</v>
      </c>
    </row>
    <row r="168" ht="56.25" customHeight="1">
      <c r="A168" s="23" t="s">
        <v>4358</v>
      </c>
      <c r="B168" s="48" t="str">
        <f>IMAGE("https://storage.googleapis.com/acdb/shoes/ShoesSandalSports0.png")</f>
        <v/>
      </c>
      <c r="C168" s="22" t="str">
        <f>HYPERLINK("https://imgur.com/a/LXqaxaw","Yes")</f>
        <v>Yes</v>
      </c>
      <c r="D168" s="25" t="s">
        <v>28</v>
      </c>
      <c r="E168" s="13">
        <v>1300.0</v>
      </c>
      <c r="F168" s="13">
        <v>325.0</v>
      </c>
      <c r="G168" s="19">
        <v>5824.0</v>
      </c>
      <c r="H168" s="19" t="s">
        <v>208</v>
      </c>
      <c r="I168" s="19" t="s">
        <v>99</v>
      </c>
      <c r="J168" s="19" t="s">
        <v>38</v>
      </c>
      <c r="K168" s="19" t="s">
        <v>43</v>
      </c>
      <c r="L168" s="19" t="s">
        <v>2749</v>
      </c>
      <c r="M168" s="19" t="s">
        <v>2751</v>
      </c>
      <c r="N168" s="19" t="s">
        <v>2793</v>
      </c>
    </row>
    <row r="169" ht="56.25" customHeight="1">
      <c r="A169" s="23" t="s">
        <v>4362</v>
      </c>
      <c r="B169" s="48" t="str">
        <f>IMAGE("https://storage.googleapis.com/acdb/shoes/ShoesKneeEngineerboots0.png")</f>
        <v/>
      </c>
      <c r="C169" s="22" t="str">
        <f>HYPERLINK("https://imgur.com/a/OUILlK7","Yes")</f>
        <v>Yes</v>
      </c>
      <c r="D169" s="25" t="s">
        <v>28</v>
      </c>
      <c r="E169" s="13">
        <v>2640.0</v>
      </c>
      <c r="F169" s="13">
        <v>660.0</v>
      </c>
      <c r="G169" s="19">
        <v>2593.0</v>
      </c>
      <c r="H169" s="19" t="s">
        <v>118</v>
      </c>
      <c r="I169" s="19" t="s">
        <v>118</v>
      </c>
      <c r="J169" s="19" t="s">
        <v>38</v>
      </c>
      <c r="K169" s="19" t="s">
        <v>43</v>
      </c>
      <c r="L169" s="19" t="s">
        <v>2749</v>
      </c>
      <c r="M169" s="19" t="s">
        <v>2764</v>
      </c>
      <c r="N169" s="19" t="s">
        <v>2756</v>
      </c>
    </row>
    <row r="170" ht="56.25" customHeight="1">
      <c r="A170" s="23" t="s">
        <v>4364</v>
      </c>
      <c r="B170" s="48" t="str">
        <f>IMAGE("https://storage.googleapis.com/acdb/shoes/ShoesLowcutEggrock0.png")</f>
        <v/>
      </c>
      <c r="C170" s="19" t="s">
        <v>211</v>
      </c>
      <c r="D170" s="15" t="s">
        <v>50</v>
      </c>
      <c r="E170" s="24" t="s">
        <v>51</v>
      </c>
      <c r="F170" s="24">
        <v>800.0</v>
      </c>
      <c r="G170" s="19"/>
      <c r="H170" s="19"/>
      <c r="I170" s="19"/>
      <c r="J170" s="19" t="s">
        <v>38</v>
      </c>
      <c r="K170" s="19" t="s">
        <v>54</v>
      </c>
      <c r="L170" s="19" t="s">
        <v>55</v>
      </c>
      <c r="M170" s="19"/>
      <c r="N170" s="19"/>
    </row>
    <row r="171" ht="56.25" customHeight="1">
      <c r="A171" s="23" t="s">
        <v>4366</v>
      </c>
      <c r="B171" s="48" t="str">
        <f>IMAGE("https://storage.googleapis.com/acdb/shoes/ShoesLowcutGlitter0.png")</f>
        <v/>
      </c>
      <c r="C171" s="22" t="str">
        <f>HYPERLINK("https://imgur.com/a/ffMFSSV","Yes")</f>
        <v>Yes</v>
      </c>
      <c r="D171" s="25" t="s">
        <v>28</v>
      </c>
      <c r="E171" s="13">
        <v>1560.0</v>
      </c>
      <c r="F171" s="13">
        <v>390.0</v>
      </c>
      <c r="G171" s="19">
        <v>5561.0</v>
      </c>
      <c r="H171" s="19" t="s">
        <v>208</v>
      </c>
      <c r="I171" s="19" t="s">
        <v>208</v>
      </c>
      <c r="J171" s="19" t="s">
        <v>38</v>
      </c>
      <c r="K171" s="19" t="s">
        <v>43</v>
      </c>
      <c r="L171" s="19" t="s">
        <v>2749</v>
      </c>
      <c r="M171" s="19" t="s">
        <v>2751</v>
      </c>
      <c r="N171" s="19" t="s">
        <v>852</v>
      </c>
    </row>
    <row r="172" ht="56.25" customHeight="1">
      <c r="A172" s="23" t="s">
        <v>4369</v>
      </c>
      <c r="B172" s="48" t="str">
        <f>IMAGE("https://storage.googleapis.com/acdb/shoes/ShoesLowcutGgotshin0.png")</f>
        <v/>
      </c>
      <c r="C172" s="22" t="str">
        <f>HYPERLINK("https://imgur.com/a/BjTAtKk","Yes")</f>
        <v>Yes</v>
      </c>
      <c r="D172" s="25" t="s">
        <v>28</v>
      </c>
      <c r="E172" s="13">
        <v>1800.0</v>
      </c>
      <c r="F172" s="13">
        <v>450.0</v>
      </c>
      <c r="G172" s="19">
        <v>5622.0</v>
      </c>
      <c r="H172" s="19" t="s">
        <v>208</v>
      </c>
      <c r="I172" s="19" t="s">
        <v>112</v>
      </c>
      <c r="J172" s="19" t="s">
        <v>38</v>
      </c>
      <c r="K172" s="19" t="s">
        <v>43</v>
      </c>
      <c r="L172" s="19" t="s">
        <v>4018</v>
      </c>
      <c r="M172" s="19"/>
      <c r="N172" s="19" t="s">
        <v>2863</v>
      </c>
    </row>
    <row r="173" ht="56.25" customHeight="1">
      <c r="A173" s="23" t="s">
        <v>4374</v>
      </c>
      <c r="B173" s="48" t="str">
        <f>IMAGE("https://storage.googleapis.com/acdb/shoes/ShoesHighcutTrekking0.png")</f>
        <v/>
      </c>
      <c r="C173" s="22" t="str">
        <f>HYPERLINK("https://imgur.com/a/bpdutwk","Yes")</f>
        <v>Yes</v>
      </c>
      <c r="D173" s="25" t="s">
        <v>28</v>
      </c>
      <c r="E173" s="13">
        <v>1500.0</v>
      </c>
      <c r="F173" s="13">
        <v>375.0</v>
      </c>
      <c r="G173" s="19">
        <v>5388.0</v>
      </c>
      <c r="H173" s="19" t="s">
        <v>118</v>
      </c>
      <c r="I173" s="19" t="s">
        <v>208</v>
      </c>
      <c r="J173" s="19" t="s">
        <v>38</v>
      </c>
      <c r="K173" s="19" t="s">
        <v>43</v>
      </c>
      <c r="L173" s="19" t="s">
        <v>2749</v>
      </c>
      <c r="M173" s="19" t="s">
        <v>2764</v>
      </c>
      <c r="N173" s="19" t="s">
        <v>2793</v>
      </c>
    </row>
    <row r="174" ht="56.25" customHeight="1">
      <c r="A174" s="23" t="s">
        <v>4378</v>
      </c>
      <c r="B174" s="48" t="str">
        <f>IMAGE("https://storage.googleapis.com/acdb/shoes/ShoesKneeVelour0.png")</f>
        <v/>
      </c>
      <c r="C174" s="22" t="str">
        <f>HYPERLINK("https://imgur.com/a/CICc6mY","Yes")</f>
        <v>Yes</v>
      </c>
      <c r="D174" s="25" t="s">
        <v>28</v>
      </c>
      <c r="E174" s="13">
        <v>1920.0</v>
      </c>
      <c r="F174" s="13">
        <v>480.0</v>
      </c>
      <c r="G174" s="19">
        <v>4732.0</v>
      </c>
      <c r="H174" s="19" t="s">
        <v>208</v>
      </c>
      <c r="I174" s="19" t="s">
        <v>99</v>
      </c>
      <c r="J174" s="19" t="s">
        <v>38</v>
      </c>
      <c r="K174" s="19" t="s">
        <v>43</v>
      </c>
      <c r="L174" s="19" t="s">
        <v>2749</v>
      </c>
      <c r="M174" s="19" t="s">
        <v>2751</v>
      </c>
      <c r="N174" s="19" t="s">
        <v>2863</v>
      </c>
    </row>
    <row r="175" ht="56.25" customHeight="1">
      <c r="A175" s="23" t="s">
        <v>4382</v>
      </c>
      <c r="B175" s="48" t="str">
        <f>IMAGE("https://storage.googleapis.com/acdb/shoes/ShoesLowcutEnamelpumps0.png")</f>
        <v/>
      </c>
      <c r="C175" s="22" t="str">
        <f>HYPERLINK("https://imgur.com/a/59CEyB5","Yes")</f>
        <v>Yes</v>
      </c>
      <c r="D175" s="25" t="s">
        <v>28</v>
      </c>
      <c r="E175" s="13">
        <v>1500.0</v>
      </c>
      <c r="F175" s="13">
        <v>375.0</v>
      </c>
      <c r="G175" s="19">
        <v>4723.0</v>
      </c>
      <c r="H175" s="19" t="s">
        <v>1608</v>
      </c>
      <c r="I175" s="19" t="s">
        <v>1608</v>
      </c>
      <c r="J175" s="19" t="s">
        <v>38</v>
      </c>
      <c r="K175" s="19" t="s">
        <v>43</v>
      </c>
      <c r="L175" s="19" t="s">
        <v>2749</v>
      </c>
      <c r="M175" s="19" t="s">
        <v>2751</v>
      </c>
      <c r="N175" s="19" t="s">
        <v>2744</v>
      </c>
    </row>
    <row r="176" ht="56.25" customHeight="1">
      <c r="A176" s="23" t="s">
        <v>4385</v>
      </c>
      <c r="B176" s="48" t="str">
        <f>IMAGE("https://storage.googleapis.com/acdb/shoes/ShoesKneeVisualBlack.png")</f>
        <v/>
      </c>
      <c r="C176" s="15" t="s">
        <v>40</v>
      </c>
      <c r="D176" s="25" t="s">
        <v>28</v>
      </c>
      <c r="E176" s="13">
        <v>2200.0</v>
      </c>
      <c r="F176" s="13">
        <v>550.0</v>
      </c>
      <c r="G176" s="19">
        <v>5609.0</v>
      </c>
      <c r="H176" s="19" t="s">
        <v>99</v>
      </c>
      <c r="I176" s="19" t="s">
        <v>99</v>
      </c>
      <c r="J176" s="19" t="s">
        <v>38</v>
      </c>
      <c r="K176" s="19" t="s">
        <v>43</v>
      </c>
      <c r="L176" s="19" t="s">
        <v>4018</v>
      </c>
      <c r="M176" s="19"/>
      <c r="N176" s="19" t="s">
        <v>2756</v>
      </c>
    </row>
    <row r="177" ht="56.25" customHeight="1">
      <c r="A177" s="23" t="s">
        <v>4387</v>
      </c>
      <c r="B177" s="48" t="str">
        <f>IMAGE("https://storage.googleapis.com/acdb/shoes/ShoesLowcutHealth0.png")</f>
        <v/>
      </c>
      <c r="C177" s="22" t="str">
        <f>HYPERLINK("https://imgur.com/a/9sQzSli","Yes")</f>
        <v>Yes</v>
      </c>
      <c r="D177" s="25" t="s">
        <v>28</v>
      </c>
      <c r="E177" s="13">
        <v>560.0</v>
      </c>
      <c r="F177" s="13">
        <v>140.0</v>
      </c>
      <c r="G177" s="19">
        <v>5775.0</v>
      </c>
      <c r="H177" s="19" t="s">
        <v>107</v>
      </c>
      <c r="I177" s="19" t="s">
        <v>1608</v>
      </c>
      <c r="J177" s="19" t="s">
        <v>38</v>
      </c>
      <c r="K177" s="19" t="s">
        <v>43</v>
      </c>
      <c r="L177" s="19" t="s">
        <v>2749</v>
      </c>
      <c r="M177" s="19" t="s">
        <v>2764</v>
      </c>
      <c r="N177" s="19" t="s">
        <v>2744</v>
      </c>
    </row>
    <row r="178" ht="56.25" customHeight="1">
      <c r="A178" s="23" t="s">
        <v>4390</v>
      </c>
      <c r="B178" s="48" t="str">
        <f>IMAGE("https://storage.googleapis.com/acdb/shoes/ShoesSandalAqua0.png")</f>
        <v/>
      </c>
      <c r="C178" s="22" t="str">
        <f>HYPERLINK("https://imgur.com/a/2rPonp2","Yes")</f>
        <v>Yes</v>
      </c>
      <c r="D178" s="25" t="s">
        <v>28</v>
      </c>
      <c r="E178" s="13">
        <v>1040.0</v>
      </c>
      <c r="F178" s="13">
        <v>260.0</v>
      </c>
      <c r="G178" s="19">
        <v>5652.0</v>
      </c>
      <c r="H178" s="19" t="s">
        <v>107</v>
      </c>
      <c r="I178" s="19" t="s">
        <v>107</v>
      </c>
      <c r="J178" s="19" t="s">
        <v>38</v>
      </c>
      <c r="K178" s="19" t="s">
        <v>43</v>
      </c>
      <c r="L178" s="19" t="s">
        <v>2749</v>
      </c>
      <c r="M178" s="19" t="s">
        <v>2764</v>
      </c>
      <c r="N178" s="19" t="s">
        <v>384</v>
      </c>
    </row>
    <row r="179" ht="56.25" customHeight="1">
      <c r="A179" s="23" t="s">
        <v>4393</v>
      </c>
      <c r="B179" s="48" t="str">
        <f>IMAGE("https://storage.googleapis.com/acdb/shoes/ShoesLowcutMarine0.png")</f>
        <v/>
      </c>
      <c r="C179" s="22" t="str">
        <f>HYPERLINK("https://imgur.com/a/iMzeoi0","Yes")</f>
        <v>Yes</v>
      </c>
      <c r="D179" s="25" t="s">
        <v>28</v>
      </c>
      <c r="E179" s="13">
        <v>900.0</v>
      </c>
      <c r="F179" s="13">
        <v>225.0</v>
      </c>
      <c r="G179" s="19">
        <v>5808.0</v>
      </c>
      <c r="H179" s="19" t="s">
        <v>107</v>
      </c>
      <c r="I179" s="19" t="s">
        <v>99</v>
      </c>
      <c r="J179" s="19" t="s">
        <v>38</v>
      </c>
      <c r="K179" s="19" t="s">
        <v>43</v>
      </c>
      <c r="L179" s="19" t="s">
        <v>2749</v>
      </c>
      <c r="M179" s="19" t="s">
        <v>2764</v>
      </c>
      <c r="N179" s="19" t="s">
        <v>2793</v>
      </c>
    </row>
    <row r="180" ht="56.25" customHeight="1">
      <c r="A180" s="23" t="s">
        <v>4396</v>
      </c>
      <c r="B180" s="48" t="str">
        <f>IMAGE("https://storage.googleapis.com/acdb/shoes/ShoesLowcutEggfish0.png")</f>
        <v/>
      </c>
      <c r="C180" s="19" t="s">
        <v>464</v>
      </c>
      <c r="D180" s="15" t="s">
        <v>50</v>
      </c>
      <c r="E180" s="24" t="s">
        <v>51</v>
      </c>
      <c r="F180" s="24">
        <v>800.0</v>
      </c>
      <c r="G180" s="19"/>
      <c r="H180" s="19"/>
      <c r="I180" s="19"/>
      <c r="J180" s="19" t="s">
        <v>38</v>
      </c>
      <c r="K180" s="19" t="s">
        <v>54</v>
      </c>
      <c r="L180" s="19" t="s">
        <v>55</v>
      </c>
      <c r="M180" s="19"/>
      <c r="N180" s="19"/>
    </row>
    <row r="181" ht="56.25" customHeight="1">
      <c r="A181" s="23" t="s">
        <v>4398</v>
      </c>
      <c r="B181" s="48" t="str">
        <f>IMAGE("https://storage.googleapis.com/acdb/shoes/ShoesLowcutWing0.png")</f>
        <v/>
      </c>
      <c r="C181" s="22" t="str">
        <f>HYPERLINK("https://imgur.com/a/UUBbhxo","Yes")</f>
        <v>Yes</v>
      </c>
      <c r="D181" s="25" t="s">
        <v>28</v>
      </c>
      <c r="E181" s="13">
        <v>900.0</v>
      </c>
      <c r="F181" s="13">
        <v>225.0</v>
      </c>
      <c r="G181" s="19">
        <v>5809.0</v>
      </c>
      <c r="H181" s="19" t="s">
        <v>99</v>
      </c>
      <c r="I181" s="19" t="s">
        <v>82</v>
      </c>
      <c r="J181" s="19" t="s">
        <v>38</v>
      </c>
      <c r="K181" s="19" t="s">
        <v>43</v>
      </c>
      <c r="L181" s="19" t="s">
        <v>2749</v>
      </c>
      <c r="M181" s="19" t="s">
        <v>2751</v>
      </c>
      <c r="N181" s="19" t="s">
        <v>2863</v>
      </c>
    </row>
    <row r="182" ht="56.25" customHeight="1">
      <c r="A182" s="23" t="s">
        <v>4400</v>
      </c>
      <c r="B182" s="48" t="str">
        <f>IMAGE("https://storage.googleapis.com/acdb/shoes/ShoesLowcutPointedtoe0.png")</f>
        <v/>
      </c>
      <c r="C182" s="22" t="str">
        <f>HYPERLINK("https://imgur.com/a/1Mr95eg","Yes")</f>
        <v>Yes</v>
      </c>
      <c r="D182" s="25" t="s">
        <v>28</v>
      </c>
      <c r="E182" s="13">
        <v>910.0</v>
      </c>
      <c r="F182" s="13">
        <v>227.0</v>
      </c>
      <c r="G182" s="19">
        <v>5655.0</v>
      </c>
      <c r="H182" s="19" t="s">
        <v>208</v>
      </c>
      <c r="I182" s="19" t="s">
        <v>99</v>
      </c>
      <c r="J182" s="19" t="s">
        <v>38</v>
      </c>
      <c r="K182" s="19" t="s">
        <v>43</v>
      </c>
      <c r="L182" s="19" t="s">
        <v>2749</v>
      </c>
      <c r="M182" s="19" t="s">
        <v>2751</v>
      </c>
      <c r="N182" s="19" t="s">
        <v>2756</v>
      </c>
    </row>
    <row r="183" ht="56.25" customHeight="1">
      <c r="A183" s="23" t="s">
        <v>4404</v>
      </c>
      <c r="B183" s="48" t="str">
        <f>IMAGE("https://storage.googleapis.com/acdb/shoes/ShoesLowcutEggforest0.png")</f>
        <v/>
      </c>
      <c r="C183" s="19" t="s">
        <v>521</v>
      </c>
      <c r="D183" s="15" t="s">
        <v>50</v>
      </c>
      <c r="E183" s="24" t="s">
        <v>51</v>
      </c>
      <c r="F183" s="24">
        <v>800.0</v>
      </c>
      <c r="G183" s="19"/>
      <c r="H183" s="19"/>
      <c r="I183" s="19"/>
      <c r="J183" s="19" t="s">
        <v>38</v>
      </c>
      <c r="K183" s="19" t="s">
        <v>54</v>
      </c>
      <c r="L183" s="19" t="s">
        <v>55</v>
      </c>
      <c r="M183" s="19"/>
      <c r="N183" s="19"/>
    </row>
    <row r="184" ht="56.25" customHeight="1">
      <c r="A184" s="23" t="s">
        <v>4406</v>
      </c>
      <c r="B184" s="48" t="str">
        <f>IMAGE("https://storage.googleapis.com/acdb/shoes/ShoesLowcutClog0.png")</f>
        <v/>
      </c>
      <c r="C184" s="22" t="str">
        <f>HYPERLINK("https://imgur.com/a/Ve5RdpC","Yes")</f>
        <v>Yes</v>
      </c>
      <c r="D184" s="25" t="s">
        <v>28</v>
      </c>
      <c r="E184" s="13">
        <v>1300.0</v>
      </c>
      <c r="F184" s="13">
        <v>325.0</v>
      </c>
      <c r="G184" s="19">
        <v>5618.0</v>
      </c>
      <c r="H184" s="19" t="s">
        <v>211</v>
      </c>
      <c r="I184" s="19" t="s">
        <v>208</v>
      </c>
      <c r="J184" s="19" t="s">
        <v>38</v>
      </c>
      <c r="K184" s="19" t="s">
        <v>43</v>
      </c>
      <c r="L184" s="19" t="s">
        <v>4018</v>
      </c>
      <c r="M184" s="19"/>
      <c r="N184" s="19" t="s">
        <v>2863</v>
      </c>
    </row>
    <row r="185" ht="56.25" customHeight="1">
      <c r="A185" s="23" t="s">
        <v>4410</v>
      </c>
      <c r="B185" s="48" t="str">
        <f>IMAGE("https://storage.googleapis.com/acdb/shoes/ShoesHighcutWorkboots0.png")</f>
        <v/>
      </c>
      <c r="C185" s="22" t="str">
        <f>HYPERLINK("https://imgur.com/a/wKMYkED","Yes")</f>
        <v>Yes</v>
      </c>
      <c r="D185" s="25" t="s">
        <v>28</v>
      </c>
      <c r="E185" s="13">
        <v>1920.0</v>
      </c>
      <c r="F185" s="13">
        <v>480.0</v>
      </c>
      <c r="G185" s="19">
        <v>5541.0</v>
      </c>
      <c r="H185" s="19" t="s">
        <v>208</v>
      </c>
      <c r="I185" s="19" t="s">
        <v>99</v>
      </c>
      <c r="J185" s="19" t="s">
        <v>38</v>
      </c>
      <c r="K185" s="19" t="s">
        <v>43</v>
      </c>
      <c r="L185" s="19" t="s">
        <v>2749</v>
      </c>
      <c r="M185" s="19" t="s">
        <v>2764</v>
      </c>
      <c r="N185" s="19" t="s">
        <v>2756</v>
      </c>
    </row>
    <row r="186" ht="56.25" customHeight="1">
      <c r="A186" s="23" t="s">
        <v>4413</v>
      </c>
      <c r="B186" s="48" t="str">
        <f>IMAGE("https://storage.googleapis.com/acdb/shoes/ShoesKneeRing0.png")</f>
        <v/>
      </c>
      <c r="C186" s="22" t="str">
        <f>HYPERLINK("https://imgur.com/a/N7ngwGA","Yes")</f>
        <v>Yes</v>
      </c>
      <c r="D186" s="25" t="s">
        <v>28</v>
      </c>
      <c r="E186" s="13">
        <v>1080.0</v>
      </c>
      <c r="F186" s="13">
        <v>270.0</v>
      </c>
      <c r="G186" s="19">
        <v>5668.0</v>
      </c>
      <c r="H186" s="19" t="s">
        <v>208</v>
      </c>
      <c r="I186" s="19" t="s">
        <v>82</v>
      </c>
      <c r="J186" s="19" t="s">
        <v>38</v>
      </c>
      <c r="K186" s="19" t="s">
        <v>43</v>
      </c>
      <c r="L186" s="19" t="s">
        <v>4018</v>
      </c>
      <c r="M186" s="19"/>
      <c r="N186" s="19" t="s">
        <v>2793</v>
      </c>
    </row>
    <row r="187" ht="56.25" customHeight="1">
      <c r="A187" s="23" t="s">
        <v>4416</v>
      </c>
      <c r="B187" s="48" t="str">
        <f>IMAGE("https://storage.googleapis.com/acdb/shoes/ShoesKneeHeroWhite.png")</f>
        <v/>
      </c>
      <c r="C187" s="15" t="s">
        <v>40</v>
      </c>
      <c r="D187" s="25" t="s">
        <v>28</v>
      </c>
      <c r="E187" s="13">
        <v>2640.0</v>
      </c>
      <c r="F187" s="13">
        <v>660.0</v>
      </c>
      <c r="G187" s="19">
        <v>5624.0</v>
      </c>
      <c r="H187" s="19" t="s">
        <v>82</v>
      </c>
      <c r="I187" s="19" t="s">
        <v>208</v>
      </c>
      <c r="J187" s="19" t="s">
        <v>38</v>
      </c>
      <c r="K187" s="19" t="s">
        <v>43</v>
      </c>
      <c r="L187" s="19" t="s">
        <v>4018</v>
      </c>
      <c r="M187" s="19"/>
      <c r="N187" s="19" t="s">
        <v>2793</v>
      </c>
    </row>
    <row r="188" ht="56.25" customHeight="1">
      <c r="A188" s="23" t="s">
        <v>4420</v>
      </c>
      <c r="B188" s="48" t="str">
        <f>IMAGE("https://storage.googleapis.com/acdb/shoes/ShoesSandalZori0.png")</f>
        <v/>
      </c>
      <c r="C188" s="19" t="s">
        <v>99</v>
      </c>
      <c r="D188" s="25" t="s">
        <v>28</v>
      </c>
      <c r="E188" s="13">
        <v>4300.0</v>
      </c>
      <c r="F188" s="13">
        <v>1075.0</v>
      </c>
      <c r="G188" s="19">
        <v>4734.0</v>
      </c>
      <c r="H188" s="19" t="s">
        <v>208</v>
      </c>
      <c r="I188" s="19" t="s">
        <v>99</v>
      </c>
      <c r="J188" s="19" t="s">
        <v>38</v>
      </c>
      <c r="K188" s="19" t="s">
        <v>43</v>
      </c>
      <c r="L188" s="19" t="s">
        <v>2749</v>
      </c>
      <c r="M188" s="19" t="s">
        <v>2751</v>
      </c>
      <c r="N188" s="19" t="s">
        <v>2863</v>
      </c>
    </row>
    <row r="189" ht="56.25" customHeight="1">
      <c r="A189" s="13" t="s">
        <v>4420</v>
      </c>
      <c r="B189" s="48" t="str">
        <f>IMAGE("https://storage.googleapis.com/acdb/shoes/ShoesSandalZori1.png")</f>
        <v/>
      </c>
      <c r="C189" s="19" t="s">
        <v>187</v>
      </c>
      <c r="D189" s="25" t="s">
        <v>28</v>
      </c>
      <c r="E189" s="13">
        <v>4300.0</v>
      </c>
      <c r="F189" s="13">
        <v>1075.0</v>
      </c>
      <c r="G189" s="19">
        <v>4734.0</v>
      </c>
      <c r="H189" s="19"/>
      <c r="I189" s="19"/>
      <c r="J189" s="19" t="s">
        <v>38</v>
      </c>
      <c r="K189" s="19" t="s">
        <v>43</v>
      </c>
      <c r="L189" s="19" t="s">
        <v>2749</v>
      </c>
      <c r="M189" s="19" t="s">
        <v>2751</v>
      </c>
      <c r="N189" s="19" t="s">
        <v>2863</v>
      </c>
    </row>
    <row r="190" ht="56.25" customHeight="1">
      <c r="A190" s="13" t="s">
        <v>4420</v>
      </c>
      <c r="B190" s="48" t="str">
        <f>IMAGE("https://storage.googleapis.com/acdb/shoes/ShoesSandalZori2.png")</f>
        <v/>
      </c>
      <c r="C190" s="19" t="s">
        <v>107</v>
      </c>
      <c r="D190" s="25" t="s">
        <v>28</v>
      </c>
      <c r="E190" s="13">
        <v>4300.0</v>
      </c>
      <c r="F190" s="13">
        <v>1075.0</v>
      </c>
      <c r="G190" s="19">
        <v>4734.0</v>
      </c>
      <c r="H190" s="19"/>
      <c r="I190" s="19"/>
      <c r="J190" s="19" t="s">
        <v>38</v>
      </c>
      <c r="K190" s="19" t="s">
        <v>43</v>
      </c>
      <c r="L190" s="19" t="s">
        <v>2749</v>
      </c>
      <c r="M190" s="19" t="s">
        <v>2751</v>
      </c>
      <c r="N190" s="19" t="s">
        <v>2863</v>
      </c>
    </row>
    <row r="191" ht="56.25" customHeight="1">
      <c r="A191" s="13" t="s">
        <v>4420</v>
      </c>
      <c r="B191" s="48" t="str">
        <f>IMAGE("https://storage.googleapis.com/acdb/shoes/ShoesSandalZori3.png")</f>
        <v/>
      </c>
      <c r="C191" s="19" t="s">
        <v>4426</v>
      </c>
      <c r="D191" s="25" t="s">
        <v>28</v>
      </c>
      <c r="E191" s="13">
        <v>4300.0</v>
      </c>
      <c r="F191" s="13">
        <v>1075.0</v>
      </c>
      <c r="G191" s="19">
        <v>4734.0</v>
      </c>
      <c r="H191" s="19"/>
      <c r="I191" s="19"/>
      <c r="J191" s="19" t="s">
        <v>38</v>
      </c>
      <c r="K191" s="19" t="s">
        <v>43</v>
      </c>
      <c r="L191" s="19" t="s">
        <v>2749</v>
      </c>
      <c r="M191" s="19" t="s">
        <v>2751</v>
      </c>
      <c r="N191" s="19" t="s">
        <v>2863</v>
      </c>
    </row>
    <row r="192" ht="56.25" customHeight="1">
      <c r="A192" s="13" t="s">
        <v>4420</v>
      </c>
      <c r="B192" s="48" t="str">
        <f>IMAGE("https://storage.googleapis.com/acdb/shoes/ShoesSandalZori4.png")</f>
        <v/>
      </c>
      <c r="C192" s="19" t="s">
        <v>369</v>
      </c>
      <c r="D192" s="25" t="s">
        <v>28</v>
      </c>
      <c r="E192" s="13">
        <v>4300.0</v>
      </c>
      <c r="F192" s="13">
        <v>1075.0</v>
      </c>
      <c r="G192" s="19">
        <v>4734.0</v>
      </c>
      <c r="H192" s="19"/>
      <c r="I192" s="19"/>
      <c r="J192" s="19" t="s">
        <v>38</v>
      </c>
      <c r="K192" s="19" t="s">
        <v>43</v>
      </c>
      <c r="L192" s="19" t="s">
        <v>2749</v>
      </c>
      <c r="M192" s="19" t="s">
        <v>2751</v>
      </c>
      <c r="N192" s="19" t="s">
        <v>2863</v>
      </c>
    </row>
    <row r="193" ht="56.25" customHeight="1">
      <c r="A193" s="13" t="s">
        <v>4420</v>
      </c>
      <c r="B193" s="48" t="str">
        <f>IMAGE("https://storage.googleapis.com/acdb/shoes/ShoesSandalZori5.png")</f>
        <v/>
      </c>
      <c r="C193" s="19" t="s">
        <v>82</v>
      </c>
      <c r="D193" s="25" t="s">
        <v>28</v>
      </c>
      <c r="E193" s="13">
        <v>4300.0</v>
      </c>
      <c r="F193" s="13">
        <v>1075.0</v>
      </c>
      <c r="G193" s="19">
        <v>4734.0</v>
      </c>
      <c r="H193" s="19"/>
      <c r="I193" s="19"/>
      <c r="J193" s="19" t="s">
        <v>38</v>
      </c>
      <c r="K193" s="19" t="s">
        <v>43</v>
      </c>
      <c r="L193" s="19" t="s">
        <v>2749</v>
      </c>
      <c r="M193" s="19" t="s">
        <v>2751</v>
      </c>
      <c r="N193" s="19" t="s">
        <v>2863</v>
      </c>
    </row>
    <row r="194" ht="56.25" customHeight="1">
      <c r="A194" s="13" t="s">
        <v>4420</v>
      </c>
      <c r="B194" s="48" t="str">
        <f>IMAGE("https://storage.googleapis.com/acdb/shoes/ShoesSandalZori6.png")</f>
        <v/>
      </c>
      <c r="C194" s="19" t="s">
        <v>4433</v>
      </c>
      <c r="D194" s="25" t="s">
        <v>28</v>
      </c>
      <c r="E194" s="13">
        <v>4300.0</v>
      </c>
      <c r="F194" s="13">
        <v>1075.0</v>
      </c>
      <c r="G194" s="19">
        <v>4734.0</v>
      </c>
      <c r="H194" s="19"/>
      <c r="I194" s="19"/>
      <c r="J194" s="19" t="s">
        <v>38</v>
      </c>
      <c r="K194" s="19" t="s">
        <v>43</v>
      </c>
      <c r="L194" s="19" t="s">
        <v>2749</v>
      </c>
      <c r="M194" s="19" t="s">
        <v>2751</v>
      </c>
      <c r="N194" s="19" t="s">
        <v>2863</v>
      </c>
    </row>
    <row r="195" ht="56.25" customHeight="1">
      <c r="A195" s="13" t="s">
        <v>4420</v>
      </c>
      <c r="B195" s="48" t="str">
        <f>IMAGE("https://storage.googleapis.com/acdb/shoes/ShoesSandalZori7.png")</f>
        <v/>
      </c>
      <c r="C195" s="19" t="s">
        <v>208</v>
      </c>
      <c r="D195" s="25" t="s">
        <v>28</v>
      </c>
      <c r="E195" s="13">
        <v>4300.0</v>
      </c>
      <c r="F195" s="13">
        <v>1075.0</v>
      </c>
      <c r="G195" s="19">
        <v>4734.0</v>
      </c>
      <c r="H195" s="19"/>
      <c r="I195" s="19"/>
      <c r="J195" s="19" t="s">
        <v>38</v>
      </c>
      <c r="K195" s="19" t="s">
        <v>43</v>
      </c>
      <c r="L195" s="19" t="s">
        <v>2749</v>
      </c>
      <c r="M195" s="19" t="s">
        <v>2751</v>
      </c>
      <c r="N195" s="19" t="s">
        <v>2863</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57"/>
    <col customWidth="1" min="2" max="2" width="10.86"/>
    <col customWidth="1" min="3" max="3" width="9.43"/>
    <col customWidth="1" min="4" max="4" width="4.29"/>
    <col customWidth="1" min="5" max="6" width="6.14"/>
    <col customWidth="1" min="7" max="7" width="10.57"/>
    <col customWidth="1" min="8" max="8" width="5.14"/>
    <col customWidth="1" min="9" max="9" width="10.57"/>
    <col customWidth="1" min="10" max="10" width="15.29"/>
    <col customWidth="1" min="11" max="11" width="63.86"/>
    <col customWidth="1" min="12" max="12" width="9.14"/>
  </cols>
  <sheetData>
    <row r="1" ht="21.0" customHeight="1">
      <c r="A1" s="70" t="s">
        <v>0</v>
      </c>
      <c r="B1" s="55" t="s">
        <v>1</v>
      </c>
      <c r="C1" s="54" t="s">
        <v>3</v>
      </c>
      <c r="D1" s="55" t="s">
        <v>4</v>
      </c>
      <c r="E1" s="55" t="s">
        <v>6</v>
      </c>
      <c r="F1" s="55" t="s">
        <v>7</v>
      </c>
      <c r="G1" s="7" t="s">
        <v>8</v>
      </c>
      <c r="H1" s="7" t="s">
        <v>12</v>
      </c>
      <c r="I1" s="7" t="s">
        <v>18</v>
      </c>
      <c r="J1" s="7" t="s">
        <v>19</v>
      </c>
      <c r="K1" s="7" t="s">
        <v>20</v>
      </c>
      <c r="L1" s="7" t="s">
        <v>2739</v>
      </c>
    </row>
    <row r="2" ht="56.25" customHeight="1">
      <c r="A2" s="23" t="s">
        <v>4125</v>
      </c>
      <c r="B2" s="23" t="str">
        <f>image("https://storage.googleapis.com/acdb/bags/BagShoulderAcorn0.png")</f>
        <v/>
      </c>
      <c r="C2" s="32"/>
      <c r="D2" s="71" t="s">
        <v>50</v>
      </c>
      <c r="E2" s="71" t="s">
        <v>51</v>
      </c>
      <c r="F2" s="32">
        <v>2400.0</v>
      </c>
      <c r="G2" s="15">
        <v>7492.0</v>
      </c>
      <c r="H2" s="15" t="s">
        <v>38</v>
      </c>
      <c r="I2" s="15" t="s">
        <v>54</v>
      </c>
      <c r="J2" s="15" t="s">
        <v>55</v>
      </c>
      <c r="K2" s="15" t="s">
        <v>1181</v>
      </c>
      <c r="L2" s="15" t="s">
        <v>384</v>
      </c>
    </row>
    <row r="3" ht="56.25" customHeight="1">
      <c r="A3" s="23" t="s">
        <v>4126</v>
      </c>
      <c r="B3" s="23" t="str">
        <f>image("https://storage.googleapis.com/acdb/bags/BagBackpackBasket0.png")</f>
        <v/>
      </c>
      <c r="C3" s="32"/>
      <c r="D3" s="71" t="s">
        <v>50</v>
      </c>
      <c r="E3" s="71" t="s">
        <v>51</v>
      </c>
      <c r="F3" s="32">
        <v>2400.0</v>
      </c>
      <c r="G3" s="15">
        <v>7506.0</v>
      </c>
      <c r="H3" s="15" t="s">
        <v>38</v>
      </c>
      <c r="I3" s="15" t="s">
        <v>54</v>
      </c>
      <c r="J3" s="15" t="s">
        <v>55</v>
      </c>
      <c r="K3" s="15"/>
      <c r="L3" s="15" t="s">
        <v>2744</v>
      </c>
    </row>
    <row r="4" ht="56.25" customHeight="1">
      <c r="A4" s="23" t="s">
        <v>4127</v>
      </c>
      <c r="B4" s="23" t="str">
        <f>image("https://storage.googleapis.com/acdb/bags/BagShoulderCage0.png")</f>
        <v/>
      </c>
      <c r="C4" s="32"/>
      <c r="D4" s="71" t="s">
        <v>28</v>
      </c>
      <c r="E4" s="71" t="s">
        <v>51</v>
      </c>
      <c r="F4" s="71">
        <v>122.0</v>
      </c>
      <c r="G4" s="15">
        <v>7479.0</v>
      </c>
      <c r="H4" s="15" t="s">
        <v>38</v>
      </c>
      <c r="I4" s="15" t="s">
        <v>54</v>
      </c>
      <c r="J4" s="15" t="s">
        <v>264</v>
      </c>
      <c r="K4" s="15"/>
      <c r="L4" s="15" t="s">
        <v>2793</v>
      </c>
    </row>
    <row r="5" ht="56.25" customHeight="1">
      <c r="A5" s="72" t="s">
        <v>4129</v>
      </c>
      <c r="B5" s="23" t="str">
        <f>image("https://storage.googleapis.com/acdb/bags/BagBackpackEgg0.png")</f>
        <v/>
      </c>
      <c r="C5" s="71"/>
      <c r="D5" s="32" t="s">
        <v>50</v>
      </c>
      <c r="E5" s="71" t="s">
        <v>51</v>
      </c>
      <c r="F5" s="71">
        <v>2400.0</v>
      </c>
      <c r="G5" s="15"/>
      <c r="H5" s="15" t="s">
        <v>38</v>
      </c>
      <c r="I5" s="15" t="s">
        <v>54</v>
      </c>
      <c r="J5" s="15" t="s">
        <v>55</v>
      </c>
      <c r="K5" s="15"/>
      <c r="L5" s="15"/>
    </row>
    <row r="6" ht="56.25" customHeight="1">
      <c r="A6" s="23" t="s">
        <v>4132</v>
      </c>
      <c r="B6" s="23" t="str">
        <f>image("https://storage.googleapis.com/acdb/bags/BagBackpackButterfly0.png")</f>
        <v/>
      </c>
      <c r="C6" s="32"/>
      <c r="D6" s="71" t="s">
        <v>28</v>
      </c>
      <c r="E6" s="71" t="s">
        <v>51</v>
      </c>
      <c r="F6" s="32">
        <v>210.0</v>
      </c>
      <c r="G6" s="15">
        <v>7502.0</v>
      </c>
      <c r="H6" s="15" t="s">
        <v>38</v>
      </c>
      <c r="I6" s="15" t="s">
        <v>54</v>
      </c>
      <c r="J6" s="15" t="s">
        <v>264</v>
      </c>
      <c r="K6" s="15"/>
      <c r="L6" s="15" t="s">
        <v>384</v>
      </c>
    </row>
    <row r="7" ht="56.25" customHeight="1">
      <c r="A7" s="23" t="s">
        <v>4133</v>
      </c>
      <c r="B7" s="23" t="str">
        <f>image("https://storage.googleapis.com/acdb/bags/BagBackpackTote0.png")</f>
        <v/>
      </c>
      <c r="C7" s="32"/>
      <c r="D7" s="71" t="s">
        <v>28</v>
      </c>
      <c r="E7" s="32">
        <v>1300.0</v>
      </c>
      <c r="F7" s="32">
        <v>325.0</v>
      </c>
      <c r="G7" s="15">
        <v>7509.0</v>
      </c>
      <c r="H7" s="15" t="s">
        <v>38</v>
      </c>
      <c r="I7" s="15" t="s">
        <v>43</v>
      </c>
      <c r="J7" s="15" t="s">
        <v>4018</v>
      </c>
      <c r="K7" s="15"/>
      <c r="L7" s="15" t="s">
        <v>2744</v>
      </c>
    </row>
    <row r="8" ht="56.25" customHeight="1">
      <c r="A8" s="23" t="s">
        <v>4134</v>
      </c>
      <c r="B8" s="23" t="str">
        <f>image("https://storage.googleapis.com/acdb/bags/BagShoulderCherryblossoms0.png")</f>
        <v/>
      </c>
      <c r="C8" s="32"/>
      <c r="D8" s="71" t="s">
        <v>50</v>
      </c>
      <c r="E8" s="71" t="s">
        <v>51</v>
      </c>
      <c r="F8" s="32">
        <v>2400.0</v>
      </c>
      <c r="G8" s="15">
        <v>7490.0</v>
      </c>
      <c r="H8" s="15" t="s">
        <v>38</v>
      </c>
      <c r="I8" s="15" t="s">
        <v>54</v>
      </c>
      <c r="J8" s="15" t="s">
        <v>55</v>
      </c>
      <c r="K8" s="15" t="s">
        <v>282</v>
      </c>
      <c r="L8" s="15" t="s">
        <v>384</v>
      </c>
    </row>
    <row r="9" ht="56.25" customHeight="1">
      <c r="A9" s="23" t="s">
        <v>4135</v>
      </c>
      <c r="B9" s="23" t="str">
        <f>image("https://storage.googleapis.com/acdb/bags/BagShoulderCanvas0.png")</f>
        <v/>
      </c>
      <c r="C9" s="32"/>
      <c r="D9" s="71" t="s">
        <v>28</v>
      </c>
      <c r="E9" s="32">
        <v>1400.0</v>
      </c>
      <c r="F9" s="32">
        <v>350.0</v>
      </c>
      <c r="G9" s="15">
        <v>7487.0</v>
      </c>
      <c r="H9" s="15" t="s">
        <v>38</v>
      </c>
      <c r="I9" s="15" t="s">
        <v>43</v>
      </c>
      <c r="J9" s="15" t="s">
        <v>4018</v>
      </c>
      <c r="K9" s="15"/>
      <c r="L9" s="15" t="s">
        <v>2744</v>
      </c>
    </row>
    <row r="10" ht="56.25" customHeight="1">
      <c r="A10" s="23" t="s">
        <v>4135</v>
      </c>
      <c r="B10" s="23" t="str">
        <f>image("https://storage.googleapis.com/acdb/bags/BagShoulderCanvas1.png")</f>
        <v/>
      </c>
      <c r="C10" s="32"/>
      <c r="D10" s="71" t="s">
        <v>28</v>
      </c>
      <c r="E10" s="32">
        <v>1400.0</v>
      </c>
      <c r="F10" s="32">
        <v>350.0</v>
      </c>
      <c r="G10" s="15">
        <v>7487.0</v>
      </c>
      <c r="H10" s="15" t="s">
        <v>38</v>
      </c>
      <c r="I10" s="15" t="s">
        <v>43</v>
      </c>
      <c r="J10" s="15" t="s">
        <v>4018</v>
      </c>
      <c r="K10" s="15"/>
      <c r="L10" s="15" t="s">
        <v>2744</v>
      </c>
    </row>
    <row r="11" ht="56.25" customHeight="1">
      <c r="A11" s="23" t="s">
        <v>4135</v>
      </c>
      <c r="B11" s="23" t="str">
        <f>image("https://storage.googleapis.com/acdb/bags/BagShoulderCanvas2.png")</f>
        <v/>
      </c>
      <c r="C11" s="32"/>
      <c r="D11" s="71" t="s">
        <v>28</v>
      </c>
      <c r="E11" s="32">
        <v>1400.0</v>
      </c>
      <c r="F11" s="32">
        <v>350.0</v>
      </c>
      <c r="G11" s="15">
        <v>7487.0</v>
      </c>
      <c r="H11" s="15" t="s">
        <v>38</v>
      </c>
      <c r="I11" s="15" t="s">
        <v>43</v>
      </c>
      <c r="J11" s="15" t="s">
        <v>4018</v>
      </c>
      <c r="K11" s="15"/>
      <c r="L11" s="15" t="s">
        <v>2744</v>
      </c>
    </row>
    <row r="12" ht="56.25" customHeight="1">
      <c r="A12" s="23" t="s">
        <v>4136</v>
      </c>
      <c r="B12" s="23" t="str">
        <f>image("https://storage.googleapis.com/acdb/bags/BagBackpackBody0.png")</f>
        <v/>
      </c>
      <c r="C12" s="32"/>
      <c r="D12" s="71" t="s">
        <v>28</v>
      </c>
      <c r="E12" s="32">
        <v>700.0</v>
      </c>
      <c r="F12" s="32">
        <v>175.0</v>
      </c>
      <c r="G12" s="15">
        <v>7483.0</v>
      </c>
      <c r="H12" s="15" t="s">
        <v>38</v>
      </c>
      <c r="I12" s="15" t="s">
        <v>43</v>
      </c>
      <c r="J12" s="15" t="s">
        <v>4018</v>
      </c>
      <c r="K12" s="15"/>
      <c r="L12" s="15" t="s">
        <v>2793</v>
      </c>
    </row>
    <row r="13" ht="56.25" customHeight="1">
      <c r="A13" s="23" t="s">
        <v>4136</v>
      </c>
      <c r="B13" s="23" t="str">
        <f>image("https://storage.googleapis.com/acdb/bags/BagBackpackBody1.png")</f>
        <v/>
      </c>
      <c r="C13" s="32"/>
      <c r="D13" s="71" t="s">
        <v>28</v>
      </c>
      <c r="E13" s="32">
        <v>700.0</v>
      </c>
      <c r="F13" s="32">
        <v>175.0</v>
      </c>
      <c r="G13" s="15">
        <v>7483.0</v>
      </c>
      <c r="H13" s="15" t="s">
        <v>38</v>
      </c>
      <c r="I13" s="15" t="s">
        <v>43</v>
      </c>
      <c r="J13" s="15" t="s">
        <v>4018</v>
      </c>
      <c r="K13" s="15"/>
      <c r="L13" s="15" t="s">
        <v>2793</v>
      </c>
    </row>
    <row r="14" ht="56.25" customHeight="1">
      <c r="A14" s="23" t="s">
        <v>4136</v>
      </c>
      <c r="B14" s="23" t="str">
        <f>image("https://storage.googleapis.com/acdb/bags/BagBackpackBody2.png")</f>
        <v/>
      </c>
      <c r="C14" s="32"/>
      <c r="D14" s="71" t="s">
        <v>28</v>
      </c>
      <c r="E14" s="32">
        <v>700.0</v>
      </c>
      <c r="F14" s="32">
        <v>175.0</v>
      </c>
      <c r="G14" s="15">
        <v>7483.0</v>
      </c>
      <c r="H14" s="15" t="s">
        <v>38</v>
      </c>
      <c r="I14" s="15" t="s">
        <v>43</v>
      </c>
      <c r="J14" s="15" t="s">
        <v>4018</v>
      </c>
      <c r="K14" s="15"/>
      <c r="L14" s="15" t="s">
        <v>2793</v>
      </c>
    </row>
    <row r="15" ht="56.25" customHeight="1">
      <c r="A15" s="23" t="s">
        <v>4136</v>
      </c>
      <c r="B15" s="23" t="str">
        <f>image("https://storage.googleapis.com/acdb/bags/BagBackpackBody3.png")</f>
        <v/>
      </c>
      <c r="C15" s="32"/>
      <c r="D15" s="71" t="s">
        <v>28</v>
      </c>
      <c r="E15" s="32">
        <v>700.0</v>
      </c>
      <c r="F15" s="32">
        <v>175.0</v>
      </c>
      <c r="G15" s="15">
        <v>7483.0</v>
      </c>
      <c r="H15" s="15" t="s">
        <v>38</v>
      </c>
      <c r="I15" s="15" t="s">
        <v>43</v>
      </c>
      <c r="J15" s="15" t="s">
        <v>4018</v>
      </c>
      <c r="K15" s="15"/>
      <c r="L15" s="15" t="s">
        <v>2793</v>
      </c>
    </row>
    <row r="16" ht="56.25" customHeight="1">
      <c r="A16" s="23" t="s">
        <v>4139</v>
      </c>
      <c r="B16" s="23" t="str">
        <f>image("https://storage.googleapis.com/acdb/bags/BagShoulderDrum0.png")</f>
        <v/>
      </c>
      <c r="C16" s="32"/>
      <c r="D16" s="71" t="s">
        <v>28</v>
      </c>
      <c r="E16" s="32">
        <v>1680.0</v>
      </c>
      <c r="F16" s="32">
        <v>420.0</v>
      </c>
      <c r="G16" s="15">
        <v>7485.0</v>
      </c>
      <c r="H16" s="15" t="s">
        <v>38</v>
      </c>
      <c r="I16" s="15" t="s">
        <v>43</v>
      </c>
      <c r="J16" s="15" t="s">
        <v>4018</v>
      </c>
      <c r="K16" s="15"/>
      <c r="L16" s="15" t="s">
        <v>2744</v>
      </c>
    </row>
    <row r="17" ht="56.25" customHeight="1">
      <c r="A17" s="23" t="s">
        <v>4139</v>
      </c>
      <c r="B17" s="23" t="str">
        <f>image("https://storage.googleapis.com/acdb/bags/BagShoulderDrum1.png")</f>
        <v/>
      </c>
      <c r="C17" s="32"/>
      <c r="D17" s="71" t="s">
        <v>28</v>
      </c>
      <c r="E17" s="32">
        <v>1680.0</v>
      </c>
      <c r="F17" s="32">
        <v>420.0</v>
      </c>
      <c r="G17" s="15">
        <v>7485.0</v>
      </c>
      <c r="H17" s="15" t="s">
        <v>38</v>
      </c>
      <c r="I17" s="15" t="s">
        <v>43</v>
      </c>
      <c r="J17" s="15" t="s">
        <v>4018</v>
      </c>
      <c r="K17" s="15"/>
      <c r="L17" s="15" t="s">
        <v>2744</v>
      </c>
    </row>
    <row r="18" ht="56.25" customHeight="1">
      <c r="A18" s="23" t="s">
        <v>4140</v>
      </c>
      <c r="B18" s="23" t="str">
        <f>image("https://storage.googleapis.com/acdb/bags/BagBackpackDal0.png")</f>
        <v/>
      </c>
      <c r="C18" s="32"/>
      <c r="D18" s="71" t="s">
        <v>28</v>
      </c>
      <c r="E18" s="71" t="s">
        <v>51</v>
      </c>
      <c r="F18" s="32">
        <v>1010.0</v>
      </c>
      <c r="G18" s="15">
        <v>12131.0</v>
      </c>
      <c r="H18" s="15" t="s">
        <v>38</v>
      </c>
      <c r="I18" s="15" t="s">
        <v>54</v>
      </c>
      <c r="J18" s="15" t="s">
        <v>563</v>
      </c>
      <c r="K18" s="15" t="s">
        <v>565</v>
      </c>
      <c r="L18" s="15" t="s">
        <v>2756</v>
      </c>
    </row>
    <row r="19" ht="56.25" customHeight="1">
      <c r="A19" s="23" t="s">
        <v>4141</v>
      </c>
      <c r="B19" s="23" t="str">
        <f>image("https://storage.googleapis.com/acdb/bags/BagBackpackDry0.png")</f>
        <v/>
      </c>
      <c r="C19" s="32"/>
      <c r="D19" s="71" t="s">
        <v>28</v>
      </c>
      <c r="E19" s="32">
        <v>1040.0</v>
      </c>
      <c r="F19" s="32">
        <v>260.0</v>
      </c>
      <c r="G19" s="15">
        <v>7471.0</v>
      </c>
      <c r="H19" s="15" t="s">
        <v>38</v>
      </c>
      <c r="I19" s="15" t="s">
        <v>43</v>
      </c>
      <c r="J19" s="15" t="s">
        <v>4018</v>
      </c>
      <c r="K19" s="15"/>
      <c r="L19" s="15" t="s">
        <v>2793</v>
      </c>
    </row>
    <row r="20" ht="56.25" customHeight="1">
      <c r="A20" s="23" t="s">
        <v>4141</v>
      </c>
      <c r="B20" s="23" t="str">
        <f>image("https://storage.googleapis.com/acdb/bags/BagBackpackDry1.png")</f>
        <v/>
      </c>
      <c r="C20" s="32"/>
      <c r="D20" s="71" t="s">
        <v>28</v>
      </c>
      <c r="E20" s="32">
        <v>1040.0</v>
      </c>
      <c r="F20" s="32">
        <v>260.0</v>
      </c>
      <c r="G20" s="15">
        <v>7471.0</v>
      </c>
      <c r="H20" s="15" t="s">
        <v>38</v>
      </c>
      <c r="I20" s="15" t="s">
        <v>43</v>
      </c>
      <c r="J20" s="15" t="s">
        <v>4018</v>
      </c>
      <c r="K20" s="15"/>
      <c r="L20" s="15" t="s">
        <v>2793</v>
      </c>
    </row>
    <row r="21" ht="56.25" customHeight="1">
      <c r="A21" s="23" t="s">
        <v>4143</v>
      </c>
      <c r="B21" s="23" t="str">
        <f>image("https://storage.googleapis.com/acdb/bags/BagShoulderParty0.png")</f>
        <v/>
      </c>
      <c r="C21" s="32"/>
      <c r="D21" s="71" t="s">
        <v>28</v>
      </c>
      <c r="E21" s="32">
        <v>1250.0</v>
      </c>
      <c r="F21" s="71">
        <v>312.0</v>
      </c>
      <c r="G21" s="15">
        <v>7305.0</v>
      </c>
      <c r="H21" s="15" t="s">
        <v>38</v>
      </c>
      <c r="I21" s="15" t="s">
        <v>43</v>
      </c>
      <c r="J21" s="15" t="s">
        <v>4018</v>
      </c>
      <c r="K21" s="15"/>
      <c r="L21" s="15" t="s">
        <v>384</v>
      </c>
    </row>
    <row r="22" ht="56.25" customHeight="1">
      <c r="A22" s="23" t="s">
        <v>4143</v>
      </c>
      <c r="B22" s="23" t="str">
        <f>image("https://storage.googleapis.com/acdb/bags/BagShoulderParty1.png")</f>
        <v/>
      </c>
      <c r="C22" s="32"/>
      <c r="D22" s="71" t="s">
        <v>28</v>
      </c>
      <c r="E22" s="32">
        <v>1250.0</v>
      </c>
      <c r="F22" s="71">
        <v>312.0</v>
      </c>
      <c r="G22" s="15">
        <v>7305.0</v>
      </c>
      <c r="H22" s="15" t="s">
        <v>38</v>
      </c>
      <c r="I22" s="15" t="s">
        <v>43</v>
      </c>
      <c r="J22" s="15" t="s">
        <v>4018</v>
      </c>
      <c r="K22" s="15"/>
      <c r="L22" s="15" t="s">
        <v>384</v>
      </c>
    </row>
    <row r="23" ht="56.25" customHeight="1">
      <c r="A23" s="23" t="s">
        <v>4143</v>
      </c>
      <c r="B23" s="23" t="str">
        <f>image("https://storage.googleapis.com/acdb/bags/BagShoulderParty2.png")</f>
        <v/>
      </c>
      <c r="C23" s="32"/>
      <c r="D23" s="71" t="s">
        <v>28</v>
      </c>
      <c r="E23" s="32">
        <v>1250.0</v>
      </c>
      <c r="F23" s="71">
        <v>312.0</v>
      </c>
      <c r="G23" s="15">
        <v>7305.0</v>
      </c>
      <c r="H23" s="15" t="s">
        <v>38</v>
      </c>
      <c r="I23" s="15" t="s">
        <v>43</v>
      </c>
      <c r="J23" s="15" t="s">
        <v>4018</v>
      </c>
      <c r="K23" s="15"/>
      <c r="L23" s="15" t="s">
        <v>384</v>
      </c>
    </row>
    <row r="24" ht="56.25" customHeight="1">
      <c r="A24" s="23" t="s">
        <v>4145</v>
      </c>
      <c r="B24" s="23" t="str">
        <f>image("https://storage.googleapis.com/acdb/bags/BagBackpackMountain0.png")</f>
        <v/>
      </c>
      <c r="C24" s="32"/>
      <c r="D24" s="71" t="s">
        <v>28</v>
      </c>
      <c r="E24" s="32">
        <v>2100.0</v>
      </c>
      <c r="F24" s="32">
        <v>525.0</v>
      </c>
      <c r="G24" s="15">
        <v>7505.0</v>
      </c>
      <c r="H24" s="15" t="s">
        <v>38</v>
      </c>
      <c r="I24" s="15" t="s">
        <v>43</v>
      </c>
      <c r="J24" s="15" t="s">
        <v>4018</v>
      </c>
      <c r="K24" s="15"/>
      <c r="L24" s="15" t="s">
        <v>2793</v>
      </c>
    </row>
    <row r="25" ht="56.25" customHeight="1">
      <c r="A25" s="23" t="s">
        <v>4145</v>
      </c>
      <c r="B25" s="23" t="str">
        <f>image("https://storage.googleapis.com/acdb/bags/BagBackpackMountain1.png")</f>
        <v/>
      </c>
      <c r="C25" s="32"/>
      <c r="D25" s="71" t="s">
        <v>28</v>
      </c>
      <c r="E25" s="32">
        <v>2100.0</v>
      </c>
      <c r="F25" s="32">
        <v>525.0</v>
      </c>
      <c r="G25" s="15">
        <v>7505.0</v>
      </c>
      <c r="H25" s="15" t="s">
        <v>38</v>
      </c>
      <c r="I25" s="15" t="s">
        <v>43</v>
      </c>
      <c r="J25" s="15" t="s">
        <v>4018</v>
      </c>
      <c r="K25" s="15"/>
      <c r="L25" s="15" t="s">
        <v>2793</v>
      </c>
    </row>
    <row r="26" ht="56.25" customHeight="1">
      <c r="A26" s="23" t="s">
        <v>4145</v>
      </c>
      <c r="B26" s="23" t="str">
        <f>image("https://storage.googleapis.com/acdb/bags/BagBackpackMountain2.png")</f>
        <v/>
      </c>
      <c r="C26" s="32"/>
      <c r="D26" s="71" t="s">
        <v>28</v>
      </c>
      <c r="E26" s="32">
        <v>2100.0</v>
      </c>
      <c r="F26" s="32">
        <v>525.0</v>
      </c>
      <c r="G26" s="15">
        <v>7505.0</v>
      </c>
      <c r="H26" s="15" t="s">
        <v>38</v>
      </c>
      <c r="I26" s="15" t="s">
        <v>43</v>
      </c>
      <c r="J26" s="15" t="s">
        <v>4018</v>
      </c>
      <c r="K26" s="15"/>
      <c r="L26" s="15" t="s">
        <v>2793</v>
      </c>
    </row>
    <row r="27" ht="56.25" customHeight="1">
      <c r="A27" s="23" t="s">
        <v>4145</v>
      </c>
      <c r="B27" s="23" t="str">
        <f>image("https://storage.googleapis.com/acdb/bags/BagBackpackMountain3.png")</f>
        <v/>
      </c>
      <c r="C27" s="32"/>
      <c r="D27" s="71" t="s">
        <v>28</v>
      </c>
      <c r="E27" s="32">
        <v>2100.0</v>
      </c>
      <c r="F27" s="32">
        <v>525.0</v>
      </c>
      <c r="G27" s="15">
        <v>7505.0</v>
      </c>
      <c r="H27" s="15" t="s">
        <v>38</v>
      </c>
      <c r="I27" s="15" t="s">
        <v>43</v>
      </c>
      <c r="J27" s="15" t="s">
        <v>4018</v>
      </c>
      <c r="K27" s="15"/>
      <c r="L27" s="15" t="s">
        <v>2793</v>
      </c>
    </row>
    <row r="28" ht="56.25" customHeight="1">
      <c r="A28" s="23" t="s">
        <v>4147</v>
      </c>
      <c r="B28" s="23" t="str">
        <f>image("https://storage.googleapis.com/acdb/bags/BagShoulderFakefur0.png")</f>
        <v/>
      </c>
      <c r="C28" s="32"/>
      <c r="D28" s="71" t="s">
        <v>28</v>
      </c>
      <c r="E28" s="32">
        <v>1400.0</v>
      </c>
      <c r="F28" s="32">
        <v>350.0</v>
      </c>
      <c r="G28" s="15">
        <v>7480.0</v>
      </c>
      <c r="H28" s="15" t="s">
        <v>38</v>
      </c>
      <c r="I28" s="15" t="s">
        <v>43</v>
      </c>
      <c r="J28" s="15" t="s">
        <v>4018</v>
      </c>
      <c r="K28" s="15"/>
      <c r="L28" s="15" t="s">
        <v>384</v>
      </c>
    </row>
    <row r="29" ht="56.25" customHeight="1">
      <c r="A29" s="23" t="s">
        <v>4147</v>
      </c>
      <c r="B29" s="23" t="str">
        <f>image("https://storage.googleapis.com/acdb/bags/BagShoulderFakefur1.png")</f>
        <v/>
      </c>
      <c r="C29" s="32"/>
      <c r="D29" s="71" t="s">
        <v>28</v>
      </c>
      <c r="E29" s="32">
        <v>1400.0</v>
      </c>
      <c r="F29" s="32">
        <v>350.0</v>
      </c>
      <c r="G29" s="15">
        <v>7480.0</v>
      </c>
      <c r="H29" s="15" t="s">
        <v>38</v>
      </c>
      <c r="I29" s="15" t="s">
        <v>43</v>
      </c>
      <c r="J29" s="15" t="s">
        <v>4018</v>
      </c>
      <c r="K29" s="15"/>
      <c r="L29" s="15" t="s">
        <v>384</v>
      </c>
    </row>
    <row r="30" ht="56.25" customHeight="1">
      <c r="A30" s="23" t="s">
        <v>4149</v>
      </c>
      <c r="B30" s="23" t="str">
        <f>image("https://storage.googleapis.com/acdb/bags/BagShoulderFish0.png")</f>
        <v/>
      </c>
      <c r="C30" s="32"/>
      <c r="D30" s="71" t="s">
        <v>28</v>
      </c>
      <c r="E30" s="71" t="s">
        <v>51</v>
      </c>
      <c r="F30" s="32">
        <v>210.0</v>
      </c>
      <c r="G30" s="15">
        <v>7477.0</v>
      </c>
      <c r="H30" s="15" t="s">
        <v>38</v>
      </c>
      <c r="I30" s="15" t="s">
        <v>54</v>
      </c>
      <c r="J30" s="15" t="s">
        <v>85</v>
      </c>
      <c r="K30" s="15"/>
      <c r="L30" s="15" t="s">
        <v>384</v>
      </c>
    </row>
    <row r="31" ht="56.25" customHeight="1">
      <c r="A31" s="23" t="s">
        <v>4151</v>
      </c>
      <c r="B31" s="23" t="str">
        <f>image("https://storage.googleapis.com/acdb/bags/BagBackpackLid0.png")</f>
        <v/>
      </c>
      <c r="C31" s="32"/>
      <c r="D31" s="71" t="s">
        <v>28</v>
      </c>
      <c r="E31" s="32">
        <v>1300.0</v>
      </c>
      <c r="F31" s="32">
        <v>325.0</v>
      </c>
      <c r="G31" s="15">
        <v>7507.0</v>
      </c>
      <c r="H31" s="15" t="s">
        <v>38</v>
      </c>
      <c r="I31" s="15" t="s">
        <v>43</v>
      </c>
      <c r="J31" s="15" t="s">
        <v>4018</v>
      </c>
      <c r="K31" s="15"/>
      <c r="L31" s="15" t="s">
        <v>2793</v>
      </c>
    </row>
    <row r="32" ht="56.25" customHeight="1">
      <c r="A32" s="23" t="s">
        <v>4151</v>
      </c>
      <c r="B32" s="23" t="str">
        <f>image("https://storage.googleapis.com/acdb/bags/BagBackpackLid1.png")</f>
        <v/>
      </c>
      <c r="C32" s="32"/>
      <c r="D32" s="71" t="s">
        <v>28</v>
      </c>
      <c r="E32" s="32">
        <v>1300.0</v>
      </c>
      <c r="F32" s="32">
        <v>325.0</v>
      </c>
      <c r="G32" s="15">
        <v>7507.0</v>
      </c>
      <c r="H32" s="15" t="s">
        <v>38</v>
      </c>
      <c r="I32" s="15" t="s">
        <v>43</v>
      </c>
      <c r="J32" s="15" t="s">
        <v>4018</v>
      </c>
      <c r="K32" s="15"/>
      <c r="L32" s="15" t="s">
        <v>2793</v>
      </c>
    </row>
    <row r="33" ht="56.25" customHeight="1">
      <c r="A33" s="23" t="s">
        <v>4151</v>
      </c>
      <c r="B33" s="23" t="str">
        <f>image("https://storage.googleapis.com/acdb/bags/BagBackpackLid2.png")</f>
        <v/>
      </c>
      <c r="C33" s="32"/>
      <c r="D33" s="71" t="s">
        <v>28</v>
      </c>
      <c r="E33" s="32">
        <v>1300.0</v>
      </c>
      <c r="F33" s="32">
        <v>325.0</v>
      </c>
      <c r="G33" s="15">
        <v>7507.0</v>
      </c>
      <c r="H33" s="15" t="s">
        <v>38</v>
      </c>
      <c r="I33" s="15" t="s">
        <v>43</v>
      </c>
      <c r="J33" s="15" t="s">
        <v>4018</v>
      </c>
      <c r="K33" s="15"/>
      <c r="L33" s="15" t="s">
        <v>2793</v>
      </c>
    </row>
    <row r="34" ht="56.25" customHeight="1">
      <c r="A34" s="23" t="s">
        <v>4151</v>
      </c>
      <c r="B34" s="23" t="str">
        <f>image("https://storage.googleapis.com/acdb/bags/BagBackpackLid3.png")</f>
        <v/>
      </c>
      <c r="C34" s="32"/>
      <c r="D34" s="71" t="s">
        <v>28</v>
      </c>
      <c r="E34" s="32">
        <v>1300.0</v>
      </c>
      <c r="F34" s="32">
        <v>325.0</v>
      </c>
      <c r="G34" s="15">
        <v>7507.0</v>
      </c>
      <c r="H34" s="15" t="s">
        <v>38</v>
      </c>
      <c r="I34" s="15" t="s">
        <v>43</v>
      </c>
      <c r="J34" s="15" t="s">
        <v>4018</v>
      </c>
      <c r="K34" s="15"/>
      <c r="L34" s="15" t="s">
        <v>2793</v>
      </c>
    </row>
    <row r="35" ht="56.25" customHeight="1">
      <c r="A35" s="23" t="s">
        <v>4154</v>
      </c>
      <c r="B35" s="23" t="str">
        <f>image("https://storage.googleapis.com/acdb/bags/BagShoulderPattern0.png")</f>
        <v/>
      </c>
      <c r="C35" s="32"/>
      <c r="D35" s="71" t="s">
        <v>28</v>
      </c>
      <c r="E35" s="32">
        <v>2000.0</v>
      </c>
      <c r="F35" s="32">
        <v>500.0</v>
      </c>
      <c r="G35" s="15">
        <v>7486.0</v>
      </c>
      <c r="H35" s="15" t="s">
        <v>38</v>
      </c>
      <c r="I35" s="15" t="s">
        <v>43</v>
      </c>
      <c r="J35" s="15" t="s">
        <v>4018</v>
      </c>
      <c r="K35" s="15"/>
      <c r="L35" s="15" t="s">
        <v>2744</v>
      </c>
    </row>
    <row r="36" ht="56.25" customHeight="1">
      <c r="A36" s="23" t="s">
        <v>4154</v>
      </c>
      <c r="B36" s="23" t="str">
        <f>image("https://storage.googleapis.com/acdb/bags/BagShoulderPattern1.png")</f>
        <v/>
      </c>
      <c r="C36" s="32"/>
      <c r="D36" s="71" t="s">
        <v>28</v>
      </c>
      <c r="E36" s="32">
        <v>2000.0</v>
      </c>
      <c r="F36" s="32">
        <v>500.0</v>
      </c>
      <c r="G36" s="15">
        <v>7486.0</v>
      </c>
      <c r="H36" s="15" t="s">
        <v>38</v>
      </c>
      <c r="I36" s="15" t="s">
        <v>43</v>
      </c>
      <c r="J36" s="15" t="s">
        <v>4018</v>
      </c>
      <c r="K36" s="15"/>
      <c r="L36" s="15" t="s">
        <v>2744</v>
      </c>
    </row>
    <row r="37" ht="56.25" customHeight="1">
      <c r="A37" s="23" t="s">
        <v>4157</v>
      </c>
      <c r="B37" s="23" t="str">
        <f>image("https://storage.googleapis.com/acdb/bags/BagShoulderRace0.png")</f>
        <v/>
      </c>
      <c r="C37" s="32"/>
      <c r="D37" s="71" t="s">
        <v>28</v>
      </c>
      <c r="E37" s="32">
        <v>1250.0</v>
      </c>
      <c r="F37" s="71">
        <v>312.0</v>
      </c>
      <c r="G37" s="15">
        <v>7482.0</v>
      </c>
      <c r="H37" s="15" t="s">
        <v>38</v>
      </c>
      <c r="I37" s="15" t="s">
        <v>43</v>
      </c>
      <c r="J37" s="15" t="s">
        <v>4018</v>
      </c>
      <c r="K37" s="15"/>
      <c r="L37" s="15" t="s">
        <v>2863</v>
      </c>
    </row>
    <row r="38" ht="56.25" customHeight="1">
      <c r="A38" s="23" t="s">
        <v>4157</v>
      </c>
      <c r="B38" s="23" t="str">
        <f>image("https://storage.googleapis.com/acdb/bags/BagShoulderRace1.png")</f>
        <v/>
      </c>
      <c r="C38" s="32"/>
      <c r="D38" s="71" t="s">
        <v>28</v>
      </c>
      <c r="E38" s="32">
        <v>1250.0</v>
      </c>
      <c r="F38" s="71">
        <v>312.0</v>
      </c>
      <c r="G38" s="15">
        <v>7482.0</v>
      </c>
      <c r="H38" s="15" t="s">
        <v>38</v>
      </c>
      <c r="I38" s="15" t="s">
        <v>43</v>
      </c>
      <c r="J38" s="15" t="s">
        <v>4018</v>
      </c>
      <c r="K38" s="15"/>
      <c r="L38" s="15" t="s">
        <v>2863</v>
      </c>
    </row>
    <row r="39" ht="56.25" customHeight="1">
      <c r="A39" s="23" t="s">
        <v>4158</v>
      </c>
      <c r="B39" s="23" t="str">
        <f>image("https://storage.googleapis.com/acdb/bags/BagBackpackHardshell0.png")</f>
        <v/>
      </c>
      <c r="C39" s="32"/>
      <c r="D39" s="71" t="s">
        <v>28</v>
      </c>
      <c r="E39" s="32">
        <v>1680.0</v>
      </c>
      <c r="F39" s="32">
        <v>420.0</v>
      </c>
      <c r="G39" s="15">
        <v>7512.0</v>
      </c>
      <c r="H39" s="15" t="s">
        <v>38</v>
      </c>
      <c r="I39" s="15" t="s">
        <v>43</v>
      </c>
      <c r="J39" s="15" t="s">
        <v>4018</v>
      </c>
      <c r="K39" s="15"/>
      <c r="L39" s="15" t="s">
        <v>2756</v>
      </c>
    </row>
    <row r="40" ht="56.25" customHeight="1">
      <c r="A40" s="23" t="s">
        <v>4158</v>
      </c>
      <c r="B40" s="23" t="str">
        <f>image("https://storage.googleapis.com/acdb/bags/BagBackpackHardshell1.png")</f>
        <v/>
      </c>
      <c r="C40" s="32"/>
      <c r="D40" s="71" t="s">
        <v>28</v>
      </c>
      <c r="E40" s="32">
        <v>1680.0</v>
      </c>
      <c r="F40" s="32">
        <v>420.0</v>
      </c>
      <c r="G40" s="15">
        <v>7512.0</v>
      </c>
      <c r="H40" s="15" t="s">
        <v>38</v>
      </c>
      <c r="I40" s="15" t="s">
        <v>43</v>
      </c>
      <c r="J40" s="15" t="s">
        <v>4018</v>
      </c>
      <c r="K40" s="15"/>
      <c r="L40" s="15" t="s">
        <v>2756</v>
      </c>
    </row>
    <row r="41" ht="56.25" customHeight="1">
      <c r="A41" s="23" t="s">
        <v>4158</v>
      </c>
      <c r="B41" s="23" t="str">
        <f>image("https://storage.googleapis.com/acdb/bags/BagBackpackHardshell2.png")</f>
        <v/>
      </c>
      <c r="C41" s="32"/>
      <c r="D41" s="71" t="s">
        <v>28</v>
      </c>
      <c r="E41" s="32">
        <v>1680.0</v>
      </c>
      <c r="F41" s="32">
        <v>420.0</v>
      </c>
      <c r="G41" s="15">
        <v>7512.0</v>
      </c>
      <c r="H41" s="15" t="s">
        <v>38</v>
      </c>
      <c r="I41" s="15" t="s">
        <v>43</v>
      </c>
      <c r="J41" s="15" t="s">
        <v>4018</v>
      </c>
      <c r="K41" s="15"/>
      <c r="L41" s="15" t="s">
        <v>2756</v>
      </c>
    </row>
    <row r="42" ht="56.25" customHeight="1">
      <c r="A42" s="23" t="s">
        <v>4160</v>
      </c>
      <c r="B42" s="23" t="str">
        <f>image("https://storage.googleapis.com/acdb/bags/BagBackpackKnapsack0.png")</f>
        <v/>
      </c>
      <c r="C42" s="32"/>
      <c r="D42" s="71" t="s">
        <v>28</v>
      </c>
      <c r="E42" s="32">
        <v>630.0</v>
      </c>
      <c r="F42" s="71">
        <v>157.0</v>
      </c>
      <c r="G42" s="15">
        <v>7508.0</v>
      </c>
      <c r="H42" s="15" t="s">
        <v>38</v>
      </c>
      <c r="I42" s="15" t="s">
        <v>43</v>
      </c>
      <c r="J42" s="15" t="s">
        <v>4018</v>
      </c>
      <c r="K42" s="15"/>
      <c r="L42" s="15" t="s">
        <v>2793</v>
      </c>
    </row>
    <row r="43" ht="56.25" customHeight="1">
      <c r="A43" s="23" t="s">
        <v>4160</v>
      </c>
      <c r="B43" s="23" t="str">
        <f>image("https://storage.googleapis.com/acdb/bags/BagBackpackKnapsack1.png")</f>
        <v/>
      </c>
      <c r="C43" s="32"/>
      <c r="D43" s="71" t="s">
        <v>28</v>
      </c>
      <c r="E43" s="32">
        <v>630.0</v>
      </c>
      <c r="F43" s="71">
        <v>157.0</v>
      </c>
      <c r="G43" s="15">
        <v>7508.0</v>
      </c>
      <c r="H43" s="15" t="s">
        <v>38</v>
      </c>
      <c r="I43" s="15" t="s">
        <v>43</v>
      </c>
      <c r="J43" s="15" t="s">
        <v>4018</v>
      </c>
      <c r="K43" s="15"/>
      <c r="L43" s="15" t="s">
        <v>2793</v>
      </c>
    </row>
    <row r="44" ht="56.25" customHeight="1">
      <c r="A44" s="23" t="s">
        <v>4162</v>
      </c>
      <c r="B44" s="23" t="str">
        <f>image("https://storage.googleapis.com/acdb/bags/BagBackpackGrass0.png")</f>
        <v/>
      </c>
      <c r="C44" s="32"/>
      <c r="D44" s="71" t="s">
        <v>50</v>
      </c>
      <c r="E44" s="71" t="s">
        <v>51</v>
      </c>
      <c r="F44" s="32">
        <v>400.0</v>
      </c>
      <c r="G44" s="15">
        <v>7511.0</v>
      </c>
      <c r="H44" s="15" t="s">
        <v>38</v>
      </c>
      <c r="I44" s="15" t="s">
        <v>54</v>
      </c>
      <c r="J44" s="15" t="s">
        <v>55</v>
      </c>
      <c r="K44" s="15"/>
      <c r="L44" s="15" t="s">
        <v>2863</v>
      </c>
    </row>
    <row r="45" ht="56.25" customHeight="1">
      <c r="A45" s="23" t="s">
        <v>4163</v>
      </c>
      <c r="B45" s="23" t="str">
        <f>image("https://storage.googleapis.com/acdb/bags/BagBackpackWood0.png")</f>
        <v/>
      </c>
      <c r="C45" s="32"/>
      <c r="D45" s="71" t="s">
        <v>50</v>
      </c>
      <c r="E45" s="71" t="s">
        <v>51</v>
      </c>
      <c r="F45" s="32">
        <v>960.0</v>
      </c>
      <c r="G45" s="15">
        <v>7498.0</v>
      </c>
      <c r="H45" s="15" t="s">
        <v>38</v>
      </c>
      <c r="I45" s="15" t="s">
        <v>54</v>
      </c>
      <c r="J45" s="15" t="s">
        <v>55</v>
      </c>
      <c r="K45" s="15"/>
      <c r="L45" s="15" t="s">
        <v>2744</v>
      </c>
    </row>
    <row r="46" ht="56.25" customHeight="1">
      <c r="A46" s="23" t="s">
        <v>4164</v>
      </c>
      <c r="B46" s="23" t="str">
        <f>image("https://storage.googleapis.com/acdb/bags/BagShoulderMaple0.png")</f>
        <v/>
      </c>
      <c r="C46" s="32"/>
      <c r="D46" s="71" t="s">
        <v>50</v>
      </c>
      <c r="E46" s="71" t="s">
        <v>51</v>
      </c>
      <c r="F46" s="32">
        <v>2400.0</v>
      </c>
      <c r="G46" s="15">
        <v>7491.0</v>
      </c>
      <c r="H46" s="15" t="s">
        <v>38</v>
      </c>
      <c r="I46" s="15" t="s">
        <v>54</v>
      </c>
      <c r="J46" s="15" t="s">
        <v>55</v>
      </c>
      <c r="K46" s="15" t="s">
        <v>1442</v>
      </c>
      <c r="L46" s="15" t="s">
        <v>2744</v>
      </c>
    </row>
    <row r="47" ht="56.25" customHeight="1">
      <c r="A47" s="23" t="s">
        <v>4165</v>
      </c>
      <c r="B47" s="23" t="str">
        <f>image("https://storage.googleapis.com/acdb/bags/BagShoulderMessenger0.png")</f>
        <v/>
      </c>
      <c r="C47" s="32"/>
      <c r="D47" s="71" t="s">
        <v>28</v>
      </c>
      <c r="E47" s="32">
        <v>840.0</v>
      </c>
      <c r="F47" s="32">
        <v>210.0</v>
      </c>
      <c r="G47" s="15">
        <v>7470.0</v>
      </c>
      <c r="H47" s="15" t="s">
        <v>38</v>
      </c>
      <c r="I47" s="15" t="s">
        <v>43</v>
      </c>
      <c r="J47" s="15" t="s">
        <v>4018</v>
      </c>
      <c r="K47" s="15"/>
      <c r="L47" s="15" t="s">
        <v>2744</v>
      </c>
    </row>
    <row r="48" ht="56.25" customHeight="1">
      <c r="A48" s="23" t="s">
        <v>4165</v>
      </c>
      <c r="B48" s="23" t="str">
        <f>image("https://storage.googleapis.com/acdb/bags/BagShoulderMessenger1.png")</f>
        <v/>
      </c>
      <c r="C48" s="32"/>
      <c r="D48" s="71" t="s">
        <v>28</v>
      </c>
      <c r="E48" s="32">
        <v>840.0</v>
      </c>
      <c r="F48" s="32">
        <v>210.0</v>
      </c>
      <c r="G48" s="15">
        <v>7470.0</v>
      </c>
      <c r="H48" s="15" t="s">
        <v>38</v>
      </c>
      <c r="I48" s="15" t="s">
        <v>43</v>
      </c>
      <c r="J48" s="15" t="s">
        <v>4018</v>
      </c>
      <c r="K48" s="15"/>
      <c r="L48" s="15" t="s">
        <v>2744</v>
      </c>
    </row>
    <row r="49" ht="56.25" customHeight="1">
      <c r="A49" s="23" t="s">
        <v>4165</v>
      </c>
      <c r="B49" s="23" t="str">
        <f>image("https://storage.googleapis.com/acdb/bags/BagShoulderMessenger2.png")</f>
        <v/>
      </c>
      <c r="C49" s="32"/>
      <c r="D49" s="71" t="s">
        <v>28</v>
      </c>
      <c r="E49" s="32">
        <v>840.0</v>
      </c>
      <c r="F49" s="32">
        <v>210.0</v>
      </c>
      <c r="G49" s="15">
        <v>7470.0</v>
      </c>
      <c r="H49" s="15" t="s">
        <v>38</v>
      </c>
      <c r="I49" s="15" t="s">
        <v>43</v>
      </c>
      <c r="J49" s="15" t="s">
        <v>4018</v>
      </c>
      <c r="K49" s="15"/>
      <c r="L49" s="15" t="s">
        <v>2744</v>
      </c>
    </row>
    <row r="50" ht="56.25" customHeight="1">
      <c r="A50" s="23" t="s">
        <v>4167</v>
      </c>
      <c r="B50" s="23" t="str">
        <f>image("https://storage.googleapis.com/acdb/bags/BagBackpackSmall0.png")</f>
        <v/>
      </c>
      <c r="C50" s="32"/>
      <c r="D50" s="71" t="s">
        <v>28</v>
      </c>
      <c r="E50" s="32">
        <v>1600.0</v>
      </c>
      <c r="F50" s="32">
        <v>400.0</v>
      </c>
      <c r="G50" s="15">
        <v>7504.0</v>
      </c>
      <c r="H50" s="15" t="s">
        <v>38</v>
      </c>
      <c r="I50" s="15" t="s">
        <v>43</v>
      </c>
      <c r="J50" s="15" t="s">
        <v>4018</v>
      </c>
      <c r="K50" s="15"/>
      <c r="L50" s="15" t="s">
        <v>2863</v>
      </c>
    </row>
    <row r="51" ht="56.25" customHeight="1">
      <c r="A51" s="23" t="s">
        <v>4167</v>
      </c>
      <c r="B51" s="23" t="str">
        <f>image("https://storage.googleapis.com/acdb/bags/BagBackpackSmall1.png")</f>
        <v/>
      </c>
      <c r="C51" s="32"/>
      <c r="D51" s="71" t="s">
        <v>28</v>
      </c>
      <c r="E51" s="32">
        <v>1600.0</v>
      </c>
      <c r="F51" s="32">
        <v>400.0</v>
      </c>
      <c r="G51" s="15">
        <v>7504.0</v>
      </c>
      <c r="H51" s="15" t="s">
        <v>38</v>
      </c>
      <c r="I51" s="15" t="s">
        <v>43</v>
      </c>
      <c r="J51" s="15" t="s">
        <v>4018</v>
      </c>
      <c r="K51" s="15"/>
      <c r="L51" s="15" t="s">
        <v>2863</v>
      </c>
    </row>
    <row r="52" ht="56.25" customHeight="1">
      <c r="A52" s="23" t="s">
        <v>4169</v>
      </c>
      <c r="B52" s="23" t="str">
        <f>image("https://storage.googleapis.com/acdb/bags/BagBackpackQuilt0.png")</f>
        <v/>
      </c>
      <c r="C52" s="32"/>
      <c r="D52" s="71" t="s">
        <v>28</v>
      </c>
      <c r="E52" s="71" t="s">
        <v>51</v>
      </c>
      <c r="F52" s="32">
        <v>175.0</v>
      </c>
      <c r="G52" s="15">
        <v>7510.0</v>
      </c>
      <c r="H52" s="15" t="s">
        <v>38</v>
      </c>
      <c r="I52" s="15" t="s">
        <v>54</v>
      </c>
      <c r="J52" s="15" t="s">
        <v>859</v>
      </c>
      <c r="K52" s="15"/>
      <c r="L52" s="15" t="s">
        <v>384</v>
      </c>
    </row>
    <row r="53" ht="56.25" customHeight="1">
      <c r="A53" s="23" t="s">
        <v>4169</v>
      </c>
      <c r="B53" s="23" t="str">
        <f>image("https://storage.googleapis.com/acdb/bags/BagBackpackQuilt1.png")</f>
        <v/>
      </c>
      <c r="C53" s="32"/>
      <c r="D53" s="71" t="s">
        <v>28</v>
      </c>
      <c r="E53" s="71" t="s">
        <v>51</v>
      </c>
      <c r="F53" s="32">
        <v>175.0</v>
      </c>
      <c r="G53" s="15">
        <v>7510.0</v>
      </c>
      <c r="H53" s="15" t="s">
        <v>38</v>
      </c>
      <c r="I53" s="15" t="s">
        <v>54</v>
      </c>
      <c r="J53" s="15" t="s">
        <v>859</v>
      </c>
      <c r="K53" s="15"/>
      <c r="L53" s="15" t="s">
        <v>384</v>
      </c>
    </row>
    <row r="54" ht="56.25" customHeight="1">
      <c r="A54" s="23" t="s">
        <v>4169</v>
      </c>
      <c r="B54" s="23" t="str">
        <f>image("https://storage.googleapis.com/acdb/bags/BagBackpackQuilt2.png")</f>
        <v/>
      </c>
      <c r="C54" s="32"/>
      <c r="D54" s="71" t="s">
        <v>28</v>
      </c>
      <c r="E54" s="71" t="s">
        <v>51</v>
      </c>
      <c r="F54" s="32">
        <v>175.0</v>
      </c>
      <c r="G54" s="15">
        <v>7510.0</v>
      </c>
      <c r="H54" s="15" t="s">
        <v>38</v>
      </c>
      <c r="I54" s="15" t="s">
        <v>54</v>
      </c>
      <c r="J54" s="15" t="s">
        <v>859</v>
      </c>
      <c r="K54" s="15"/>
      <c r="L54" s="15" t="s">
        <v>384</v>
      </c>
    </row>
    <row r="55" ht="56.25" customHeight="1">
      <c r="A55" s="23" t="s">
        <v>4169</v>
      </c>
      <c r="B55" s="23" t="str">
        <f>image("https://storage.googleapis.com/acdb/bags/BagBackpackQuilt3.png")</f>
        <v/>
      </c>
      <c r="C55" s="32"/>
      <c r="D55" s="71" t="s">
        <v>28</v>
      </c>
      <c r="E55" s="71" t="s">
        <v>51</v>
      </c>
      <c r="F55" s="32">
        <v>175.0</v>
      </c>
      <c r="G55" s="15">
        <v>7510.0</v>
      </c>
      <c r="H55" s="15" t="s">
        <v>38</v>
      </c>
      <c r="I55" s="15" t="s">
        <v>54</v>
      </c>
      <c r="J55" s="15" t="s">
        <v>859</v>
      </c>
      <c r="K55" s="15"/>
      <c r="L55" s="15" t="s">
        <v>384</v>
      </c>
    </row>
    <row r="56" ht="56.25" customHeight="1">
      <c r="A56" s="23" t="s">
        <v>4169</v>
      </c>
      <c r="B56" s="23" t="str">
        <f>image("https://storage.googleapis.com/acdb/bags/BagBackpackQuilt4.png")</f>
        <v/>
      </c>
      <c r="C56" s="32"/>
      <c r="D56" s="71" t="s">
        <v>28</v>
      </c>
      <c r="E56" s="71" t="s">
        <v>51</v>
      </c>
      <c r="F56" s="32">
        <v>175.0</v>
      </c>
      <c r="G56" s="15">
        <v>7510.0</v>
      </c>
      <c r="H56" s="15" t="s">
        <v>38</v>
      </c>
      <c r="I56" s="15" t="s">
        <v>54</v>
      </c>
      <c r="J56" s="15" t="s">
        <v>859</v>
      </c>
      <c r="K56" s="15"/>
      <c r="L56" s="15" t="s">
        <v>384</v>
      </c>
    </row>
    <row r="57" ht="56.25" customHeight="1">
      <c r="A57" s="23" t="s">
        <v>4169</v>
      </c>
      <c r="B57" s="23" t="str">
        <f>image("https://storage.googleapis.com/acdb/bags/BagBackpackQuilt5.png")</f>
        <v/>
      </c>
      <c r="C57" s="32"/>
      <c r="D57" s="71" t="s">
        <v>28</v>
      </c>
      <c r="E57" s="71" t="s">
        <v>51</v>
      </c>
      <c r="F57" s="32">
        <v>175.0</v>
      </c>
      <c r="G57" s="15">
        <v>7510.0</v>
      </c>
      <c r="H57" s="15" t="s">
        <v>38</v>
      </c>
      <c r="I57" s="15" t="s">
        <v>54</v>
      </c>
      <c r="J57" s="15" t="s">
        <v>859</v>
      </c>
      <c r="K57" s="15"/>
      <c r="L57" s="15" t="s">
        <v>384</v>
      </c>
    </row>
    <row r="58" ht="56.25" customHeight="1">
      <c r="A58" s="23" t="s">
        <v>4169</v>
      </c>
      <c r="B58" s="23" t="str">
        <f>image("https://storage.googleapis.com/acdb/bags/BagBackpackQuilt6.png")</f>
        <v/>
      </c>
      <c r="C58" s="32"/>
      <c r="D58" s="71" t="s">
        <v>28</v>
      </c>
      <c r="E58" s="71" t="s">
        <v>51</v>
      </c>
      <c r="F58" s="32">
        <v>175.0</v>
      </c>
      <c r="G58" s="15">
        <v>7510.0</v>
      </c>
      <c r="H58" s="15" t="s">
        <v>38</v>
      </c>
      <c r="I58" s="15" t="s">
        <v>54</v>
      </c>
      <c r="J58" s="15" t="s">
        <v>859</v>
      </c>
      <c r="K58" s="15"/>
      <c r="L58" s="15" t="s">
        <v>384</v>
      </c>
    </row>
    <row r="59" ht="56.25" customHeight="1">
      <c r="A59" s="23" t="s">
        <v>4169</v>
      </c>
      <c r="B59" s="23" t="str">
        <f>image("https://storage.googleapis.com/acdb/bags/BagBackpackQuilt7.png")</f>
        <v/>
      </c>
      <c r="C59" s="32"/>
      <c r="D59" s="71" t="s">
        <v>28</v>
      </c>
      <c r="E59" s="71" t="s">
        <v>51</v>
      </c>
      <c r="F59" s="32">
        <v>175.0</v>
      </c>
      <c r="G59" s="15">
        <v>7510.0</v>
      </c>
      <c r="H59" s="15" t="s">
        <v>38</v>
      </c>
      <c r="I59" s="15" t="s">
        <v>54</v>
      </c>
      <c r="J59" s="15" t="s">
        <v>859</v>
      </c>
      <c r="K59" s="15"/>
      <c r="L59" s="15" t="s">
        <v>384</v>
      </c>
    </row>
    <row r="60" ht="56.25" customHeight="1">
      <c r="A60" s="23" t="s">
        <v>4172</v>
      </c>
      <c r="B60" s="23" t="str">
        <f>image("https://storage.googleapis.com/acdb/bags/BagBackpackNook0.png")</f>
        <v/>
      </c>
      <c r="C60" s="32"/>
      <c r="D60" s="32" t="s">
        <v>28</v>
      </c>
      <c r="E60" s="71" t="s">
        <v>51</v>
      </c>
      <c r="F60" s="32">
        <v>4000.0</v>
      </c>
      <c r="G60" s="15">
        <v>9761.0</v>
      </c>
      <c r="H60" s="15" t="s">
        <v>38</v>
      </c>
      <c r="I60" s="15" t="s">
        <v>54</v>
      </c>
      <c r="J60" s="15" t="s">
        <v>516</v>
      </c>
      <c r="K60" s="15"/>
      <c r="L60" s="15" t="s">
        <v>852</v>
      </c>
    </row>
    <row r="61" ht="56.25" customHeight="1">
      <c r="A61" s="23" t="s">
        <v>4174</v>
      </c>
      <c r="B61" s="23" t="str">
        <f>image("https://storage.googleapis.com/acdb/bags/BagBackpackOutdoor0.png")</f>
        <v/>
      </c>
      <c r="C61" s="32"/>
      <c r="D61" s="71" t="s">
        <v>28</v>
      </c>
      <c r="E61" s="32">
        <v>1560.0</v>
      </c>
      <c r="F61" s="32">
        <v>390.0</v>
      </c>
      <c r="G61" s="15">
        <v>7501.0</v>
      </c>
      <c r="H61" s="15" t="s">
        <v>38</v>
      </c>
      <c r="I61" s="15" t="s">
        <v>43</v>
      </c>
      <c r="J61" s="15" t="s">
        <v>4018</v>
      </c>
      <c r="K61" s="15"/>
      <c r="L61" s="15" t="s">
        <v>2793</v>
      </c>
    </row>
    <row r="62" ht="56.25" customHeight="1">
      <c r="A62" s="23" t="s">
        <v>4174</v>
      </c>
      <c r="B62" s="23" t="str">
        <f>image("https://storage.googleapis.com/acdb/bags/BagBackpackOutdoor1.png")</f>
        <v/>
      </c>
      <c r="C62" s="32"/>
      <c r="D62" s="71" t="s">
        <v>28</v>
      </c>
      <c r="E62" s="32">
        <v>1560.0</v>
      </c>
      <c r="F62" s="32">
        <v>390.0</v>
      </c>
      <c r="G62" s="15">
        <v>7501.0</v>
      </c>
      <c r="H62" s="15" t="s">
        <v>38</v>
      </c>
      <c r="I62" s="15" t="s">
        <v>43</v>
      </c>
      <c r="J62" s="15" t="s">
        <v>4018</v>
      </c>
      <c r="K62" s="15"/>
      <c r="L62" s="15" t="s">
        <v>2793</v>
      </c>
    </row>
    <row r="63" ht="56.25" customHeight="1">
      <c r="A63" s="23" t="s">
        <v>4174</v>
      </c>
      <c r="B63" s="23" t="str">
        <f>image("https://storage.googleapis.com/acdb/bags/BagBackpackOutdoor2.png")</f>
        <v/>
      </c>
      <c r="C63" s="32"/>
      <c r="D63" s="71" t="s">
        <v>28</v>
      </c>
      <c r="E63" s="32">
        <v>1560.0</v>
      </c>
      <c r="F63" s="32">
        <v>390.0</v>
      </c>
      <c r="G63" s="15">
        <v>7501.0</v>
      </c>
      <c r="H63" s="15" t="s">
        <v>38</v>
      </c>
      <c r="I63" s="15" t="s">
        <v>43</v>
      </c>
      <c r="J63" s="15" t="s">
        <v>4018</v>
      </c>
      <c r="K63" s="15"/>
      <c r="L63" s="15" t="s">
        <v>2793</v>
      </c>
    </row>
    <row r="64" ht="56.25" customHeight="1">
      <c r="A64" s="23" t="s">
        <v>4175</v>
      </c>
      <c r="B64" s="23" t="str">
        <f>image("https://storage.googleapis.com/acdb/bags/BagBackpackBodybag0.png")</f>
        <v/>
      </c>
      <c r="C64" s="32"/>
      <c r="D64" s="71" t="s">
        <v>28</v>
      </c>
      <c r="E64" s="32">
        <v>1120.0</v>
      </c>
      <c r="F64" s="32">
        <v>280.0</v>
      </c>
      <c r="G64" s="15">
        <v>7484.0</v>
      </c>
      <c r="H64" s="15" t="s">
        <v>38</v>
      </c>
      <c r="I64" s="15" t="s">
        <v>43</v>
      </c>
      <c r="J64" s="15" t="s">
        <v>4018</v>
      </c>
      <c r="K64" s="15"/>
      <c r="L64" s="15" t="s">
        <v>2756</v>
      </c>
    </row>
    <row r="65" ht="56.25" customHeight="1">
      <c r="A65" s="23" t="s">
        <v>4175</v>
      </c>
      <c r="B65" s="23" t="str">
        <f>image("https://storage.googleapis.com/acdb/bags/BagBackpackBodybag1.png")</f>
        <v/>
      </c>
      <c r="C65" s="32"/>
      <c r="D65" s="71" t="s">
        <v>28</v>
      </c>
      <c r="E65" s="32">
        <v>1120.0</v>
      </c>
      <c r="F65" s="32">
        <v>280.0</v>
      </c>
      <c r="G65" s="15">
        <v>7484.0</v>
      </c>
      <c r="H65" s="15" t="s">
        <v>38</v>
      </c>
      <c r="I65" s="15" t="s">
        <v>43</v>
      </c>
      <c r="J65" s="15" t="s">
        <v>4018</v>
      </c>
      <c r="K65" s="15"/>
      <c r="L65" s="15" t="s">
        <v>2756</v>
      </c>
    </row>
    <row r="66" ht="56.25" customHeight="1">
      <c r="A66" s="23" t="s">
        <v>4177</v>
      </c>
      <c r="B66" s="23" t="str">
        <f>image("https://storage.googleapis.com/acdb/bags/BagShoulderFringe0.png")</f>
        <v/>
      </c>
      <c r="C66" s="32"/>
      <c r="D66" s="71" t="s">
        <v>28</v>
      </c>
      <c r="E66" s="32">
        <v>2400.0</v>
      </c>
      <c r="F66" s="32">
        <v>600.0</v>
      </c>
      <c r="G66" s="15">
        <v>7481.0</v>
      </c>
      <c r="H66" s="15" t="s">
        <v>38</v>
      </c>
      <c r="I66" s="15" t="s">
        <v>43</v>
      </c>
      <c r="J66" s="15" t="s">
        <v>4018</v>
      </c>
      <c r="K66" s="15"/>
      <c r="L66" s="15" t="s">
        <v>2863</v>
      </c>
    </row>
    <row r="67" ht="56.25" customHeight="1">
      <c r="A67" s="23" t="s">
        <v>4177</v>
      </c>
      <c r="B67" s="23" t="str">
        <f>image("https://storage.googleapis.com/acdb/bags/BagShoulderFringe1.png")</f>
        <v/>
      </c>
      <c r="C67" s="32"/>
      <c r="D67" s="71" t="s">
        <v>28</v>
      </c>
      <c r="E67" s="32">
        <v>2400.0</v>
      </c>
      <c r="F67" s="32">
        <v>600.0</v>
      </c>
      <c r="G67" s="15">
        <v>7481.0</v>
      </c>
      <c r="H67" s="15" t="s">
        <v>38</v>
      </c>
      <c r="I67" s="15" t="s">
        <v>43</v>
      </c>
      <c r="J67" s="15" t="s">
        <v>4018</v>
      </c>
      <c r="K67" s="15"/>
      <c r="L67" s="15" t="s">
        <v>2863</v>
      </c>
    </row>
    <row r="68" ht="56.25" customHeight="1">
      <c r="A68" s="23" t="s">
        <v>4179</v>
      </c>
      <c r="B68" s="23" t="str">
        <f>image("https://storage.googleapis.com/acdb/bags/BagShoulderLeather0.png")</f>
        <v/>
      </c>
      <c r="C68" s="32"/>
      <c r="D68" s="71" t="s">
        <v>28</v>
      </c>
      <c r="E68" s="32">
        <v>2400.0</v>
      </c>
      <c r="F68" s="32">
        <v>600.0</v>
      </c>
      <c r="G68" s="15">
        <v>7476.0</v>
      </c>
      <c r="H68" s="15" t="s">
        <v>38</v>
      </c>
      <c r="I68" s="15" t="s">
        <v>43</v>
      </c>
      <c r="J68" s="15" t="s">
        <v>4018</v>
      </c>
      <c r="K68" s="15"/>
      <c r="L68" s="15" t="s">
        <v>2863</v>
      </c>
    </row>
    <row r="69" ht="56.25" customHeight="1">
      <c r="A69" s="23" t="s">
        <v>4179</v>
      </c>
      <c r="B69" s="23" t="str">
        <f>image("https://storage.googleapis.com/acdb/bags/BagShoulderLeather1.png")</f>
        <v/>
      </c>
      <c r="C69" s="32"/>
      <c r="D69" s="71" t="s">
        <v>28</v>
      </c>
      <c r="E69" s="32">
        <v>2400.0</v>
      </c>
      <c r="F69" s="32">
        <v>600.0</v>
      </c>
      <c r="G69" s="15">
        <v>7476.0</v>
      </c>
      <c r="H69" s="15" t="s">
        <v>38</v>
      </c>
      <c r="I69" s="15" t="s">
        <v>43</v>
      </c>
      <c r="J69" s="15" t="s">
        <v>4018</v>
      </c>
      <c r="K69" s="15"/>
      <c r="L69" s="15" t="s">
        <v>2863</v>
      </c>
    </row>
    <row r="70" ht="56.25" customHeight="1">
      <c r="A70" s="23" t="s">
        <v>4180</v>
      </c>
      <c r="B70" s="23" t="str">
        <f>image("https://storage.googleapis.com/acdb/bags/BagShoulderSports0.png")</f>
        <v/>
      </c>
      <c r="C70" s="32"/>
      <c r="D70" s="71" t="s">
        <v>28</v>
      </c>
      <c r="E70" s="32">
        <v>1400.0</v>
      </c>
      <c r="F70" s="32">
        <v>350.0</v>
      </c>
      <c r="G70" s="15">
        <v>7302.0</v>
      </c>
      <c r="H70" s="15" t="s">
        <v>38</v>
      </c>
      <c r="I70" s="15" t="s">
        <v>43</v>
      </c>
      <c r="J70" s="15" t="s">
        <v>4018</v>
      </c>
      <c r="K70" s="15"/>
      <c r="L70" s="15" t="s">
        <v>2793</v>
      </c>
    </row>
    <row r="71" ht="56.25" customHeight="1">
      <c r="A71" s="23" t="s">
        <v>4180</v>
      </c>
      <c r="B71" s="23" t="str">
        <f>image("https://storage.googleapis.com/acdb/bags/BagShoulderSports1.png")</f>
        <v/>
      </c>
      <c r="C71" s="32"/>
      <c r="D71" s="71" t="s">
        <v>28</v>
      </c>
      <c r="E71" s="32">
        <v>1400.0</v>
      </c>
      <c r="F71" s="32">
        <v>350.0</v>
      </c>
      <c r="G71" s="15">
        <v>7302.0</v>
      </c>
      <c r="H71" s="15" t="s">
        <v>38</v>
      </c>
      <c r="I71" s="15" t="s">
        <v>43</v>
      </c>
      <c r="J71" s="15" t="s">
        <v>4018</v>
      </c>
      <c r="K71" s="15"/>
      <c r="L71" s="15" t="s">
        <v>2793</v>
      </c>
    </row>
    <row r="72" ht="56.25" customHeight="1">
      <c r="A72" s="23" t="s">
        <v>4180</v>
      </c>
      <c r="B72" s="23" t="str">
        <f>image("https://storage.googleapis.com/acdb/bags/BagShoulderSports2.png")</f>
        <v/>
      </c>
      <c r="C72" s="32"/>
      <c r="D72" s="71" t="s">
        <v>28</v>
      </c>
      <c r="E72" s="32">
        <v>1400.0</v>
      </c>
      <c r="F72" s="32">
        <v>350.0</v>
      </c>
      <c r="G72" s="15">
        <v>7302.0</v>
      </c>
      <c r="H72" s="15" t="s">
        <v>38</v>
      </c>
      <c r="I72" s="15" t="s">
        <v>43</v>
      </c>
      <c r="J72" s="15" t="s">
        <v>4018</v>
      </c>
      <c r="K72" s="15"/>
      <c r="L72" s="15" t="s">
        <v>2793</v>
      </c>
    </row>
    <row r="73" ht="56.25" customHeight="1">
      <c r="A73" s="23" t="s">
        <v>4185</v>
      </c>
      <c r="B73" s="23" t="str">
        <f>image("https://storage.googleapis.com/acdb/bags/BagShoulderSacosh0.png")</f>
        <v/>
      </c>
      <c r="C73" s="32"/>
      <c r="D73" s="71" t="s">
        <v>28</v>
      </c>
      <c r="E73" s="32">
        <v>980.0</v>
      </c>
      <c r="F73" s="32">
        <v>245.0</v>
      </c>
      <c r="G73" s="15">
        <v>7304.0</v>
      </c>
      <c r="H73" s="15" t="s">
        <v>38</v>
      </c>
      <c r="I73" s="15" t="s">
        <v>43</v>
      </c>
      <c r="J73" s="15" t="s">
        <v>4018</v>
      </c>
      <c r="K73" s="15"/>
      <c r="L73" s="15" t="s">
        <v>2793</v>
      </c>
    </row>
    <row r="74" ht="56.25" customHeight="1">
      <c r="A74" s="23" t="s">
        <v>4185</v>
      </c>
      <c r="B74" s="23" t="str">
        <f>image("https://storage.googleapis.com/acdb/bags/BagShoulderSacosh1.png")</f>
        <v/>
      </c>
      <c r="C74" s="32"/>
      <c r="D74" s="71" t="s">
        <v>28</v>
      </c>
      <c r="E74" s="32">
        <v>980.0</v>
      </c>
      <c r="F74" s="32">
        <v>245.0</v>
      </c>
      <c r="G74" s="15">
        <v>7304.0</v>
      </c>
      <c r="H74" s="15" t="s">
        <v>38</v>
      </c>
      <c r="I74" s="15" t="s">
        <v>43</v>
      </c>
      <c r="J74" s="15" t="s">
        <v>4018</v>
      </c>
      <c r="K74" s="15"/>
      <c r="L74" s="15" t="s">
        <v>2793</v>
      </c>
    </row>
    <row r="75" ht="56.25" customHeight="1">
      <c r="A75" s="23" t="s">
        <v>4185</v>
      </c>
      <c r="B75" s="23" t="str">
        <f>image("https://storage.googleapis.com/acdb/bags/BagShoulderSacosh2.png")</f>
        <v/>
      </c>
      <c r="C75" s="32"/>
      <c r="D75" s="71" t="s">
        <v>28</v>
      </c>
      <c r="E75" s="32">
        <v>980.0</v>
      </c>
      <c r="F75" s="32">
        <v>245.0</v>
      </c>
      <c r="G75" s="15">
        <v>7304.0</v>
      </c>
      <c r="H75" s="15" t="s">
        <v>38</v>
      </c>
      <c r="I75" s="15" t="s">
        <v>43</v>
      </c>
      <c r="J75" s="15" t="s">
        <v>4018</v>
      </c>
      <c r="K75" s="15"/>
      <c r="L75" s="15" t="s">
        <v>2793</v>
      </c>
    </row>
    <row r="76" ht="56.25" customHeight="1">
      <c r="A76" s="23" t="s">
        <v>4186</v>
      </c>
      <c r="B76" s="23" t="str">
        <f>image("https://storage.googleapis.com/acdb/bags/BagShoulderShell0.png")</f>
        <v/>
      </c>
      <c r="C76" s="32"/>
      <c r="D76" s="71" t="s">
        <v>50</v>
      </c>
      <c r="E76" s="71" t="s">
        <v>51</v>
      </c>
      <c r="F76" s="32">
        <v>10800.0</v>
      </c>
      <c r="G76" s="15">
        <v>7494.0</v>
      </c>
      <c r="H76" s="15" t="s">
        <v>38</v>
      </c>
      <c r="I76" s="15" t="s">
        <v>54</v>
      </c>
      <c r="J76" s="15" t="s">
        <v>55</v>
      </c>
      <c r="K76" s="15" t="s">
        <v>1969</v>
      </c>
      <c r="L76" s="15" t="s">
        <v>384</v>
      </c>
    </row>
    <row r="77" ht="56.25" customHeight="1">
      <c r="A77" s="23" t="s">
        <v>4188</v>
      </c>
      <c r="B77" s="23" t="str">
        <f>image("https://storage.googleapis.com/acdb/bags/BagShoulderSnow0.png")</f>
        <v/>
      </c>
      <c r="C77" s="32"/>
      <c r="D77" s="71" t="s">
        <v>50</v>
      </c>
      <c r="E77" s="71" t="s">
        <v>51</v>
      </c>
      <c r="F77" s="32">
        <v>2400.0</v>
      </c>
      <c r="G77" s="15">
        <v>7493.0</v>
      </c>
      <c r="H77" s="15" t="s">
        <v>38</v>
      </c>
      <c r="I77" s="15" t="s">
        <v>54</v>
      </c>
      <c r="J77" s="15" t="s">
        <v>55</v>
      </c>
      <c r="K77" s="15" t="s">
        <v>1057</v>
      </c>
      <c r="L77" s="15" t="s">
        <v>2863</v>
      </c>
    </row>
    <row r="78" ht="56.25" customHeight="1">
      <c r="A78" s="23" t="s">
        <v>4189</v>
      </c>
      <c r="B78" s="23" t="str">
        <f>image("https://storage.googleapis.com/acdb/bags/BagBackpackSquare0.png")</f>
        <v/>
      </c>
      <c r="C78" s="32"/>
      <c r="D78" s="71" t="s">
        <v>28</v>
      </c>
      <c r="E78" s="32">
        <v>1300.0</v>
      </c>
      <c r="F78" s="32">
        <v>325.0</v>
      </c>
      <c r="G78" s="15">
        <v>7500.0</v>
      </c>
      <c r="H78" s="15" t="s">
        <v>38</v>
      </c>
      <c r="I78" s="15" t="s">
        <v>43</v>
      </c>
      <c r="J78" s="15" t="s">
        <v>4018</v>
      </c>
      <c r="K78" s="15"/>
      <c r="L78" s="15" t="s">
        <v>2793</v>
      </c>
    </row>
    <row r="79" ht="56.25" customHeight="1">
      <c r="A79" s="23" t="s">
        <v>4189</v>
      </c>
      <c r="B79" s="23" t="str">
        <f>image("https://storage.googleapis.com/acdb/bags/BagBackpackSquare1.png")</f>
        <v/>
      </c>
      <c r="C79" s="32"/>
      <c r="D79" s="71" t="s">
        <v>28</v>
      </c>
      <c r="E79" s="32">
        <v>1300.0</v>
      </c>
      <c r="F79" s="32">
        <v>325.0</v>
      </c>
      <c r="G79" s="15">
        <v>7500.0</v>
      </c>
      <c r="H79" s="15" t="s">
        <v>38</v>
      </c>
      <c r="I79" s="15" t="s">
        <v>43</v>
      </c>
      <c r="J79" s="15" t="s">
        <v>4018</v>
      </c>
      <c r="K79" s="15"/>
      <c r="L79" s="15" t="s">
        <v>2793</v>
      </c>
    </row>
    <row r="80" ht="56.25" customHeight="1">
      <c r="A80" s="23" t="s">
        <v>4189</v>
      </c>
      <c r="B80" s="23" t="str">
        <f>image("https://storage.googleapis.com/acdb/bags/BagBackpackSquare2.png")</f>
        <v/>
      </c>
      <c r="C80" s="32"/>
      <c r="D80" s="71" t="s">
        <v>28</v>
      </c>
      <c r="E80" s="32">
        <v>1300.0</v>
      </c>
      <c r="F80" s="32">
        <v>325.0</v>
      </c>
      <c r="G80" s="15">
        <v>7500.0</v>
      </c>
      <c r="H80" s="15" t="s">
        <v>38</v>
      </c>
      <c r="I80" s="15" t="s">
        <v>43</v>
      </c>
      <c r="J80" s="15" t="s">
        <v>4018</v>
      </c>
      <c r="K80" s="15"/>
      <c r="L80" s="15" t="s">
        <v>2793</v>
      </c>
    </row>
    <row r="81" ht="56.25" customHeight="1">
      <c r="A81" s="23" t="s">
        <v>4193</v>
      </c>
      <c r="B81" s="23" t="str">
        <f>image("https://storage.googleapis.com/acdb/bags/BagShoulderStar0.png")</f>
        <v/>
      </c>
      <c r="C81" s="32"/>
      <c r="D81" s="71" t="s">
        <v>50</v>
      </c>
      <c r="E81" s="71" t="s">
        <v>51</v>
      </c>
      <c r="F81" s="32">
        <v>3000.0</v>
      </c>
      <c r="G81" s="15">
        <v>7489.0</v>
      </c>
      <c r="H81" s="15" t="s">
        <v>38</v>
      </c>
      <c r="I81" s="15" t="s">
        <v>54</v>
      </c>
      <c r="J81" s="15" t="s">
        <v>55</v>
      </c>
      <c r="K81" s="15"/>
      <c r="L81" s="15" t="s">
        <v>384</v>
      </c>
    </row>
    <row r="82" ht="56.25" customHeight="1">
      <c r="A82" s="23" t="s">
        <v>4195</v>
      </c>
      <c r="B82" s="23" t="str">
        <f>image("https://storage.googleapis.com/acdb/bags/BagShoulderRattan0.png")</f>
        <v/>
      </c>
      <c r="C82" s="32"/>
      <c r="D82" s="71" t="s">
        <v>28</v>
      </c>
      <c r="E82" s="32">
        <v>980.0</v>
      </c>
      <c r="F82" s="32">
        <v>245.0</v>
      </c>
      <c r="G82" s="15">
        <v>7488.0</v>
      </c>
      <c r="H82" s="15" t="s">
        <v>38</v>
      </c>
      <c r="I82" s="15" t="s">
        <v>43</v>
      </c>
      <c r="J82" s="15" t="s">
        <v>4018</v>
      </c>
      <c r="K82" s="15"/>
      <c r="L82" s="15" t="s">
        <v>2744</v>
      </c>
    </row>
    <row r="83" ht="56.25" customHeight="1">
      <c r="A83" s="23" t="s">
        <v>4196</v>
      </c>
      <c r="B83" s="23" t="str">
        <f>image("https://storage.googleapis.com/acdb/bags/BagBackpackStuds0.png")</f>
        <v/>
      </c>
      <c r="C83" s="32"/>
      <c r="D83" s="71" t="s">
        <v>28</v>
      </c>
      <c r="E83" s="32">
        <v>1560.0</v>
      </c>
      <c r="F83" s="32">
        <v>390.0</v>
      </c>
      <c r="G83" s="15">
        <v>7503.0</v>
      </c>
      <c r="H83" s="15" t="s">
        <v>38</v>
      </c>
      <c r="I83" s="15" t="s">
        <v>43</v>
      </c>
      <c r="J83" s="15" t="s">
        <v>4018</v>
      </c>
      <c r="K83" s="15"/>
      <c r="L83" s="15" t="s">
        <v>2756</v>
      </c>
    </row>
    <row r="84" ht="56.25" customHeight="1">
      <c r="A84" s="23" t="s">
        <v>4196</v>
      </c>
      <c r="B84" s="23" t="str">
        <f>image("https://storage.googleapis.com/acdb/bags/BagBackpackStuds1.png")</f>
        <v/>
      </c>
      <c r="C84" s="32"/>
      <c r="D84" s="71" t="s">
        <v>28</v>
      </c>
      <c r="E84" s="32">
        <v>1560.0</v>
      </c>
      <c r="F84" s="32">
        <v>390.0</v>
      </c>
      <c r="G84" s="15">
        <v>7503.0</v>
      </c>
      <c r="H84" s="15" t="s">
        <v>38</v>
      </c>
      <c r="I84" s="15" t="s">
        <v>43</v>
      </c>
      <c r="J84" s="15" t="s">
        <v>4018</v>
      </c>
      <c r="K84" s="15"/>
      <c r="L84" s="15" t="s">
        <v>2756</v>
      </c>
    </row>
    <row r="85" ht="56.25" customHeight="1">
      <c r="A85" s="23" t="s">
        <v>4197</v>
      </c>
      <c r="B85" s="23" t="str">
        <f>image("https://storage.googleapis.com/acdb/bags/BagShoulderFishing0.png")</f>
        <v/>
      </c>
      <c r="C85" s="32"/>
      <c r="D85" s="71" t="s">
        <v>28</v>
      </c>
      <c r="E85" s="71" t="s">
        <v>51</v>
      </c>
      <c r="F85" s="32">
        <v>175.0</v>
      </c>
      <c r="G85" s="15">
        <v>7478.0</v>
      </c>
      <c r="H85" s="15" t="s">
        <v>38</v>
      </c>
      <c r="I85" s="15" t="s">
        <v>54</v>
      </c>
      <c r="J85" s="15" t="s">
        <v>85</v>
      </c>
      <c r="K85" s="15"/>
      <c r="L85" s="15" t="s">
        <v>2793</v>
      </c>
    </row>
    <row r="86" ht="56.25" customHeight="1">
      <c r="A86" s="23" t="s">
        <v>4198</v>
      </c>
      <c r="B86" s="23" t="str">
        <f>image("https://storage.googleapis.com/acdb/bags/BagShoulderTool0.png")</f>
        <v/>
      </c>
      <c r="C86" s="32"/>
      <c r="D86" s="71" t="s">
        <v>28</v>
      </c>
      <c r="E86" s="32">
        <v>910.0</v>
      </c>
      <c r="F86" s="71">
        <v>227.0</v>
      </c>
      <c r="G86" s="15">
        <v>7497.0</v>
      </c>
      <c r="H86" s="15" t="s">
        <v>38</v>
      </c>
      <c r="I86" s="15" t="s">
        <v>43</v>
      </c>
      <c r="J86" s="15" t="s">
        <v>4018</v>
      </c>
      <c r="K86" s="15"/>
      <c r="L86" s="15" t="s">
        <v>2793</v>
      </c>
    </row>
    <row r="87" ht="56.25" customHeight="1">
      <c r="A87" s="23" t="s">
        <v>4199</v>
      </c>
      <c r="B87" s="23" t="str">
        <f>image("https://storage.googleapis.com/acdb/bags/BagBackpackTown0.png")</f>
        <v/>
      </c>
      <c r="C87" s="32"/>
      <c r="D87" s="71" t="s">
        <v>28</v>
      </c>
      <c r="E87" s="32">
        <v>1040.0</v>
      </c>
      <c r="F87" s="32">
        <v>260.0</v>
      </c>
      <c r="G87" s="15">
        <v>6838.0</v>
      </c>
      <c r="H87" s="15" t="s">
        <v>38</v>
      </c>
      <c r="I87" s="15" t="s">
        <v>43</v>
      </c>
      <c r="J87" s="15" t="s">
        <v>4018</v>
      </c>
      <c r="K87" s="15"/>
      <c r="L87" s="15" t="s">
        <v>2793</v>
      </c>
    </row>
    <row r="88" ht="56.25" customHeight="1">
      <c r="A88" s="23" t="s">
        <v>4199</v>
      </c>
      <c r="B88" s="23" t="str">
        <f>image("https://storage.googleapis.com/acdb/bags/BagBackpackTown1.png")</f>
        <v/>
      </c>
      <c r="C88" s="32"/>
      <c r="D88" s="71" t="s">
        <v>28</v>
      </c>
      <c r="E88" s="32">
        <v>1040.0</v>
      </c>
      <c r="F88" s="32">
        <v>260.0</v>
      </c>
      <c r="G88" s="15">
        <v>6838.0</v>
      </c>
      <c r="H88" s="15" t="s">
        <v>38</v>
      </c>
      <c r="I88" s="15" t="s">
        <v>43</v>
      </c>
      <c r="J88" s="15" t="s">
        <v>4018</v>
      </c>
      <c r="K88" s="15"/>
      <c r="L88" s="15" t="s">
        <v>2793</v>
      </c>
    </row>
    <row r="89" ht="56.25" customHeight="1">
      <c r="A89" s="23" t="s">
        <v>4199</v>
      </c>
      <c r="B89" s="23" t="str">
        <f>image("https://storage.googleapis.com/acdb/bags/BagBackpackTown2.png")</f>
        <v/>
      </c>
      <c r="C89" s="32"/>
      <c r="D89" s="71" t="s">
        <v>28</v>
      </c>
      <c r="E89" s="32">
        <v>1040.0</v>
      </c>
      <c r="F89" s="32">
        <v>260.0</v>
      </c>
      <c r="G89" s="15">
        <v>6838.0</v>
      </c>
      <c r="H89" s="15" t="s">
        <v>38</v>
      </c>
      <c r="I89" s="15" t="s">
        <v>43</v>
      </c>
      <c r="J89" s="15" t="s">
        <v>4018</v>
      </c>
      <c r="K89" s="15"/>
      <c r="L89" s="15" t="s">
        <v>2793</v>
      </c>
    </row>
    <row r="90" ht="56.25" customHeight="1">
      <c r="A90" s="23" t="s">
        <v>4199</v>
      </c>
      <c r="B90" s="23" t="str">
        <f>image("https://storage.googleapis.com/acdb/bags/BagBackpackTown3.png")</f>
        <v/>
      </c>
      <c r="C90" s="32"/>
      <c r="D90" s="71" t="s">
        <v>28</v>
      </c>
      <c r="E90" s="32">
        <v>1040.0</v>
      </c>
      <c r="F90" s="32">
        <v>260.0</v>
      </c>
      <c r="G90" s="15">
        <v>6838.0</v>
      </c>
      <c r="H90" s="15" t="s">
        <v>38</v>
      </c>
      <c r="I90" s="15" t="s">
        <v>43</v>
      </c>
      <c r="J90" s="15" t="s">
        <v>4018</v>
      </c>
      <c r="K90" s="15"/>
      <c r="L90" s="15" t="s">
        <v>2793</v>
      </c>
    </row>
    <row r="91" ht="56.25" customHeight="1">
      <c r="A91" s="23" t="s">
        <v>4202</v>
      </c>
      <c r="B91" s="23" t="str">
        <f>image("https://storage.googleapis.com/acdb/bags/BagShoulderTravel0.png")</f>
        <v/>
      </c>
      <c r="C91" s="32"/>
      <c r="D91" s="71" t="s">
        <v>28</v>
      </c>
      <c r="E91" s="32">
        <v>840.0</v>
      </c>
      <c r="F91" s="32">
        <v>210.0</v>
      </c>
      <c r="G91" s="15">
        <v>2550.0</v>
      </c>
      <c r="H91" s="15" t="s">
        <v>38</v>
      </c>
      <c r="I91" s="15" t="s">
        <v>43</v>
      </c>
      <c r="J91" s="15" t="s">
        <v>4018</v>
      </c>
      <c r="K91" s="15"/>
      <c r="L91" s="15" t="s">
        <v>2793</v>
      </c>
    </row>
    <row r="92" ht="56.25" customHeight="1">
      <c r="A92" s="23" t="s">
        <v>4202</v>
      </c>
      <c r="B92" s="23" t="str">
        <f>image("https://storage.googleapis.com/acdb/bags/BagShoulderTravel1.png")</f>
        <v/>
      </c>
      <c r="C92" s="32"/>
      <c r="D92" s="71" t="s">
        <v>28</v>
      </c>
      <c r="E92" s="32">
        <v>840.0</v>
      </c>
      <c r="F92" s="32">
        <v>210.0</v>
      </c>
      <c r="G92" s="15">
        <v>2550.0</v>
      </c>
      <c r="H92" s="15" t="s">
        <v>38</v>
      </c>
      <c r="I92" s="15" t="s">
        <v>43</v>
      </c>
      <c r="J92" s="15" t="s">
        <v>4018</v>
      </c>
      <c r="K92" s="15"/>
      <c r="L92" s="15" t="s">
        <v>2793</v>
      </c>
    </row>
    <row r="93" ht="56.25" customHeight="1">
      <c r="A93" s="23" t="s">
        <v>4202</v>
      </c>
      <c r="B93" s="23" t="str">
        <f>image("https://storage.googleapis.com/acdb/bags/BagShoulderTravel2.png")</f>
        <v/>
      </c>
      <c r="C93" s="32"/>
      <c r="D93" s="71" t="s">
        <v>28</v>
      </c>
      <c r="E93" s="32">
        <v>840.0</v>
      </c>
      <c r="F93" s="32">
        <v>210.0</v>
      </c>
      <c r="G93" s="15">
        <v>2550.0</v>
      </c>
      <c r="H93" s="15" t="s">
        <v>38</v>
      </c>
      <c r="I93" s="15" t="s">
        <v>43</v>
      </c>
      <c r="J93" s="15" t="s">
        <v>4018</v>
      </c>
      <c r="K93" s="15"/>
      <c r="L93" s="15" t="s">
        <v>2793</v>
      </c>
    </row>
    <row r="94" ht="56.25" customHeight="1">
      <c r="A94" s="23" t="s">
        <v>4202</v>
      </c>
      <c r="B94" s="23" t="str">
        <f>image("https://storage.googleapis.com/acdb/bags/BagShoulderTravel3.png")</f>
        <v/>
      </c>
      <c r="C94" s="32"/>
      <c r="D94" s="71" t="s">
        <v>28</v>
      </c>
      <c r="E94" s="32">
        <v>840.0</v>
      </c>
      <c r="F94" s="32">
        <v>210.0</v>
      </c>
      <c r="G94" s="15">
        <v>2550.0</v>
      </c>
      <c r="H94" s="15" t="s">
        <v>38</v>
      </c>
      <c r="I94" s="15" t="s">
        <v>43</v>
      </c>
      <c r="J94" s="15" t="s">
        <v>4018</v>
      </c>
      <c r="K94" s="15"/>
      <c r="L94" s="15" t="s">
        <v>2793</v>
      </c>
    </row>
    <row r="95" ht="56.25" customHeight="1">
      <c r="A95" s="23" t="s">
        <v>4204</v>
      </c>
      <c r="B95" s="23" t="str">
        <f>image("https://storage.googleapis.com/acdb/bags/BagBackpackJourney0.png")</f>
        <v/>
      </c>
      <c r="C95" s="32"/>
      <c r="D95" s="71" t="s">
        <v>28</v>
      </c>
      <c r="E95" s="32">
        <v>2940.0</v>
      </c>
      <c r="F95" s="32">
        <v>735.0</v>
      </c>
      <c r="G95" s="15">
        <v>7499.0</v>
      </c>
      <c r="H95" s="15" t="s">
        <v>38</v>
      </c>
      <c r="I95" s="15" t="s">
        <v>43</v>
      </c>
      <c r="J95" s="15" t="s">
        <v>4018</v>
      </c>
      <c r="K95" s="15"/>
      <c r="L95" s="15" t="s">
        <v>2744</v>
      </c>
    </row>
    <row r="96" ht="56.25" customHeight="1">
      <c r="A96" s="23" t="s">
        <v>4204</v>
      </c>
      <c r="B96" s="23" t="str">
        <f>image("https://storage.googleapis.com/acdb/bags/BagBackpackJourney1.png")</f>
        <v/>
      </c>
      <c r="C96" s="32"/>
      <c r="D96" s="71" t="s">
        <v>28</v>
      </c>
      <c r="E96" s="32">
        <v>2940.0</v>
      </c>
      <c r="F96" s="32">
        <v>735.0</v>
      </c>
      <c r="G96" s="15">
        <v>7499.0</v>
      </c>
      <c r="H96" s="15" t="s">
        <v>38</v>
      </c>
      <c r="I96" s="15" t="s">
        <v>43</v>
      </c>
      <c r="J96" s="15" t="s">
        <v>4018</v>
      </c>
      <c r="K96" s="15"/>
      <c r="L96" s="15" t="s">
        <v>2744</v>
      </c>
    </row>
    <row r="97" ht="56.25" customHeight="1">
      <c r="A97" s="23" t="s">
        <v>4204</v>
      </c>
      <c r="B97" s="23" t="str">
        <f>image("https://storage.googleapis.com/acdb/bags/BagBackpackJourney2.png")</f>
        <v/>
      </c>
      <c r="C97" s="32"/>
      <c r="D97" s="71" t="s">
        <v>28</v>
      </c>
      <c r="E97" s="32">
        <v>2940.0</v>
      </c>
      <c r="F97" s="32">
        <v>735.0</v>
      </c>
      <c r="G97" s="15">
        <v>7499.0</v>
      </c>
      <c r="H97" s="15" t="s">
        <v>38</v>
      </c>
      <c r="I97" s="15" t="s">
        <v>43</v>
      </c>
      <c r="J97" s="15" t="s">
        <v>4018</v>
      </c>
      <c r="K97" s="15"/>
      <c r="L97" s="15" t="s">
        <v>2744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71"/>
    <col customWidth="1" min="2" max="2" width="10.86"/>
    <col customWidth="1" min="3" max="3" width="9.86"/>
    <col customWidth="1" min="4" max="4" width="4.14"/>
    <col customWidth="1" min="5" max="5" width="10.57"/>
    <col customWidth="1" min="6" max="6" width="7.14"/>
    <col customWidth="1" min="7" max="7" width="7.29"/>
    <col customWidth="1" min="8" max="8" width="8.86"/>
    <col customWidth="1" min="9" max="11" width="9.43"/>
    <col customWidth="1" min="12" max="12" width="9.0"/>
    <col customWidth="1" min="13" max="13" width="7.14"/>
    <col customWidth="1" min="14" max="14" width="5.86"/>
    <col customWidth="1" min="15" max="15" width="9.57"/>
    <col customWidth="1" min="16" max="16" width="8.0"/>
    <col customWidth="1" min="17" max="17" width="9.86"/>
    <col customWidth="1" min="18" max="18" width="12.57"/>
    <col customWidth="1" min="19" max="19" width="15.29"/>
    <col customWidth="1" min="20" max="20" width="29.86"/>
  </cols>
  <sheetData>
    <row r="1" ht="30.0" customHeight="1">
      <c r="A1" s="6" t="s">
        <v>0</v>
      </c>
      <c r="B1" s="3" t="s">
        <v>1</v>
      </c>
      <c r="C1" s="7" t="s">
        <v>3</v>
      </c>
      <c r="D1" s="8" t="s">
        <v>4</v>
      </c>
      <c r="E1" s="10" t="s">
        <v>5</v>
      </c>
      <c r="F1" s="12" t="s">
        <v>6</v>
      </c>
      <c r="G1" s="12" t="s">
        <v>7</v>
      </c>
      <c r="H1" s="7" t="s">
        <v>8</v>
      </c>
      <c r="I1" s="16" t="s">
        <v>24</v>
      </c>
      <c r="J1" s="16" t="s">
        <v>27</v>
      </c>
      <c r="K1" s="16" t="s">
        <v>11</v>
      </c>
      <c r="L1" s="16" t="s">
        <v>29</v>
      </c>
      <c r="M1" s="7" t="s">
        <v>12</v>
      </c>
      <c r="N1" s="7" t="s">
        <v>30</v>
      </c>
      <c r="O1" s="16" t="s">
        <v>31</v>
      </c>
      <c r="P1" s="7" t="s">
        <v>32</v>
      </c>
      <c r="Q1" s="16" t="s">
        <v>17</v>
      </c>
      <c r="R1" s="16" t="s">
        <v>18</v>
      </c>
      <c r="S1" s="16" t="s">
        <v>19</v>
      </c>
      <c r="T1" s="16" t="s">
        <v>34</v>
      </c>
    </row>
    <row r="2" ht="56.25" customHeight="1">
      <c r="A2" s="21" t="s">
        <v>35</v>
      </c>
      <c r="B2" s="15" t="str">
        <f>image("https://i.imgur.com/3FX566U.png")</f>
        <v/>
      </c>
      <c r="C2" s="22" t="str">
        <f>HYPERLINK("https://imgur.com/a/Dg1drSU","Yes")</f>
        <v>Yes</v>
      </c>
      <c r="D2" s="15" t="s">
        <v>50</v>
      </c>
      <c r="E2" s="19" t="s">
        <v>50</v>
      </c>
      <c r="F2" s="24" t="s">
        <v>51</v>
      </c>
      <c r="G2" s="13">
        <v>3210.0</v>
      </c>
      <c r="H2" s="19">
        <v>383.0</v>
      </c>
      <c r="I2" s="21" t="s">
        <v>52</v>
      </c>
      <c r="J2" s="21"/>
      <c r="K2" s="21"/>
      <c r="L2" s="21"/>
      <c r="M2" s="15" t="s">
        <v>38</v>
      </c>
      <c r="N2" s="19">
        <v>5.0</v>
      </c>
      <c r="O2" s="21" t="s">
        <v>39</v>
      </c>
      <c r="P2" s="15" t="s">
        <v>53</v>
      </c>
      <c r="Q2" s="13" t="s">
        <v>41</v>
      </c>
      <c r="R2" s="13" t="s">
        <v>54</v>
      </c>
      <c r="S2" s="13" t="s">
        <v>55</v>
      </c>
      <c r="T2" s="21"/>
    </row>
    <row r="3" ht="56.25" customHeight="1">
      <c r="A3" s="21" t="s">
        <v>56</v>
      </c>
      <c r="B3" s="15" t="str">
        <f>image("https://i.imgur.com/ECAW10c.png")</f>
        <v/>
      </c>
      <c r="C3" s="22" t="str">
        <f>HYPERLINK("https://imgur.com/a/JWkjwBg","Yes")</f>
        <v>Yes</v>
      </c>
      <c r="D3" s="15" t="s">
        <v>28</v>
      </c>
      <c r="E3" s="15" t="s">
        <v>28</v>
      </c>
      <c r="F3" s="13">
        <v>1100.0</v>
      </c>
      <c r="G3" s="13">
        <v>275.0</v>
      </c>
      <c r="H3" s="19">
        <v>3821.0</v>
      </c>
      <c r="I3" s="21" t="s">
        <v>60</v>
      </c>
      <c r="J3" s="21" t="s">
        <v>61</v>
      </c>
      <c r="K3" s="21"/>
      <c r="L3" s="21"/>
      <c r="M3" s="15" t="s">
        <v>38</v>
      </c>
      <c r="N3" s="19">
        <v>1.0</v>
      </c>
      <c r="O3" s="21" t="s">
        <v>39</v>
      </c>
      <c r="P3" s="15" t="s">
        <v>53</v>
      </c>
      <c r="Q3" s="13" t="s">
        <v>41</v>
      </c>
      <c r="R3" s="13" t="s">
        <v>43</v>
      </c>
      <c r="S3" s="13" t="s">
        <v>44</v>
      </c>
      <c r="T3" s="21" t="s">
        <v>63</v>
      </c>
    </row>
    <row r="4" ht="56.25" customHeight="1">
      <c r="A4" s="21" t="s">
        <v>64</v>
      </c>
      <c r="B4" s="15" t="str">
        <f>image("https://i.imgur.com/1Lut223.png")</f>
        <v/>
      </c>
      <c r="C4" s="22" t="str">
        <f>HYPERLINK("https://imgur.com/a/RaCWNWm","No")</f>
        <v>No</v>
      </c>
      <c r="D4" s="15" t="s">
        <v>28</v>
      </c>
      <c r="E4" s="19" t="s">
        <v>28</v>
      </c>
      <c r="F4" s="13">
        <v>3400.0</v>
      </c>
      <c r="G4" s="13">
        <v>850.0</v>
      </c>
      <c r="H4" s="19">
        <v>846.0</v>
      </c>
      <c r="I4" s="21" t="s">
        <v>52</v>
      </c>
      <c r="J4" s="21"/>
      <c r="K4" s="21"/>
      <c r="L4" s="21"/>
      <c r="M4" s="15" t="s">
        <v>38</v>
      </c>
      <c r="N4" s="19"/>
      <c r="O4" s="21" t="s">
        <v>39</v>
      </c>
      <c r="P4" s="15" t="s">
        <v>53</v>
      </c>
      <c r="Q4" s="13" t="s">
        <v>41</v>
      </c>
      <c r="R4" s="13" t="s">
        <v>43</v>
      </c>
      <c r="S4" s="13" t="s">
        <v>44</v>
      </c>
      <c r="T4" s="21" t="s">
        <v>68</v>
      </c>
    </row>
    <row r="5" ht="56.25" customHeight="1">
      <c r="A5" s="21" t="s">
        <v>69</v>
      </c>
      <c r="B5" s="15" t="str">
        <f>image("https://i.imgur.com/45ohEeX.png")</f>
        <v/>
      </c>
      <c r="C5" s="22" t="str">
        <f>HYPERLINK("https://imgur.com/a/2tdNrfL","No")</f>
        <v>No</v>
      </c>
      <c r="D5" s="15" t="s">
        <v>28</v>
      </c>
      <c r="E5" s="19" t="s">
        <v>28</v>
      </c>
      <c r="F5" s="13">
        <v>3500.0</v>
      </c>
      <c r="G5" s="13">
        <v>875.0</v>
      </c>
      <c r="H5" s="19">
        <v>1317.0</v>
      </c>
      <c r="I5" s="21" t="s">
        <v>80</v>
      </c>
      <c r="J5" s="21" t="s">
        <v>62</v>
      </c>
      <c r="K5" s="21"/>
      <c r="L5" s="21"/>
      <c r="M5" s="15" t="s">
        <v>38</v>
      </c>
      <c r="N5" s="19"/>
      <c r="O5" s="21" t="s">
        <v>39</v>
      </c>
      <c r="P5" s="15" t="s">
        <v>40</v>
      </c>
      <c r="Q5" s="13" t="s">
        <v>41</v>
      </c>
      <c r="R5" s="13" t="s">
        <v>43</v>
      </c>
      <c r="S5" s="13" t="s">
        <v>44</v>
      </c>
      <c r="T5" s="21" t="s">
        <v>63</v>
      </c>
    </row>
    <row r="6" ht="56.25" customHeight="1">
      <c r="A6" s="13" t="s">
        <v>81</v>
      </c>
      <c r="B6" s="15" t="str">
        <f>image("https://i.imgur.com/abV41SH.png")</f>
        <v/>
      </c>
      <c r="C6" s="22" t="str">
        <f>HYPERLINK("https://imgur.com/a/8wve9UK","Yes")</f>
        <v>Yes</v>
      </c>
      <c r="D6" s="15" t="s">
        <v>28</v>
      </c>
      <c r="E6" s="19" t="s">
        <v>28</v>
      </c>
      <c r="F6" s="24" t="s">
        <v>51</v>
      </c>
      <c r="G6" s="13">
        <v>1400.0</v>
      </c>
      <c r="H6" s="19">
        <v>7238.0</v>
      </c>
      <c r="I6" s="21" t="s">
        <v>84</v>
      </c>
      <c r="J6" s="21"/>
      <c r="K6" s="21"/>
      <c r="L6" s="21"/>
      <c r="M6" s="15" t="s">
        <v>38</v>
      </c>
      <c r="N6" s="19">
        <v>2.0</v>
      </c>
      <c r="O6" s="21" t="s">
        <v>39</v>
      </c>
      <c r="P6" s="15" t="s">
        <v>40</v>
      </c>
      <c r="Q6" s="13" t="s">
        <v>41</v>
      </c>
      <c r="R6" s="13" t="s">
        <v>54</v>
      </c>
      <c r="S6" s="13" t="s">
        <v>85</v>
      </c>
      <c r="T6" s="21"/>
    </row>
    <row r="7" ht="56.25" customHeight="1">
      <c r="A7" s="21" t="s">
        <v>87</v>
      </c>
      <c r="B7" s="15" t="str">
        <f>image("https://i.imgur.com/mHI0k4W.png")</f>
        <v/>
      </c>
      <c r="C7" s="22" t="str">
        <f>HYPERLINK("https://imgur.com/a/QqE69rr","Yes")</f>
        <v>Yes</v>
      </c>
      <c r="D7" s="15" t="s">
        <v>50</v>
      </c>
      <c r="E7" s="19" t="s">
        <v>50</v>
      </c>
      <c r="F7" s="24" t="s">
        <v>51</v>
      </c>
      <c r="G7" s="13">
        <v>600.0</v>
      </c>
      <c r="H7" s="19">
        <v>7867.0</v>
      </c>
      <c r="I7" s="21" t="s">
        <v>95</v>
      </c>
      <c r="J7" s="21"/>
      <c r="K7" s="21"/>
      <c r="L7" s="21"/>
      <c r="M7" s="15" t="s">
        <v>38</v>
      </c>
      <c r="N7" s="19">
        <v>1.0</v>
      </c>
      <c r="O7" s="21" t="s">
        <v>39</v>
      </c>
      <c r="P7" s="15" t="s">
        <v>40</v>
      </c>
      <c r="Q7" s="13" t="s">
        <v>41</v>
      </c>
      <c r="R7" s="13" t="s">
        <v>54</v>
      </c>
      <c r="S7" s="13" t="s">
        <v>55</v>
      </c>
      <c r="T7" s="21"/>
    </row>
    <row r="8" ht="56.25" customHeight="1">
      <c r="A8" s="21" t="s">
        <v>98</v>
      </c>
      <c r="B8" s="15" t="str">
        <f>image("https://i.imgur.com/g7o06cf.png")</f>
        <v/>
      </c>
      <c r="C8" s="22" t="str">
        <f>HYPERLINK("https://imgur.com/a/sLhyqJO","Yes")</f>
        <v>Yes</v>
      </c>
      <c r="D8" s="15" t="s">
        <v>28</v>
      </c>
      <c r="E8" s="19" t="s">
        <v>28</v>
      </c>
      <c r="F8" s="13">
        <v>28000.0</v>
      </c>
      <c r="G8" s="13">
        <v>7000.0</v>
      </c>
      <c r="H8" s="19">
        <v>3957.0</v>
      </c>
      <c r="I8" s="21" t="s">
        <v>60</v>
      </c>
      <c r="J8" s="21" t="s">
        <v>62</v>
      </c>
      <c r="K8" s="21" t="s">
        <v>104</v>
      </c>
      <c r="L8" s="21"/>
      <c r="M8" s="15" t="s">
        <v>106</v>
      </c>
      <c r="N8" s="19">
        <v>7.0</v>
      </c>
      <c r="O8" s="21" t="s">
        <v>39</v>
      </c>
      <c r="P8" s="15" t="s">
        <v>53</v>
      </c>
      <c r="Q8" s="13" t="s">
        <v>41</v>
      </c>
      <c r="R8" s="13" t="s">
        <v>43</v>
      </c>
      <c r="S8" s="13" t="s">
        <v>44</v>
      </c>
      <c r="T8" s="21" t="s">
        <v>65</v>
      </c>
    </row>
    <row r="9" ht="56.25" customHeight="1">
      <c r="A9" s="21" t="s">
        <v>108</v>
      </c>
      <c r="B9" s="15" t="str">
        <f>image("https://i.imgur.com/gWR0ibT.png")</f>
        <v/>
      </c>
      <c r="C9" s="22" t="str">
        <f>HYPERLINK("https://imgur.com/a/IlLsItw","Yes")</f>
        <v>Yes</v>
      </c>
      <c r="D9" s="15" t="s">
        <v>28</v>
      </c>
      <c r="E9" s="19" t="s">
        <v>28</v>
      </c>
      <c r="F9" s="13">
        <v>20000.0</v>
      </c>
      <c r="G9" s="13">
        <v>5000.0</v>
      </c>
      <c r="H9" s="19">
        <v>3956.0</v>
      </c>
      <c r="I9" s="21" t="s">
        <v>60</v>
      </c>
      <c r="J9" s="21" t="s">
        <v>62</v>
      </c>
      <c r="K9" s="21" t="s">
        <v>104</v>
      </c>
      <c r="L9" s="21"/>
      <c r="M9" s="15" t="s">
        <v>38</v>
      </c>
      <c r="N9" s="19">
        <v>7.0</v>
      </c>
      <c r="O9" s="21" t="s">
        <v>39</v>
      </c>
      <c r="P9" s="15" t="s">
        <v>53</v>
      </c>
      <c r="Q9" s="13" t="s">
        <v>41</v>
      </c>
      <c r="R9" s="13" t="s">
        <v>43</v>
      </c>
      <c r="S9" s="13" t="s">
        <v>44</v>
      </c>
      <c r="T9" s="21" t="s">
        <v>65</v>
      </c>
    </row>
    <row r="10" ht="56.25" customHeight="1">
      <c r="A10" s="21" t="s">
        <v>116</v>
      </c>
      <c r="B10" s="15" t="str">
        <f>image("https://i.imgur.com/ji6qDYS.png")</f>
        <v/>
      </c>
      <c r="C10" s="22" t="str">
        <f>HYPERLINK("https://imgur.com/a/PK7lTFo","Yes")</f>
        <v>Yes</v>
      </c>
      <c r="D10" s="15" t="s">
        <v>28</v>
      </c>
      <c r="E10" s="19" t="s">
        <v>28</v>
      </c>
      <c r="F10" s="13">
        <v>10000.0</v>
      </c>
      <c r="G10" s="13">
        <v>2500.0</v>
      </c>
      <c r="H10" s="19">
        <v>3950.0</v>
      </c>
      <c r="I10" s="21" t="s">
        <v>60</v>
      </c>
      <c r="J10" s="21" t="s">
        <v>62</v>
      </c>
      <c r="K10" s="21" t="s">
        <v>104</v>
      </c>
      <c r="L10" s="21"/>
      <c r="M10" s="15" t="s">
        <v>38</v>
      </c>
      <c r="N10" s="19">
        <v>4.0</v>
      </c>
      <c r="O10" s="21" t="s">
        <v>39</v>
      </c>
      <c r="P10" s="15" t="s">
        <v>53</v>
      </c>
      <c r="Q10" s="13" t="s">
        <v>41</v>
      </c>
      <c r="R10" s="13" t="s">
        <v>43</v>
      </c>
      <c r="S10" s="13" t="s">
        <v>44</v>
      </c>
      <c r="T10" s="21" t="s">
        <v>65</v>
      </c>
    </row>
    <row r="11" ht="56.25" customHeight="1">
      <c r="A11" s="21" t="s">
        <v>122</v>
      </c>
      <c r="B11" s="15" t="str">
        <f>image("https://i.imgur.com/JoRgU0x.png")</f>
        <v/>
      </c>
      <c r="C11" s="22" t="str">
        <f>HYPERLINK("https://imgur.com/a/zUZswUi","Yes")</f>
        <v>Yes</v>
      </c>
      <c r="D11" s="15" t="s">
        <v>28</v>
      </c>
      <c r="E11" s="19" t="s">
        <v>28</v>
      </c>
      <c r="F11" s="13">
        <v>44000.0</v>
      </c>
      <c r="G11" s="13">
        <v>11000.0</v>
      </c>
      <c r="H11" s="19">
        <v>3954.0</v>
      </c>
      <c r="I11" s="21" t="s">
        <v>60</v>
      </c>
      <c r="J11" s="21" t="s">
        <v>62</v>
      </c>
      <c r="K11" s="21" t="s">
        <v>104</v>
      </c>
      <c r="L11" s="21"/>
      <c r="M11" s="15" t="s">
        <v>38</v>
      </c>
      <c r="N11" s="19">
        <v>7.0</v>
      </c>
      <c r="O11" s="21" t="s">
        <v>39</v>
      </c>
      <c r="P11" s="15" t="s">
        <v>53</v>
      </c>
      <c r="Q11" s="13" t="s">
        <v>41</v>
      </c>
      <c r="R11" s="13" t="s">
        <v>43</v>
      </c>
      <c r="S11" s="13" t="s">
        <v>44</v>
      </c>
      <c r="T11" s="21" t="s">
        <v>65</v>
      </c>
    </row>
    <row r="12" ht="56.25" customHeight="1">
      <c r="A12" s="21" t="s">
        <v>129</v>
      </c>
      <c r="B12" s="15" t="str">
        <f>image("https://i.imgur.com/gDUYxTB.png")</f>
        <v/>
      </c>
      <c r="C12" s="22" t="str">
        <f>HYPERLINK("https://imgur.com/a/Cm9RAtQ","Yes")</f>
        <v>Yes</v>
      </c>
      <c r="D12" s="15" t="s">
        <v>28</v>
      </c>
      <c r="E12" s="19" t="s">
        <v>28</v>
      </c>
      <c r="F12" s="13">
        <v>17000.0</v>
      </c>
      <c r="G12" s="13">
        <v>4250.0</v>
      </c>
      <c r="H12" s="19">
        <v>3951.0</v>
      </c>
      <c r="I12" s="21" t="s">
        <v>60</v>
      </c>
      <c r="J12" s="21" t="s">
        <v>62</v>
      </c>
      <c r="K12" s="21" t="s">
        <v>104</v>
      </c>
      <c r="L12" s="21"/>
      <c r="M12" s="15" t="s">
        <v>130</v>
      </c>
      <c r="N12" s="19">
        <v>6.0</v>
      </c>
      <c r="O12" s="21" t="s">
        <v>39</v>
      </c>
      <c r="P12" s="15" t="s">
        <v>40</v>
      </c>
      <c r="Q12" s="13" t="s">
        <v>41</v>
      </c>
      <c r="R12" s="13" t="s">
        <v>43</v>
      </c>
      <c r="S12" s="13" t="s">
        <v>44</v>
      </c>
      <c r="T12" s="21" t="s">
        <v>65</v>
      </c>
    </row>
    <row r="13" ht="56.25" customHeight="1">
      <c r="A13" s="21" t="s">
        <v>142</v>
      </c>
      <c r="B13" s="15" t="str">
        <f>image("https://i.imgur.com/Dc26dJe.png")</f>
        <v/>
      </c>
      <c r="C13" s="22" t="str">
        <f>HYPERLINK("https://imgur.com/a/dXIyJxw","Yes")</f>
        <v>Yes</v>
      </c>
      <c r="D13" s="15" t="s">
        <v>28</v>
      </c>
      <c r="E13" s="19" t="s">
        <v>28</v>
      </c>
      <c r="F13" s="13">
        <v>6700.0</v>
      </c>
      <c r="G13" s="13">
        <v>1675.0</v>
      </c>
      <c r="H13" s="19">
        <v>3958.0</v>
      </c>
      <c r="I13" s="21" t="s">
        <v>60</v>
      </c>
      <c r="J13" s="21" t="s">
        <v>62</v>
      </c>
      <c r="K13" s="21" t="s">
        <v>104</v>
      </c>
      <c r="L13" s="21"/>
      <c r="M13" s="15" t="s">
        <v>38</v>
      </c>
      <c r="N13" s="19">
        <v>3.0</v>
      </c>
      <c r="O13" s="21" t="s">
        <v>39</v>
      </c>
      <c r="P13" s="15" t="s">
        <v>40</v>
      </c>
      <c r="Q13" s="13" t="s">
        <v>41</v>
      </c>
      <c r="R13" s="13" t="s">
        <v>43</v>
      </c>
      <c r="S13" s="13" t="s">
        <v>44</v>
      </c>
      <c r="T13" s="21" t="s">
        <v>65</v>
      </c>
    </row>
    <row r="14" ht="56.25" customHeight="1">
      <c r="A14" s="21" t="s">
        <v>149</v>
      </c>
      <c r="B14" s="15" t="str">
        <f>image("https://i.imgur.com/ZmafDa6.png")</f>
        <v/>
      </c>
      <c r="C14" s="22" t="str">
        <f>HYPERLINK("https://imgur.com/a/D0E0UJ5","Yes")</f>
        <v>Yes</v>
      </c>
      <c r="D14" s="15" t="s">
        <v>28</v>
      </c>
      <c r="E14" s="19" t="s">
        <v>28</v>
      </c>
      <c r="F14" s="13">
        <v>25000.0</v>
      </c>
      <c r="G14" s="13">
        <v>6250.0</v>
      </c>
      <c r="H14" s="19">
        <v>3952.0</v>
      </c>
      <c r="I14" s="21" t="s">
        <v>60</v>
      </c>
      <c r="J14" s="21" t="s">
        <v>62</v>
      </c>
      <c r="K14" s="21" t="s">
        <v>104</v>
      </c>
      <c r="L14" s="21"/>
      <c r="M14" s="15" t="s">
        <v>106</v>
      </c>
      <c r="N14" s="19">
        <v>7.0</v>
      </c>
      <c r="O14" s="21" t="s">
        <v>39</v>
      </c>
      <c r="P14" s="15" t="s">
        <v>40</v>
      </c>
      <c r="Q14" s="13" t="s">
        <v>41</v>
      </c>
      <c r="R14" s="13" t="s">
        <v>43</v>
      </c>
      <c r="S14" s="13" t="s">
        <v>44</v>
      </c>
      <c r="T14" s="21" t="s">
        <v>65</v>
      </c>
    </row>
    <row r="15" ht="56.25" customHeight="1">
      <c r="A15" s="21" t="s">
        <v>158</v>
      </c>
      <c r="B15" s="15" t="str">
        <f>image("https://i.imgur.com/5qPxT2f.png")</f>
        <v/>
      </c>
      <c r="C15" s="22" t="str">
        <f>HYPERLINK("https://imgur.com/a/UaILWwR","Yes")</f>
        <v>Yes</v>
      </c>
      <c r="D15" s="15" t="s">
        <v>28</v>
      </c>
      <c r="E15" s="19" t="s">
        <v>28</v>
      </c>
      <c r="F15" s="13">
        <v>31000.0</v>
      </c>
      <c r="G15" s="13">
        <v>7750.0</v>
      </c>
      <c r="H15" s="19">
        <v>3955.0</v>
      </c>
      <c r="I15" s="21" t="s">
        <v>60</v>
      </c>
      <c r="J15" s="21" t="s">
        <v>62</v>
      </c>
      <c r="K15" s="21" t="s">
        <v>104</v>
      </c>
      <c r="L15" s="21"/>
      <c r="M15" s="15" t="s">
        <v>130</v>
      </c>
      <c r="N15" s="19">
        <v>7.0</v>
      </c>
      <c r="O15" s="21" t="s">
        <v>39</v>
      </c>
      <c r="P15" s="15" t="s">
        <v>53</v>
      </c>
      <c r="Q15" s="13" t="s">
        <v>41</v>
      </c>
      <c r="R15" s="13" t="s">
        <v>43</v>
      </c>
      <c r="S15" s="13" t="s">
        <v>44</v>
      </c>
      <c r="T15" s="21" t="s">
        <v>65</v>
      </c>
    </row>
    <row r="16" ht="56.25" customHeight="1">
      <c r="A16" s="21" t="s">
        <v>166</v>
      </c>
      <c r="B16" s="15" t="str">
        <f>image("https://i.imgur.com/DTsQOAP.png")</f>
        <v/>
      </c>
      <c r="C16" s="22" t="str">
        <f>HYPERLINK("https://imgur.com/a/CamJMDW","Yes")</f>
        <v>Yes</v>
      </c>
      <c r="D16" s="15" t="s">
        <v>28</v>
      </c>
      <c r="E16" s="19" t="s">
        <v>28</v>
      </c>
      <c r="F16" s="13">
        <v>37000.0</v>
      </c>
      <c r="G16" s="13">
        <v>9250.0</v>
      </c>
      <c r="H16" s="19">
        <v>3959.0</v>
      </c>
      <c r="I16" s="21" t="s">
        <v>60</v>
      </c>
      <c r="J16" s="21" t="s">
        <v>62</v>
      </c>
      <c r="K16" s="21" t="s">
        <v>104</v>
      </c>
      <c r="L16" s="21"/>
      <c r="M16" s="15" t="s">
        <v>130</v>
      </c>
      <c r="N16" s="19">
        <v>7.0</v>
      </c>
      <c r="O16" s="21" t="s">
        <v>39</v>
      </c>
      <c r="P16" s="15" t="s">
        <v>53</v>
      </c>
      <c r="Q16" s="13" t="s">
        <v>41</v>
      </c>
      <c r="R16" s="13" t="s">
        <v>43</v>
      </c>
      <c r="S16" s="13" t="s">
        <v>44</v>
      </c>
      <c r="T16" s="21" t="s">
        <v>65</v>
      </c>
    </row>
    <row r="17" ht="56.25" customHeight="1">
      <c r="A17" s="35" t="s">
        <v>177</v>
      </c>
      <c r="B17" s="15" t="str">
        <f>image("https://i.imgur.com/jiE76to.png")</f>
        <v/>
      </c>
      <c r="C17" s="22" t="str">
        <f>HYPERLINK("https://imgur.com/a/CBbDtiq","Yes")</f>
        <v>Yes</v>
      </c>
      <c r="D17" s="15" t="s">
        <v>50</v>
      </c>
      <c r="E17" s="19" t="s">
        <v>50</v>
      </c>
      <c r="F17" s="24" t="s">
        <v>51</v>
      </c>
      <c r="G17" s="13">
        <v>2480.0</v>
      </c>
      <c r="H17" s="19">
        <v>4134.0</v>
      </c>
      <c r="I17" s="21" t="s">
        <v>36</v>
      </c>
      <c r="J17" s="21"/>
      <c r="K17" s="21"/>
      <c r="L17" s="21"/>
      <c r="M17" s="15" t="s">
        <v>38</v>
      </c>
      <c r="N17" s="19">
        <v>4.0</v>
      </c>
      <c r="O17" s="21" t="s">
        <v>39</v>
      </c>
      <c r="P17" s="15" t="s">
        <v>53</v>
      </c>
      <c r="Q17" s="13" t="s">
        <v>41</v>
      </c>
      <c r="R17" s="13" t="s">
        <v>54</v>
      </c>
      <c r="S17" s="13" t="s">
        <v>55</v>
      </c>
      <c r="T17" s="21"/>
    </row>
    <row r="18" ht="56.25" customHeight="1">
      <c r="A18" s="21" t="s">
        <v>195</v>
      </c>
      <c r="B18" s="15" t="str">
        <f>image("https://i.imgur.com/HJU724d.png")</f>
        <v/>
      </c>
      <c r="C18" s="22" t="str">
        <f>HYPERLINK("https://imgur.com/a/cnflDe5","No")</f>
        <v>No</v>
      </c>
      <c r="D18" s="15" t="s">
        <v>50</v>
      </c>
      <c r="E18" s="19" t="s">
        <v>28</v>
      </c>
      <c r="F18" s="24" t="s">
        <v>51</v>
      </c>
      <c r="G18" s="13">
        <v>22125.0</v>
      </c>
      <c r="H18" s="19">
        <v>5956.0</v>
      </c>
      <c r="I18" s="21" t="s">
        <v>62</v>
      </c>
      <c r="J18" s="21" t="s">
        <v>183</v>
      </c>
      <c r="K18" s="21"/>
      <c r="L18" s="21"/>
      <c r="M18" s="15" t="s">
        <v>38</v>
      </c>
      <c r="N18" s="19"/>
      <c r="O18" s="21" t="s">
        <v>39</v>
      </c>
      <c r="P18" s="15" t="s">
        <v>40</v>
      </c>
      <c r="Q18" s="13" t="s">
        <v>41</v>
      </c>
      <c r="R18" s="13" t="s">
        <v>54</v>
      </c>
      <c r="S18" s="13" t="s">
        <v>55</v>
      </c>
      <c r="T18" s="21"/>
    </row>
    <row r="19" ht="56.25" customHeight="1">
      <c r="A19" s="21" t="s">
        <v>205</v>
      </c>
      <c r="B19" s="15" t="str">
        <f>image("https://i.imgur.com/8npuYoo.png")</f>
        <v/>
      </c>
      <c r="C19" s="22" t="str">
        <f>HYPERLINK("https://imgur.com/a/luudlth","No")</f>
        <v>No</v>
      </c>
      <c r="D19" s="15" t="s">
        <v>28</v>
      </c>
      <c r="E19" s="19" t="s">
        <v>28</v>
      </c>
      <c r="F19" s="13">
        <v>64000.0</v>
      </c>
      <c r="G19" s="13">
        <v>16000.0</v>
      </c>
      <c r="H19" s="19">
        <v>8226.0</v>
      </c>
      <c r="I19" s="21" t="s">
        <v>90</v>
      </c>
      <c r="J19" s="21" t="s">
        <v>37</v>
      </c>
      <c r="K19" s="21"/>
      <c r="L19" s="21"/>
      <c r="M19" s="15" t="s">
        <v>38</v>
      </c>
      <c r="N19" s="19"/>
      <c r="O19" s="21" t="s">
        <v>39</v>
      </c>
      <c r="P19" s="15" t="s">
        <v>53</v>
      </c>
      <c r="Q19" s="13" t="s">
        <v>215</v>
      </c>
      <c r="R19" s="13" t="s">
        <v>43</v>
      </c>
      <c r="S19" s="13" t="s">
        <v>44</v>
      </c>
      <c r="T19" s="21" t="s">
        <v>65</v>
      </c>
    </row>
    <row r="20" ht="56.25" customHeight="1">
      <c r="A20" s="21" t="s">
        <v>216</v>
      </c>
      <c r="B20" s="15" t="str">
        <f>image("https://i.imgur.com/GuOLlyN.png")</f>
        <v/>
      </c>
      <c r="C20" s="22" t="str">
        <f>HYPERLINK("https://imgur.com/a/IU3fQmj","No")</f>
        <v>No</v>
      </c>
      <c r="D20" s="15" t="s">
        <v>28</v>
      </c>
      <c r="E20" s="19" t="s">
        <v>28</v>
      </c>
      <c r="F20" s="13">
        <v>64000.0</v>
      </c>
      <c r="G20" s="13">
        <v>16000.0</v>
      </c>
      <c r="H20" s="19">
        <v>8225.0</v>
      </c>
      <c r="I20" s="21" t="s">
        <v>90</v>
      </c>
      <c r="J20" s="21" t="s">
        <v>37</v>
      </c>
      <c r="K20" s="21"/>
      <c r="L20" s="21"/>
      <c r="M20" s="15" t="s">
        <v>38</v>
      </c>
      <c r="N20" s="19"/>
      <c r="O20" s="21" t="s">
        <v>39</v>
      </c>
      <c r="P20" s="15" t="s">
        <v>53</v>
      </c>
      <c r="Q20" s="13" t="s">
        <v>215</v>
      </c>
      <c r="R20" s="13" t="s">
        <v>43</v>
      </c>
      <c r="S20" s="13" t="s">
        <v>44</v>
      </c>
      <c r="T20" s="21" t="s">
        <v>65</v>
      </c>
    </row>
    <row r="21" ht="56.25" customHeight="1">
      <c r="A21" s="21" t="s">
        <v>229</v>
      </c>
      <c r="B21" s="15" t="str">
        <f>image("https://i.imgur.com/ranFmdJ.png")</f>
        <v/>
      </c>
      <c r="C21" s="15" t="s">
        <v>40</v>
      </c>
      <c r="D21" s="25" t="s">
        <v>28</v>
      </c>
      <c r="E21" s="36" t="s">
        <v>28</v>
      </c>
      <c r="F21" s="24">
        <v>64000.0</v>
      </c>
      <c r="G21" s="24">
        <v>16000.0</v>
      </c>
      <c r="H21" s="19">
        <v>8227.0</v>
      </c>
      <c r="I21" s="21" t="s">
        <v>90</v>
      </c>
      <c r="J21" s="21" t="s">
        <v>37</v>
      </c>
      <c r="K21" s="21"/>
      <c r="L21" s="21"/>
      <c r="M21" s="15" t="s">
        <v>38</v>
      </c>
      <c r="N21" s="19"/>
      <c r="O21" s="21" t="s">
        <v>39</v>
      </c>
      <c r="P21" s="15" t="s">
        <v>53</v>
      </c>
      <c r="Q21" s="13" t="s">
        <v>215</v>
      </c>
      <c r="R21" s="13" t="s">
        <v>43</v>
      </c>
      <c r="S21" s="13" t="s">
        <v>44</v>
      </c>
      <c r="T21" s="21" t="s">
        <v>65</v>
      </c>
    </row>
    <row r="22" ht="56.25" customHeight="1">
      <c r="A22" s="21" t="s">
        <v>240</v>
      </c>
      <c r="B22" s="15" t="str">
        <f>image("https://i.imgur.com/niRSwdl.png")</f>
        <v/>
      </c>
      <c r="C22" s="22" t="str">
        <f>HYPERLINK("https://imgur.com/a/muBZF9d","Yes")</f>
        <v>Yes</v>
      </c>
      <c r="D22" s="15" t="s">
        <v>28</v>
      </c>
      <c r="E22" s="19" t="s">
        <v>28</v>
      </c>
      <c r="F22" s="13">
        <v>1300.0</v>
      </c>
      <c r="G22" s="13">
        <v>325.0</v>
      </c>
      <c r="H22" s="19">
        <v>12207.0</v>
      </c>
      <c r="I22" s="21" t="s">
        <v>90</v>
      </c>
      <c r="J22" s="21" t="s">
        <v>37</v>
      </c>
      <c r="K22" s="21"/>
      <c r="L22" s="21"/>
      <c r="M22" s="15" t="s">
        <v>38</v>
      </c>
      <c r="N22" s="19">
        <v>1.0</v>
      </c>
      <c r="O22" s="21" t="s">
        <v>39</v>
      </c>
      <c r="P22" s="15" t="s">
        <v>53</v>
      </c>
      <c r="Q22" s="13" t="s">
        <v>41</v>
      </c>
      <c r="R22" s="13" t="s">
        <v>43</v>
      </c>
      <c r="S22" s="13" t="s">
        <v>44</v>
      </c>
      <c r="T22" s="21" t="s">
        <v>68</v>
      </c>
    </row>
    <row r="23" ht="56.25" customHeight="1">
      <c r="A23" s="21" t="s">
        <v>250</v>
      </c>
      <c r="B23" s="15" t="str">
        <f>image("https://i.imgur.com/1DVmOc1.png")</f>
        <v/>
      </c>
      <c r="C23" s="22" t="str">
        <f>HYPERLINK("https://imgur.com/a/6hTzg8O","No")</f>
        <v>No</v>
      </c>
      <c r="D23" s="15" t="s">
        <v>50</v>
      </c>
      <c r="E23" s="19" t="s">
        <v>28</v>
      </c>
      <c r="F23" s="24" t="s">
        <v>51</v>
      </c>
      <c r="G23" s="13">
        <v>12125.0</v>
      </c>
      <c r="H23" s="19">
        <v>5954.0</v>
      </c>
      <c r="I23" s="21" t="s">
        <v>62</v>
      </c>
      <c r="J23" s="21" t="s">
        <v>36</v>
      </c>
      <c r="K23" s="21"/>
      <c r="L23" s="21"/>
      <c r="M23" s="15" t="s">
        <v>38</v>
      </c>
      <c r="N23" s="19"/>
      <c r="O23" s="21" t="s">
        <v>39</v>
      </c>
      <c r="P23" s="15" t="s">
        <v>53</v>
      </c>
      <c r="Q23" s="13" t="s">
        <v>41</v>
      </c>
      <c r="R23" s="13" t="s">
        <v>54</v>
      </c>
      <c r="S23" s="13" t="s">
        <v>55</v>
      </c>
      <c r="T23" s="21"/>
    </row>
    <row r="24" ht="56.25" customHeight="1">
      <c r="A24" s="21" t="s">
        <v>255</v>
      </c>
      <c r="B24" s="15" t="str">
        <f>image("https://i.imgur.com/dwvOpTF.png")</f>
        <v/>
      </c>
      <c r="C24" s="22" t="str">
        <f>HYPERLINK("https://imgur.com/a/M8CbRvk","No")</f>
        <v>No</v>
      </c>
      <c r="D24" s="15" t="s">
        <v>28</v>
      </c>
      <c r="E24" s="19" t="s">
        <v>28</v>
      </c>
      <c r="F24" s="24" t="s">
        <v>51</v>
      </c>
      <c r="G24" s="13">
        <v>450.0</v>
      </c>
      <c r="H24" s="19">
        <v>7839.0</v>
      </c>
      <c r="I24" s="21" t="s">
        <v>95</v>
      </c>
      <c r="J24" s="21" t="s">
        <v>90</v>
      </c>
      <c r="K24" s="21"/>
      <c r="L24" s="21"/>
      <c r="M24" s="15" t="s">
        <v>130</v>
      </c>
      <c r="N24" s="19"/>
      <c r="O24" s="21" t="s">
        <v>39</v>
      </c>
      <c r="P24" s="15" t="s">
        <v>53</v>
      </c>
      <c r="Q24" s="13" t="s">
        <v>41</v>
      </c>
      <c r="R24" s="13" t="s">
        <v>54</v>
      </c>
      <c r="S24" s="13" t="s">
        <v>264</v>
      </c>
      <c r="T24" s="21"/>
    </row>
    <row r="25" ht="56.25" customHeight="1">
      <c r="A25" s="21" t="s">
        <v>265</v>
      </c>
      <c r="B25" s="15" t="str">
        <f>image("https://i.imgur.com/bwA7J8k.png")</f>
        <v/>
      </c>
      <c r="C25" s="22" t="str">
        <f>HYPERLINK("https://imgur.com/a/xA7hXVu","No")</f>
        <v>No</v>
      </c>
      <c r="D25" s="15" t="s">
        <v>50</v>
      </c>
      <c r="E25" s="19" t="s">
        <v>28</v>
      </c>
      <c r="F25" s="24" t="s">
        <v>51</v>
      </c>
      <c r="G25" s="13">
        <v>4000.0</v>
      </c>
      <c r="H25" s="19">
        <v>1439.0</v>
      </c>
      <c r="I25" s="21" t="s">
        <v>269</v>
      </c>
      <c r="J25" s="21" t="s">
        <v>90</v>
      </c>
      <c r="K25" s="21"/>
      <c r="L25" s="21"/>
      <c r="M25" s="15" t="s">
        <v>38</v>
      </c>
      <c r="N25" s="19"/>
      <c r="O25" s="21" t="s">
        <v>39</v>
      </c>
      <c r="P25" s="15" t="s">
        <v>53</v>
      </c>
      <c r="Q25" s="13" t="s">
        <v>41</v>
      </c>
      <c r="R25" s="13" t="s">
        <v>54</v>
      </c>
      <c r="S25" s="13" t="s">
        <v>55</v>
      </c>
      <c r="T25" s="21"/>
    </row>
    <row r="26" ht="56.25" customHeight="1">
      <c r="A26" s="21" t="s">
        <v>272</v>
      </c>
      <c r="B26" s="15" t="str">
        <f>image("https://i.imgur.com/ESW4jlq.png")</f>
        <v/>
      </c>
      <c r="C26" s="22" t="str">
        <f>HYPERLINK("https://imgur.com/a/xYCyBJ3","No")</f>
        <v>No</v>
      </c>
      <c r="D26" s="15" t="s">
        <v>50</v>
      </c>
      <c r="E26" s="19" t="s">
        <v>28</v>
      </c>
      <c r="F26" s="24" t="s">
        <v>51</v>
      </c>
      <c r="G26" s="13">
        <v>6250.0</v>
      </c>
      <c r="H26" s="19">
        <v>1445.0</v>
      </c>
      <c r="I26" s="21" t="s">
        <v>269</v>
      </c>
      <c r="J26" s="21"/>
      <c r="K26" s="21"/>
      <c r="L26" s="21"/>
      <c r="M26" s="15" t="s">
        <v>38</v>
      </c>
      <c r="N26" s="19"/>
      <c r="O26" s="21" t="s">
        <v>39</v>
      </c>
      <c r="P26" s="15" t="s">
        <v>40</v>
      </c>
      <c r="Q26" s="13" t="s">
        <v>41</v>
      </c>
      <c r="R26" s="13" t="s">
        <v>54</v>
      </c>
      <c r="S26" s="13" t="s">
        <v>55</v>
      </c>
      <c r="T26" s="21"/>
    </row>
    <row r="27" ht="56.25" customHeight="1">
      <c r="A27" s="21" t="s">
        <v>280</v>
      </c>
      <c r="B27" s="15" t="str">
        <f>image("https://i.imgur.com/bDs29W9.png")</f>
        <v/>
      </c>
      <c r="C27" s="22" t="str">
        <f>HYPERLINK("https://imgur.com/a/wRnqur7","Yes")</f>
        <v>Yes</v>
      </c>
      <c r="D27" s="15" t="s">
        <v>28</v>
      </c>
      <c r="E27" s="19" t="s">
        <v>28</v>
      </c>
      <c r="F27" s="13">
        <v>4500.0</v>
      </c>
      <c r="G27" s="13">
        <v>1125.0</v>
      </c>
      <c r="H27" s="19">
        <v>2740.0</v>
      </c>
      <c r="I27" s="21" t="s">
        <v>183</v>
      </c>
      <c r="J27" s="21"/>
      <c r="K27" s="21"/>
      <c r="L27" s="21"/>
      <c r="M27" s="15" t="s">
        <v>38</v>
      </c>
      <c r="N27" s="19">
        <v>2.0</v>
      </c>
      <c r="O27" s="21" t="s">
        <v>39</v>
      </c>
      <c r="P27" s="15" t="s">
        <v>53</v>
      </c>
      <c r="Q27" s="13" t="s">
        <v>41</v>
      </c>
      <c r="R27" s="13" t="s">
        <v>43</v>
      </c>
      <c r="S27" s="13" t="s">
        <v>44</v>
      </c>
      <c r="T27" s="21" t="s">
        <v>68</v>
      </c>
    </row>
    <row r="28" ht="56.25" customHeight="1">
      <c r="A28" s="21" t="s">
        <v>286</v>
      </c>
      <c r="B28" s="15" t="str">
        <f>image("https://i.imgur.com/KrJ0fh4.png")</f>
        <v/>
      </c>
      <c r="C28" s="22" t="str">
        <f>HYPERLINK("https://imgur.com/a/E4qLAtu","Yes")</f>
        <v>Yes</v>
      </c>
      <c r="D28" s="15" t="s">
        <v>28</v>
      </c>
      <c r="E28" s="19" t="s">
        <v>28</v>
      </c>
      <c r="F28" s="13">
        <v>1200.0</v>
      </c>
      <c r="G28" s="13">
        <v>300.0</v>
      </c>
      <c r="H28" s="19">
        <v>3305.0</v>
      </c>
      <c r="I28" s="21" t="s">
        <v>113</v>
      </c>
      <c r="J28" s="21"/>
      <c r="K28" s="21"/>
      <c r="L28" s="21"/>
      <c r="M28" s="15" t="s">
        <v>38</v>
      </c>
      <c r="N28" s="19">
        <v>1.0</v>
      </c>
      <c r="O28" s="21" t="s">
        <v>39</v>
      </c>
      <c r="P28" s="15" t="s">
        <v>53</v>
      </c>
      <c r="Q28" s="13" t="s">
        <v>41</v>
      </c>
      <c r="R28" s="13" t="s">
        <v>43</v>
      </c>
      <c r="S28" s="13" t="s">
        <v>44</v>
      </c>
      <c r="T28" s="21" t="s">
        <v>63</v>
      </c>
    </row>
    <row r="29" ht="56.25" customHeight="1">
      <c r="A29" s="21" t="s">
        <v>295</v>
      </c>
      <c r="B29" s="15" t="str">
        <f>image("https://i.imgur.com/cr3vP9w.png")</f>
        <v/>
      </c>
      <c r="C29" s="22" t="str">
        <f>HYPERLINK("https://imgur.com/a/fMu8c7X","Yes")</f>
        <v>Yes</v>
      </c>
      <c r="D29" s="15" t="s">
        <v>50</v>
      </c>
      <c r="E29" s="19" t="s">
        <v>50</v>
      </c>
      <c r="F29" s="24" t="s">
        <v>51</v>
      </c>
      <c r="G29" s="13">
        <v>1120.0</v>
      </c>
      <c r="H29" s="19">
        <v>3658.0</v>
      </c>
      <c r="I29" s="21" t="s">
        <v>161</v>
      </c>
      <c r="J29" s="21"/>
      <c r="K29" s="21"/>
      <c r="L29" s="21"/>
      <c r="M29" s="15" t="s">
        <v>38</v>
      </c>
      <c r="N29" s="19">
        <v>2.0</v>
      </c>
      <c r="O29" s="21" t="s">
        <v>39</v>
      </c>
      <c r="P29" s="15" t="s">
        <v>40</v>
      </c>
      <c r="Q29" s="13" t="s">
        <v>41</v>
      </c>
      <c r="R29" s="13" t="s">
        <v>54</v>
      </c>
      <c r="S29" s="13" t="s">
        <v>55</v>
      </c>
      <c r="T29" s="21"/>
    </row>
    <row r="30" ht="56.25" customHeight="1">
      <c r="A30" s="21" t="s">
        <v>301</v>
      </c>
      <c r="B30" s="15" t="str">
        <f>image("https://i.imgur.com/5CHG1h0.png")</f>
        <v/>
      </c>
      <c r="C30" s="22" t="str">
        <f>HYPERLINK("https://imgur.com/a/gZvDKXC","Yes")</f>
        <v>Yes</v>
      </c>
      <c r="D30" s="15" t="s">
        <v>50</v>
      </c>
      <c r="E30" s="19" t="s">
        <v>50</v>
      </c>
      <c r="F30" s="24" t="s">
        <v>51</v>
      </c>
      <c r="G30" s="13">
        <v>1280.0</v>
      </c>
      <c r="H30" s="19">
        <v>710.0</v>
      </c>
      <c r="I30" s="21" t="s">
        <v>161</v>
      </c>
      <c r="J30" s="21"/>
      <c r="K30" s="21"/>
      <c r="L30" s="21"/>
      <c r="M30" s="15" t="s">
        <v>130</v>
      </c>
      <c r="N30" s="19">
        <v>2.0</v>
      </c>
      <c r="O30" s="21" t="s">
        <v>39</v>
      </c>
      <c r="P30" s="15" t="s">
        <v>53</v>
      </c>
      <c r="Q30" s="13" t="s">
        <v>41</v>
      </c>
      <c r="R30" s="13" t="s">
        <v>54</v>
      </c>
      <c r="S30" s="13" t="s">
        <v>55</v>
      </c>
      <c r="T30" s="21"/>
    </row>
    <row r="31" ht="56.25" customHeight="1">
      <c r="A31" s="21" t="s">
        <v>309</v>
      </c>
      <c r="B31" s="15" t="str">
        <f>image("https://i.imgur.com/xp7Nraj.png")</f>
        <v/>
      </c>
      <c r="C31" s="22" t="str">
        <f>HYPERLINK("https://imgur.com/a/J9pytXp","No")</f>
        <v>No</v>
      </c>
      <c r="D31" s="15" t="s">
        <v>50</v>
      </c>
      <c r="E31" s="19" t="s">
        <v>28</v>
      </c>
      <c r="F31" s="24" t="s">
        <v>51</v>
      </c>
      <c r="G31" s="13">
        <v>2400.0</v>
      </c>
      <c r="H31" s="19">
        <v>3555.0</v>
      </c>
      <c r="I31" s="21" t="s">
        <v>161</v>
      </c>
      <c r="J31" s="21"/>
      <c r="K31" s="21"/>
      <c r="L31" s="21"/>
      <c r="M31" s="15" t="s">
        <v>38</v>
      </c>
      <c r="N31" s="19"/>
      <c r="O31" s="21" t="s">
        <v>39</v>
      </c>
      <c r="P31" s="15" t="s">
        <v>53</v>
      </c>
      <c r="Q31" s="13" t="s">
        <v>41</v>
      </c>
      <c r="R31" s="13" t="s">
        <v>54</v>
      </c>
      <c r="S31" s="13" t="s">
        <v>55</v>
      </c>
      <c r="T31" s="21" t="s">
        <v>172</v>
      </c>
    </row>
    <row r="32" ht="56.25" customHeight="1">
      <c r="A32" s="21" t="s">
        <v>315</v>
      </c>
      <c r="B32" s="15" t="str">
        <f>image("https://i.imgur.com/5GGUlOt.png")</f>
        <v/>
      </c>
      <c r="C32" s="22" t="str">
        <f>HYPERLINK("https://imgur.com/a/k0yb9eA","Yes")</f>
        <v>Yes</v>
      </c>
      <c r="D32" s="15" t="s">
        <v>50</v>
      </c>
      <c r="E32" s="19" t="s">
        <v>50</v>
      </c>
      <c r="F32" s="24" t="s">
        <v>51</v>
      </c>
      <c r="G32" s="13">
        <v>1280.0</v>
      </c>
      <c r="H32" s="19">
        <v>3557.0</v>
      </c>
      <c r="I32" s="21" t="s">
        <v>161</v>
      </c>
      <c r="J32" s="21"/>
      <c r="K32" s="21"/>
      <c r="L32" s="21"/>
      <c r="M32" s="15" t="s">
        <v>38</v>
      </c>
      <c r="N32" s="19">
        <v>2.0</v>
      </c>
      <c r="O32" s="21" t="s">
        <v>39</v>
      </c>
      <c r="P32" s="15" t="s">
        <v>53</v>
      </c>
      <c r="Q32" s="13" t="s">
        <v>186</v>
      </c>
      <c r="R32" s="13" t="s">
        <v>54</v>
      </c>
      <c r="S32" s="13" t="s">
        <v>55</v>
      </c>
      <c r="T32" s="21"/>
    </row>
    <row r="33" ht="56.25" customHeight="1">
      <c r="A33" s="21" t="s">
        <v>321</v>
      </c>
      <c r="B33" s="15" t="str">
        <f>image("https://i.imgur.com/92NuMTY.png")</f>
        <v/>
      </c>
      <c r="C33" s="22" t="str">
        <f>HYPERLINK("https://imgur.com/a/0zxoXG4","No")</f>
        <v>No</v>
      </c>
      <c r="D33" s="15" t="s">
        <v>50</v>
      </c>
      <c r="E33" s="19" t="s">
        <v>28</v>
      </c>
      <c r="F33" s="24" t="s">
        <v>51</v>
      </c>
      <c r="G33" s="13">
        <v>3160.0</v>
      </c>
      <c r="H33" s="19">
        <v>5979.0</v>
      </c>
      <c r="I33" s="21" t="s">
        <v>161</v>
      </c>
      <c r="J33" s="21"/>
      <c r="K33" s="21"/>
      <c r="L33" s="21"/>
      <c r="M33" s="15" t="s">
        <v>327</v>
      </c>
      <c r="N33" s="19"/>
      <c r="O33" s="21" t="s">
        <v>39</v>
      </c>
      <c r="P33" s="15" t="s">
        <v>53</v>
      </c>
      <c r="Q33" s="13" t="s">
        <v>41</v>
      </c>
      <c r="R33" s="13" t="s">
        <v>54</v>
      </c>
      <c r="S33" s="13" t="s">
        <v>55</v>
      </c>
      <c r="T33" s="21" t="s">
        <v>172</v>
      </c>
    </row>
    <row r="34" ht="56.25" customHeight="1">
      <c r="A34" s="21" t="s">
        <v>330</v>
      </c>
      <c r="B34" s="15" t="str">
        <f>image("https://i.imgur.com/jBWjIEs.png")</f>
        <v/>
      </c>
      <c r="C34" s="22" t="str">
        <f>HYPERLINK("https://imgur.com/a/NciOXrk","Yes")</f>
        <v>Yes</v>
      </c>
      <c r="D34" s="15" t="s">
        <v>50</v>
      </c>
      <c r="E34" s="19" t="s">
        <v>50</v>
      </c>
      <c r="F34" s="24" t="s">
        <v>51</v>
      </c>
      <c r="G34" s="13">
        <v>2020.0</v>
      </c>
      <c r="H34" s="19">
        <v>3553.0</v>
      </c>
      <c r="I34" s="21" t="s">
        <v>161</v>
      </c>
      <c r="J34" s="21"/>
      <c r="K34" s="21"/>
      <c r="L34" s="21"/>
      <c r="M34" s="15" t="s">
        <v>332</v>
      </c>
      <c r="N34" s="19">
        <v>3.0</v>
      </c>
      <c r="O34" s="21" t="s">
        <v>39</v>
      </c>
      <c r="P34" s="15" t="s">
        <v>40</v>
      </c>
      <c r="Q34" s="13" t="s">
        <v>41</v>
      </c>
      <c r="R34" s="13" t="s">
        <v>54</v>
      </c>
      <c r="S34" s="13" t="s">
        <v>55</v>
      </c>
      <c r="T34" s="21"/>
    </row>
    <row r="35" ht="56.25" customHeight="1">
      <c r="A35" s="21" t="s">
        <v>336</v>
      </c>
      <c r="B35" s="15" t="str">
        <f>image("https://i.imgur.com/EbrMIcj.png")</f>
        <v/>
      </c>
      <c r="C35" s="22" t="str">
        <f>HYPERLINK("https://imgur.com/a/NNW7uvt","Yes")</f>
        <v>Yes</v>
      </c>
      <c r="D35" s="15" t="s">
        <v>50</v>
      </c>
      <c r="E35" s="19" t="s">
        <v>50</v>
      </c>
      <c r="F35" s="24" t="s">
        <v>51</v>
      </c>
      <c r="G35" s="13">
        <v>2400.0</v>
      </c>
      <c r="H35" s="19">
        <v>3551.0</v>
      </c>
      <c r="I35" s="21" t="s">
        <v>161</v>
      </c>
      <c r="J35" s="21"/>
      <c r="K35" s="21"/>
      <c r="L35" s="21"/>
      <c r="M35" s="15" t="s">
        <v>130</v>
      </c>
      <c r="N35" s="19">
        <v>4.0</v>
      </c>
      <c r="O35" s="21" t="s">
        <v>39</v>
      </c>
      <c r="P35" s="15" t="s">
        <v>40</v>
      </c>
      <c r="Q35" s="13" t="s">
        <v>41</v>
      </c>
      <c r="R35" s="13" t="s">
        <v>54</v>
      </c>
      <c r="S35" s="13" t="s">
        <v>55</v>
      </c>
      <c r="T35" s="21"/>
    </row>
    <row r="36" ht="56.25" customHeight="1">
      <c r="A36" s="21" t="s">
        <v>337</v>
      </c>
      <c r="B36" s="15" t="str">
        <f>image("https://i.imgur.com/lRMZcIn.png")</f>
        <v/>
      </c>
      <c r="C36" s="22" t="str">
        <f>HYPERLINK("https://imgur.com/a/u7HDdqD","Yes")</f>
        <v>Yes</v>
      </c>
      <c r="D36" s="15" t="s">
        <v>50</v>
      </c>
      <c r="E36" s="19" t="s">
        <v>50</v>
      </c>
      <c r="F36" s="24" t="s">
        <v>51</v>
      </c>
      <c r="G36" s="13">
        <v>1230.0</v>
      </c>
      <c r="H36" s="19">
        <v>10743.0</v>
      </c>
      <c r="I36" s="21" t="s">
        <v>161</v>
      </c>
      <c r="J36" s="21"/>
      <c r="K36" s="21"/>
      <c r="L36" s="21"/>
      <c r="M36" s="15" t="s">
        <v>38</v>
      </c>
      <c r="N36" s="19">
        <v>2.0</v>
      </c>
      <c r="O36" s="21" t="s">
        <v>339</v>
      </c>
      <c r="P36" s="15" t="s">
        <v>53</v>
      </c>
      <c r="Q36" s="13" t="s">
        <v>41</v>
      </c>
      <c r="R36" s="13" t="s">
        <v>54</v>
      </c>
      <c r="S36" s="13" t="s">
        <v>55</v>
      </c>
      <c r="T36" s="21"/>
    </row>
    <row r="37" ht="56.25" customHeight="1">
      <c r="A37" s="21" t="s">
        <v>340</v>
      </c>
      <c r="B37" s="15" t="str">
        <f>image("https://i.imgur.com/gRUaLSw.png")</f>
        <v/>
      </c>
      <c r="C37" s="22" t="str">
        <f>HYPERLINK("https://imgur.com/a/Z81EfCd","Yes")</f>
        <v>Yes</v>
      </c>
      <c r="D37" s="15" t="s">
        <v>50</v>
      </c>
      <c r="E37" s="19" t="s">
        <v>50</v>
      </c>
      <c r="F37" s="24" t="s">
        <v>51</v>
      </c>
      <c r="G37" s="13">
        <v>800.0</v>
      </c>
      <c r="H37" s="19">
        <v>10742.0</v>
      </c>
      <c r="I37" s="21" t="s">
        <v>161</v>
      </c>
      <c r="J37" s="21"/>
      <c r="K37" s="21"/>
      <c r="L37" s="21"/>
      <c r="M37" s="15" t="s">
        <v>38</v>
      </c>
      <c r="N37" s="19">
        <v>2.0</v>
      </c>
      <c r="O37" s="21" t="s">
        <v>39</v>
      </c>
      <c r="P37" s="15" t="s">
        <v>53</v>
      </c>
      <c r="Q37" s="13" t="s">
        <v>41</v>
      </c>
      <c r="R37" s="13" t="s">
        <v>54</v>
      </c>
      <c r="S37" s="13" t="s">
        <v>55</v>
      </c>
      <c r="T37" s="21"/>
    </row>
    <row r="38" ht="56.25" customHeight="1">
      <c r="A38" s="21" t="s">
        <v>345</v>
      </c>
      <c r="B38" s="15" t="str">
        <f>image("https://i.imgur.com/iK4Nk0G.png")</f>
        <v/>
      </c>
      <c r="C38" s="22" t="str">
        <f>HYPERLINK("https://imgur.com/a/Uv7b3Wm","Yes")</f>
        <v>Yes</v>
      </c>
      <c r="D38" s="15" t="s">
        <v>50</v>
      </c>
      <c r="E38" s="19" t="s">
        <v>50</v>
      </c>
      <c r="F38" s="24" t="s">
        <v>51</v>
      </c>
      <c r="G38" s="13">
        <v>480.0</v>
      </c>
      <c r="H38" s="19">
        <v>3556.0</v>
      </c>
      <c r="I38" s="21" t="s">
        <v>161</v>
      </c>
      <c r="J38" s="21"/>
      <c r="K38" s="21"/>
      <c r="L38" s="21"/>
      <c r="M38" s="15" t="s">
        <v>349</v>
      </c>
      <c r="N38" s="19">
        <v>1.0</v>
      </c>
      <c r="O38" s="21" t="s">
        <v>39</v>
      </c>
      <c r="P38" s="15" t="s">
        <v>40</v>
      </c>
      <c r="Q38" s="13" t="s">
        <v>41</v>
      </c>
      <c r="R38" s="13" t="s">
        <v>54</v>
      </c>
      <c r="S38" s="13" t="s">
        <v>55</v>
      </c>
      <c r="T38" s="21"/>
    </row>
    <row r="39" ht="56.25" customHeight="1">
      <c r="A39" s="21" t="s">
        <v>350</v>
      </c>
      <c r="B39" s="15" t="str">
        <f>image("https://i.imgur.com/oVdGli4.png")</f>
        <v/>
      </c>
      <c r="C39" s="22" t="str">
        <f>HYPERLINK("https://imgur.com/a/xqYJVAV","Yes")</f>
        <v>Yes</v>
      </c>
      <c r="D39" s="15" t="s">
        <v>28</v>
      </c>
      <c r="E39" s="19" t="s">
        <v>28</v>
      </c>
      <c r="F39" s="13">
        <v>2500.0</v>
      </c>
      <c r="G39" s="13">
        <v>625.0</v>
      </c>
      <c r="H39" s="19">
        <v>330.0</v>
      </c>
      <c r="I39" s="21" t="s">
        <v>338</v>
      </c>
      <c r="J39" s="21"/>
      <c r="K39" s="21"/>
      <c r="L39" s="21"/>
      <c r="M39" s="15" t="s">
        <v>38</v>
      </c>
      <c r="N39" s="19">
        <v>1.0</v>
      </c>
      <c r="O39" s="21" t="s">
        <v>39</v>
      </c>
      <c r="P39" s="15" t="s">
        <v>53</v>
      </c>
      <c r="Q39" s="13" t="s">
        <v>41</v>
      </c>
      <c r="R39" s="13" t="s">
        <v>43</v>
      </c>
      <c r="S39" s="13" t="s">
        <v>44</v>
      </c>
      <c r="T39" s="21" t="s">
        <v>202</v>
      </c>
    </row>
    <row r="40" ht="56.25" customHeight="1">
      <c r="A40" s="21" t="s">
        <v>356</v>
      </c>
      <c r="B40" s="15" t="str">
        <f>image("https://i.imgur.com/BSf8kTq.png")</f>
        <v/>
      </c>
      <c r="C40" s="22" t="str">
        <f>HYPERLINK("https://imgur.com/a/4hKpfVS","Yes")</f>
        <v>Yes</v>
      </c>
      <c r="D40" s="15" t="s">
        <v>50</v>
      </c>
      <c r="E40" s="19" t="s">
        <v>50</v>
      </c>
      <c r="F40" s="24" t="s">
        <v>51</v>
      </c>
      <c r="G40" s="13">
        <v>7500.0</v>
      </c>
      <c r="H40" s="19">
        <v>4078.0</v>
      </c>
      <c r="I40" s="21" t="s">
        <v>156</v>
      </c>
      <c r="J40" s="21"/>
      <c r="K40" s="21"/>
      <c r="L40" s="21"/>
      <c r="M40" s="15" t="s">
        <v>130</v>
      </c>
      <c r="N40" s="19">
        <v>7.0</v>
      </c>
      <c r="O40" s="21" t="s">
        <v>39</v>
      </c>
      <c r="P40" s="15" t="s">
        <v>40</v>
      </c>
      <c r="Q40" s="13" t="s">
        <v>41</v>
      </c>
      <c r="R40" s="13" t="s">
        <v>54</v>
      </c>
      <c r="S40" s="13" t="s">
        <v>55</v>
      </c>
      <c r="T40" s="21"/>
    </row>
    <row r="41" ht="56.25" customHeight="1">
      <c r="A41" s="21" t="s">
        <v>362</v>
      </c>
      <c r="B41" s="15" t="str">
        <f>image("https://i.imgur.com/qnjF7pJ.png")</f>
        <v/>
      </c>
      <c r="C41" s="22" t="str">
        <f>HYPERLINK("https://imgur.com/a/T5OoODZ","No")</f>
        <v>No</v>
      </c>
      <c r="D41" s="15" t="s">
        <v>50</v>
      </c>
      <c r="E41" s="19" t="s">
        <v>28</v>
      </c>
      <c r="F41" s="24" t="s">
        <v>51</v>
      </c>
      <c r="G41" s="13">
        <v>2100.0</v>
      </c>
      <c r="H41" s="19">
        <v>1266.0</v>
      </c>
      <c r="I41" s="21" t="s">
        <v>243</v>
      </c>
      <c r="J41" s="21"/>
      <c r="K41" s="21"/>
      <c r="L41" s="21"/>
      <c r="M41" s="15" t="s">
        <v>38</v>
      </c>
      <c r="N41" s="19"/>
      <c r="O41" s="21" t="s">
        <v>39</v>
      </c>
      <c r="P41" s="15" t="s">
        <v>40</v>
      </c>
      <c r="Q41" s="13" t="s">
        <v>41</v>
      </c>
      <c r="R41" s="13" t="s">
        <v>54</v>
      </c>
      <c r="S41" s="13" t="s">
        <v>55</v>
      </c>
      <c r="T41" s="21"/>
    </row>
    <row r="42" ht="56.25" customHeight="1">
      <c r="A42" s="21" t="s">
        <v>368</v>
      </c>
      <c r="B42" s="15" t="str">
        <f>image("https://i.imgur.com/3mZfgkd.png")</f>
        <v/>
      </c>
      <c r="C42" s="22" t="str">
        <f>HYPERLINK("https://imgur.com/a/62ID0iB","Yes")</f>
        <v>Yes</v>
      </c>
      <c r="D42" s="15" t="s">
        <v>28</v>
      </c>
      <c r="E42" s="19" t="s">
        <v>28</v>
      </c>
      <c r="F42" s="13">
        <v>2000.0</v>
      </c>
      <c r="G42" s="13">
        <v>500.0</v>
      </c>
      <c r="H42" s="19">
        <v>1330.0</v>
      </c>
      <c r="I42" s="21" t="s">
        <v>80</v>
      </c>
      <c r="J42" s="21"/>
      <c r="K42" s="21"/>
      <c r="L42" s="21"/>
      <c r="M42" s="15" t="s">
        <v>130</v>
      </c>
      <c r="N42" s="19">
        <v>1.0</v>
      </c>
      <c r="O42" s="21" t="s">
        <v>39</v>
      </c>
      <c r="P42" s="15" t="s">
        <v>40</v>
      </c>
      <c r="Q42" s="13" t="s">
        <v>41</v>
      </c>
      <c r="R42" s="13" t="s">
        <v>43</v>
      </c>
      <c r="S42" s="13" t="s">
        <v>44</v>
      </c>
      <c r="T42" s="21" t="s">
        <v>68</v>
      </c>
    </row>
    <row r="43" ht="56.25" customHeight="1">
      <c r="A43" s="21" t="s">
        <v>374</v>
      </c>
      <c r="B43" s="15" t="str">
        <f>image("https://i.imgur.com/h2kfbPu.png")</f>
        <v/>
      </c>
      <c r="C43" s="22" t="str">
        <f>HYPERLINK("https://imgur.com/a/XlxaiYF","Yes")</f>
        <v>Yes</v>
      </c>
      <c r="D43" s="15" t="s">
        <v>28</v>
      </c>
      <c r="E43" s="19" t="s">
        <v>28</v>
      </c>
      <c r="F43" s="13">
        <v>11000.0</v>
      </c>
      <c r="G43" s="13">
        <v>2750.0</v>
      </c>
      <c r="H43" s="19">
        <v>4226.0</v>
      </c>
      <c r="I43" s="21" t="s">
        <v>156</v>
      </c>
      <c r="J43" s="21" t="s">
        <v>80</v>
      </c>
      <c r="K43" s="21"/>
      <c r="L43" s="21"/>
      <c r="M43" s="15" t="s">
        <v>106</v>
      </c>
      <c r="N43" s="19">
        <v>4.0</v>
      </c>
      <c r="O43" s="21" t="s">
        <v>39</v>
      </c>
      <c r="P43" s="15" t="s">
        <v>40</v>
      </c>
      <c r="Q43" s="13" t="s">
        <v>41</v>
      </c>
      <c r="R43" s="13" t="s">
        <v>43</v>
      </c>
      <c r="S43" s="13" t="s">
        <v>44</v>
      </c>
      <c r="T43" s="21" t="s">
        <v>65</v>
      </c>
    </row>
    <row r="44" ht="56.25" customHeight="1">
      <c r="A44" s="21" t="s">
        <v>378</v>
      </c>
      <c r="B44" s="15" t="str">
        <f>image("https://i.imgur.com/4PQLqn4.png")</f>
        <v/>
      </c>
      <c r="C44" s="22" t="str">
        <f>HYPERLINK("https://imgur.com/a/miAzKEs","Yes")</f>
        <v>Yes</v>
      </c>
      <c r="D44" s="15" t="s">
        <v>28</v>
      </c>
      <c r="E44" s="19" t="s">
        <v>28</v>
      </c>
      <c r="F44" s="13">
        <v>3300.0</v>
      </c>
      <c r="G44" s="13">
        <v>825.0</v>
      </c>
      <c r="H44" s="19">
        <v>1229.0</v>
      </c>
      <c r="I44" s="21" t="s">
        <v>183</v>
      </c>
      <c r="J44" s="21"/>
      <c r="K44" s="21"/>
      <c r="L44" s="21"/>
      <c r="M44" s="15" t="s">
        <v>38</v>
      </c>
      <c r="N44" s="19">
        <v>2.0</v>
      </c>
      <c r="O44" s="21" t="s">
        <v>39</v>
      </c>
      <c r="P44" s="15" t="s">
        <v>53</v>
      </c>
      <c r="Q44" s="13" t="s">
        <v>41</v>
      </c>
      <c r="R44" s="13" t="s">
        <v>43</v>
      </c>
      <c r="S44" s="13" t="s">
        <v>44</v>
      </c>
      <c r="T44" s="21" t="s">
        <v>63</v>
      </c>
    </row>
    <row r="45" ht="56.25" customHeight="1">
      <c r="A45" s="21" t="s">
        <v>383</v>
      </c>
      <c r="B45" s="15" t="str">
        <f>image("https://i.imgur.com/tdE0GlK.png")</f>
        <v/>
      </c>
      <c r="C45" s="22" t="str">
        <f>HYPERLINK("https://imgur.com/a/TE0MW2a","Yes")</f>
        <v>Yes</v>
      </c>
      <c r="D45" s="15" t="s">
        <v>28</v>
      </c>
      <c r="E45" s="19" t="s">
        <v>28</v>
      </c>
      <c r="F45" s="13">
        <v>920.0</v>
      </c>
      <c r="G45" s="13">
        <v>230.0</v>
      </c>
      <c r="H45" s="19">
        <v>664.0</v>
      </c>
      <c r="I45" s="21" t="s">
        <v>84</v>
      </c>
      <c r="J45" s="21"/>
      <c r="K45" s="21"/>
      <c r="L45" s="21"/>
      <c r="M45" s="15" t="s">
        <v>130</v>
      </c>
      <c r="N45" s="19">
        <v>1.0</v>
      </c>
      <c r="O45" s="21" t="s">
        <v>39</v>
      </c>
      <c r="P45" s="15" t="s">
        <v>53</v>
      </c>
      <c r="Q45" s="13" t="s">
        <v>41</v>
      </c>
      <c r="R45" s="13" t="s">
        <v>43</v>
      </c>
      <c r="S45" s="13" t="s">
        <v>44</v>
      </c>
      <c r="T45" s="21" t="s">
        <v>63</v>
      </c>
    </row>
    <row r="46" ht="56.25" customHeight="1">
      <c r="A46" s="21" t="s">
        <v>391</v>
      </c>
      <c r="B46" s="15" t="str">
        <f>image("https://i.imgur.com/VQkt0kX.png")</f>
        <v/>
      </c>
      <c r="C46" s="22" t="str">
        <f>HYPERLINK("https://imgur.com/a/jICzH8l","Yes")</f>
        <v>Yes</v>
      </c>
      <c r="D46" s="15" t="s">
        <v>28</v>
      </c>
      <c r="E46" s="19" t="s">
        <v>28</v>
      </c>
      <c r="F46" s="13">
        <v>380.0</v>
      </c>
      <c r="G46" s="13">
        <v>95.0</v>
      </c>
      <c r="H46" s="19">
        <v>3468.0</v>
      </c>
      <c r="I46" s="21" t="s">
        <v>84</v>
      </c>
      <c r="J46" s="21"/>
      <c r="K46" s="21"/>
      <c r="L46" s="21"/>
      <c r="M46" s="15" t="s">
        <v>130</v>
      </c>
      <c r="N46" s="19">
        <v>1.0</v>
      </c>
      <c r="O46" s="21" t="s">
        <v>39</v>
      </c>
      <c r="P46" s="15" t="s">
        <v>53</v>
      </c>
      <c r="Q46" s="13" t="s">
        <v>41</v>
      </c>
      <c r="R46" s="13" t="s">
        <v>43</v>
      </c>
      <c r="S46" s="13" t="s">
        <v>44</v>
      </c>
      <c r="T46" s="21" t="s">
        <v>202</v>
      </c>
    </row>
    <row r="47" ht="56.25" customHeight="1">
      <c r="A47" s="21" t="s">
        <v>397</v>
      </c>
      <c r="B47" s="15" t="str">
        <f>image("https://i.imgur.com/1yLZR2e.png")</f>
        <v/>
      </c>
      <c r="C47" s="22" t="str">
        <f>HYPERLINK("https://imgur.com/a/JcCMtJO","Yes")</f>
        <v>Yes</v>
      </c>
      <c r="D47" s="15" t="s">
        <v>50</v>
      </c>
      <c r="E47" s="19" t="s">
        <v>50</v>
      </c>
      <c r="F47" s="24" t="s">
        <v>51</v>
      </c>
      <c r="G47" s="13">
        <v>2400.0</v>
      </c>
      <c r="H47" s="19">
        <v>3406.0</v>
      </c>
      <c r="I47" s="21" t="s">
        <v>95</v>
      </c>
      <c r="J47" s="21"/>
      <c r="K47" s="21"/>
      <c r="L47" s="21"/>
      <c r="M47" s="15" t="s">
        <v>38</v>
      </c>
      <c r="N47" s="19">
        <v>4.0</v>
      </c>
      <c r="O47" s="21" t="s">
        <v>39</v>
      </c>
      <c r="P47" s="15" t="s">
        <v>40</v>
      </c>
      <c r="Q47" s="13" t="s">
        <v>41</v>
      </c>
      <c r="R47" s="13" t="s">
        <v>54</v>
      </c>
      <c r="S47" s="13" t="s">
        <v>55</v>
      </c>
      <c r="T47" s="21"/>
    </row>
    <row r="48" ht="56.25" customHeight="1">
      <c r="A48" s="21" t="s">
        <v>405</v>
      </c>
      <c r="B48" s="15" t="str">
        <f>image("https://i.imgur.com/NjA2AtS.png")</f>
        <v/>
      </c>
      <c r="C48" s="22" t="str">
        <f>HYPERLINK("https://imgur.com/a/Jn5dLvj","No")</f>
        <v>No</v>
      </c>
      <c r="D48" s="15" t="s">
        <v>28</v>
      </c>
      <c r="E48" s="19" t="s">
        <v>28</v>
      </c>
      <c r="F48" s="13">
        <v>1800.0</v>
      </c>
      <c r="G48" s="13">
        <v>450.0</v>
      </c>
      <c r="H48" s="19">
        <v>4098.0</v>
      </c>
      <c r="I48" s="21" t="s">
        <v>183</v>
      </c>
      <c r="J48" s="21"/>
      <c r="K48" s="21"/>
      <c r="L48" s="21"/>
      <c r="M48" s="15" t="s">
        <v>38</v>
      </c>
      <c r="N48" s="19"/>
      <c r="O48" s="21" t="s">
        <v>39</v>
      </c>
      <c r="P48" s="15" t="s">
        <v>53</v>
      </c>
      <c r="Q48" s="13" t="s">
        <v>41</v>
      </c>
      <c r="R48" s="13" t="s">
        <v>43</v>
      </c>
      <c r="S48" s="13" t="s">
        <v>44</v>
      </c>
      <c r="T48" s="21" t="s">
        <v>68</v>
      </c>
    </row>
    <row r="49" ht="56.25" customHeight="1">
      <c r="A49" s="21" t="s">
        <v>412</v>
      </c>
      <c r="B49" s="15" t="str">
        <f>image("https://i.imgur.com/9ICOduK.png")</f>
        <v/>
      </c>
      <c r="C49" s="22" t="str">
        <f>HYPERLINK("https://imgur.com/a/ZpAPqjR","Yes")</f>
        <v>Yes</v>
      </c>
      <c r="D49" s="15" t="s">
        <v>50</v>
      </c>
      <c r="E49" s="19" t="s">
        <v>50</v>
      </c>
      <c r="F49" s="24" t="s">
        <v>51</v>
      </c>
      <c r="G49" s="13">
        <v>3200.0</v>
      </c>
      <c r="H49" s="19">
        <v>3966.0</v>
      </c>
      <c r="I49" s="21" t="s">
        <v>212</v>
      </c>
      <c r="J49" s="21" t="s">
        <v>36</v>
      </c>
      <c r="K49" s="21"/>
      <c r="L49" s="21"/>
      <c r="M49" s="15" t="s">
        <v>106</v>
      </c>
      <c r="N49" s="19">
        <v>5.0</v>
      </c>
      <c r="O49" s="21" t="s">
        <v>39</v>
      </c>
      <c r="P49" s="15" t="s">
        <v>53</v>
      </c>
      <c r="Q49" s="13" t="s">
        <v>41</v>
      </c>
      <c r="R49" s="13" t="s">
        <v>54</v>
      </c>
      <c r="S49" s="13" t="s">
        <v>55</v>
      </c>
      <c r="T49" s="21" t="s">
        <v>418</v>
      </c>
    </row>
    <row r="50" ht="56.25" customHeight="1">
      <c r="A50" s="21" t="s">
        <v>420</v>
      </c>
      <c r="B50" s="15" t="str">
        <f>image("https://i.imgur.com/OLvT7kB.png")</f>
        <v/>
      </c>
      <c r="C50" s="22" t="str">
        <f>HYPERLINK("https://imgur.com/a/2QP24Jm","Yes")</f>
        <v>Yes</v>
      </c>
      <c r="D50" s="15" t="s">
        <v>28</v>
      </c>
      <c r="E50" s="19" t="s">
        <v>28</v>
      </c>
      <c r="F50" s="13">
        <v>77000.0</v>
      </c>
      <c r="G50" s="13">
        <v>19250.0</v>
      </c>
      <c r="H50" s="19">
        <v>863.0</v>
      </c>
      <c r="I50" s="21" t="s">
        <v>37</v>
      </c>
      <c r="J50" s="21" t="s">
        <v>90</v>
      </c>
      <c r="K50" s="21"/>
      <c r="L50" s="21"/>
      <c r="M50" s="15" t="s">
        <v>130</v>
      </c>
      <c r="N50" s="19">
        <v>7.0</v>
      </c>
      <c r="O50" s="21" t="s">
        <v>39</v>
      </c>
      <c r="P50" s="15" t="s">
        <v>40</v>
      </c>
      <c r="Q50" s="13" t="s">
        <v>41</v>
      </c>
      <c r="R50" s="13" t="s">
        <v>43</v>
      </c>
      <c r="S50" s="13" t="s">
        <v>44</v>
      </c>
      <c r="T50" s="21" t="s">
        <v>65</v>
      </c>
    </row>
    <row r="51" ht="56.25" customHeight="1">
      <c r="A51" s="21" t="s">
        <v>429</v>
      </c>
      <c r="B51" s="15" t="str">
        <f>image("https://i.imgur.com/mBSVzRr.png")</f>
        <v/>
      </c>
      <c r="C51" s="22" t="str">
        <f>HYPERLINK("https://imgur.com/a/Z11BbVN","Yes")</f>
        <v>Yes</v>
      </c>
      <c r="D51" s="15" t="s">
        <v>50</v>
      </c>
      <c r="E51" s="19" t="s">
        <v>50</v>
      </c>
      <c r="F51" s="24" t="s">
        <v>51</v>
      </c>
      <c r="G51" s="13">
        <v>900.0</v>
      </c>
      <c r="H51" s="19">
        <v>331.0</v>
      </c>
      <c r="I51" s="21" t="s">
        <v>95</v>
      </c>
      <c r="J51" s="21"/>
      <c r="K51" s="21"/>
      <c r="L51" s="21"/>
      <c r="M51" s="15" t="s">
        <v>38</v>
      </c>
      <c r="N51" s="19">
        <v>2.0</v>
      </c>
      <c r="O51" s="21" t="s">
        <v>39</v>
      </c>
      <c r="P51" s="15" t="s">
        <v>40</v>
      </c>
      <c r="Q51" s="13" t="s">
        <v>41</v>
      </c>
      <c r="R51" s="13" t="s">
        <v>54</v>
      </c>
      <c r="S51" s="13" t="s">
        <v>55</v>
      </c>
      <c r="T51" s="21"/>
    </row>
    <row r="52" ht="56.25" customHeight="1">
      <c r="A52" s="21" t="s">
        <v>434</v>
      </c>
      <c r="B52" s="15" t="str">
        <f>image("https://i.imgur.com/02ahP15.png")</f>
        <v/>
      </c>
      <c r="C52" s="22" t="str">
        <f>HYPERLINK("https://imgur.com/a/HrDoZlG","Yes")</f>
        <v>Yes</v>
      </c>
      <c r="D52" s="15" t="s">
        <v>50</v>
      </c>
      <c r="E52" s="19" t="s">
        <v>50</v>
      </c>
      <c r="F52" s="24" t="s">
        <v>51</v>
      </c>
      <c r="G52" s="13">
        <v>960.0</v>
      </c>
      <c r="H52" s="19">
        <v>865.0</v>
      </c>
      <c r="I52" s="21" t="s">
        <v>60</v>
      </c>
      <c r="J52" s="21"/>
      <c r="K52" s="21"/>
      <c r="L52" s="21"/>
      <c r="M52" s="15" t="s">
        <v>38</v>
      </c>
      <c r="N52" s="19">
        <v>2.0</v>
      </c>
      <c r="O52" s="21" t="s">
        <v>39</v>
      </c>
      <c r="P52" s="15" t="s">
        <v>53</v>
      </c>
      <c r="Q52" s="13" t="s">
        <v>41</v>
      </c>
      <c r="R52" s="13" t="s">
        <v>54</v>
      </c>
      <c r="S52" s="13" t="s">
        <v>55</v>
      </c>
      <c r="T52" s="21"/>
    </row>
    <row r="53" ht="56.25" customHeight="1">
      <c r="A53" s="21" t="s">
        <v>438</v>
      </c>
      <c r="B53" s="15" t="str">
        <f>image("https://i.imgur.com/nBS6YNs.png")</f>
        <v/>
      </c>
      <c r="C53" s="22" t="str">
        <f>HYPERLINK("https://imgur.com/a/Dw69v7v","Yes")</f>
        <v>Yes</v>
      </c>
      <c r="D53" s="15" t="s">
        <v>50</v>
      </c>
      <c r="E53" s="19" t="s">
        <v>50</v>
      </c>
      <c r="F53" s="24" t="s">
        <v>51</v>
      </c>
      <c r="G53" s="13">
        <v>840.0</v>
      </c>
      <c r="H53" s="19">
        <v>333.0</v>
      </c>
      <c r="I53" s="21" t="s">
        <v>95</v>
      </c>
      <c r="J53" s="21"/>
      <c r="K53" s="21"/>
      <c r="L53" s="21"/>
      <c r="M53" s="15" t="s">
        <v>38</v>
      </c>
      <c r="N53" s="19">
        <v>2.0</v>
      </c>
      <c r="O53" s="21" t="s">
        <v>39</v>
      </c>
      <c r="P53" s="15" t="s">
        <v>40</v>
      </c>
      <c r="Q53" s="13" t="s">
        <v>41</v>
      </c>
      <c r="R53" s="13" t="s">
        <v>54</v>
      </c>
      <c r="S53" s="13" t="s">
        <v>55</v>
      </c>
      <c r="T53" s="21"/>
    </row>
    <row r="54" ht="56.25" customHeight="1">
      <c r="A54" s="21" t="s">
        <v>444</v>
      </c>
      <c r="B54" s="15" t="str">
        <f>image("https://i.imgur.com/HVfmxlZ.png")</f>
        <v/>
      </c>
      <c r="C54" s="22" t="str">
        <f>HYPERLINK("https://imgur.com/a/hoDMtH0","Yes")</f>
        <v>Yes</v>
      </c>
      <c r="D54" s="15"/>
      <c r="E54" s="19"/>
      <c r="F54" s="24" t="s">
        <v>51</v>
      </c>
      <c r="G54" s="13">
        <v>300.0</v>
      </c>
      <c r="H54" s="19">
        <v>3594.0</v>
      </c>
      <c r="I54" s="21" t="s">
        <v>212</v>
      </c>
      <c r="J54" s="21" t="s">
        <v>36</v>
      </c>
      <c r="K54" s="21"/>
      <c r="L54" s="21"/>
      <c r="M54" s="15" t="s">
        <v>130</v>
      </c>
      <c r="N54" s="19">
        <v>1.0</v>
      </c>
      <c r="O54" s="21" t="s">
        <v>39</v>
      </c>
      <c r="P54" s="15" t="s">
        <v>40</v>
      </c>
      <c r="Q54" s="13" t="s">
        <v>41</v>
      </c>
      <c r="R54" s="13" t="s">
        <v>54</v>
      </c>
      <c r="S54" s="13" t="s">
        <v>220</v>
      </c>
      <c r="T54" s="21"/>
    </row>
    <row r="55" ht="56.25" customHeight="1">
      <c r="A55" s="21" t="s">
        <v>452</v>
      </c>
      <c r="B55" s="15" t="str">
        <f>image("https://i.imgur.com/ntHyesV.png")</f>
        <v/>
      </c>
      <c r="C55" s="22" t="str">
        <f>HYPERLINK("https://imgur.com/a/ohSgH67","Yes")</f>
        <v>Yes</v>
      </c>
      <c r="D55" s="15"/>
      <c r="E55" s="19"/>
      <c r="F55" s="24" t="s">
        <v>51</v>
      </c>
      <c r="G55" s="13">
        <v>300.0</v>
      </c>
      <c r="H55" s="19">
        <v>3593.0</v>
      </c>
      <c r="I55" s="21" t="s">
        <v>212</v>
      </c>
      <c r="J55" s="21" t="s">
        <v>36</v>
      </c>
      <c r="K55" s="21"/>
      <c r="L55" s="21"/>
      <c r="M55" s="15" t="s">
        <v>106</v>
      </c>
      <c r="N55" s="19">
        <v>1.0</v>
      </c>
      <c r="O55" s="21" t="s">
        <v>39</v>
      </c>
      <c r="P55" s="15" t="s">
        <v>53</v>
      </c>
      <c r="Q55" s="13" t="s">
        <v>164</v>
      </c>
      <c r="R55" s="13" t="s">
        <v>54</v>
      </c>
      <c r="S55" s="13" t="s">
        <v>220</v>
      </c>
      <c r="T55" s="21"/>
    </row>
    <row r="56" ht="56.25" customHeight="1">
      <c r="A56" s="21" t="s">
        <v>458</v>
      </c>
      <c r="B56" s="15" t="str">
        <f>image("https://i.imgur.com/G3R3YVm.png")</f>
        <v/>
      </c>
      <c r="C56" s="22" t="str">
        <f>HYPERLINK("https://imgur.com/a/vjYx6LV","Yes")</f>
        <v>Yes</v>
      </c>
      <c r="D56" s="15" t="s">
        <v>50</v>
      </c>
      <c r="E56" s="19" t="s">
        <v>50</v>
      </c>
      <c r="F56" s="24" t="s">
        <v>51</v>
      </c>
      <c r="G56" s="13">
        <v>2880.0</v>
      </c>
      <c r="H56" s="19">
        <v>6831.0</v>
      </c>
      <c r="I56" s="21" t="s">
        <v>161</v>
      </c>
      <c r="J56" s="21"/>
      <c r="K56" s="21"/>
      <c r="L56" s="21"/>
      <c r="M56" s="15" t="s">
        <v>38</v>
      </c>
      <c r="N56" s="19">
        <v>4.0</v>
      </c>
      <c r="O56" s="21" t="s">
        <v>39</v>
      </c>
      <c r="P56" s="15" t="s">
        <v>53</v>
      </c>
      <c r="Q56" s="13" t="s">
        <v>186</v>
      </c>
      <c r="R56" s="13" t="s">
        <v>54</v>
      </c>
      <c r="S56" s="13" t="s">
        <v>55</v>
      </c>
      <c r="T56" s="21" t="s">
        <v>282</v>
      </c>
    </row>
    <row r="57" ht="56.25" customHeight="1">
      <c r="A57" s="21" t="s">
        <v>465</v>
      </c>
      <c r="B57" s="15" t="str">
        <f>image("https://i.imgur.com/zGomVfR.png")</f>
        <v/>
      </c>
      <c r="C57" s="22" t="str">
        <f>HYPERLINK("https://imgur.com/a/TSC3Vus","Yes")</f>
        <v>Yes</v>
      </c>
      <c r="D57" s="15" t="s">
        <v>28</v>
      </c>
      <c r="E57" s="19" t="s">
        <v>28</v>
      </c>
      <c r="F57" s="13">
        <v>6100.0</v>
      </c>
      <c r="G57" s="13">
        <v>1525.0</v>
      </c>
      <c r="H57" s="19">
        <v>7150.0</v>
      </c>
      <c r="I57" s="21" t="s">
        <v>156</v>
      </c>
      <c r="J57" s="21"/>
      <c r="K57" s="21"/>
      <c r="L57" s="21"/>
      <c r="M57" s="15" t="s">
        <v>106</v>
      </c>
      <c r="N57" s="19">
        <v>3.0</v>
      </c>
      <c r="O57" s="21" t="s">
        <v>39</v>
      </c>
      <c r="P57" s="15" t="s">
        <v>53</v>
      </c>
      <c r="Q57" s="13" t="s">
        <v>41</v>
      </c>
      <c r="R57" s="13" t="s">
        <v>43</v>
      </c>
      <c r="S57" s="13" t="s">
        <v>44</v>
      </c>
      <c r="T57" s="21" t="s">
        <v>65</v>
      </c>
    </row>
    <row r="58" ht="56.25" customHeight="1">
      <c r="A58" s="21" t="s">
        <v>473</v>
      </c>
      <c r="B58" s="15" t="str">
        <f>image("https://i.imgur.com/eYmqrpD.png")</f>
        <v/>
      </c>
      <c r="C58" s="22" t="str">
        <f>HYPERLINK("https://imgur.com/a/oCNwW8X","No")</f>
        <v>No</v>
      </c>
      <c r="D58" s="36" t="s">
        <v>53</v>
      </c>
      <c r="E58" s="36" t="s">
        <v>40</v>
      </c>
      <c r="F58" s="24" t="s">
        <v>51</v>
      </c>
      <c r="G58" s="13">
        <v>1230.0</v>
      </c>
      <c r="H58" s="19">
        <v>1430.0</v>
      </c>
      <c r="I58" s="21" t="s">
        <v>338</v>
      </c>
      <c r="J58" s="21"/>
      <c r="K58" s="21"/>
      <c r="L58" s="21"/>
      <c r="M58" s="15" t="s">
        <v>106</v>
      </c>
      <c r="N58" s="19"/>
      <c r="O58" s="21" t="s">
        <v>39</v>
      </c>
      <c r="P58" s="15" t="s">
        <v>53</v>
      </c>
      <c r="Q58" s="13" t="s">
        <v>164</v>
      </c>
      <c r="R58" s="13" t="s">
        <v>54</v>
      </c>
      <c r="S58" s="13" t="s">
        <v>55</v>
      </c>
      <c r="T58" s="21"/>
    </row>
    <row r="59" ht="56.25" customHeight="1">
      <c r="A59" s="21" t="s">
        <v>475</v>
      </c>
      <c r="B59" s="15" t="str">
        <f>image("https://i.imgur.com/9UqWUdu.png")</f>
        <v/>
      </c>
      <c r="C59" s="22" t="str">
        <f>HYPERLINK("https://imgur.com/a/J5POqAP","No")</f>
        <v>No</v>
      </c>
      <c r="D59" s="36" t="s">
        <v>53</v>
      </c>
      <c r="E59" s="36" t="s">
        <v>40</v>
      </c>
      <c r="F59" s="24" t="s">
        <v>51</v>
      </c>
      <c r="G59" s="13">
        <v>8460.0</v>
      </c>
      <c r="H59" s="19">
        <v>3580.0</v>
      </c>
      <c r="I59" s="21" t="s">
        <v>161</v>
      </c>
      <c r="J59" s="21" t="s">
        <v>95</v>
      </c>
      <c r="K59" s="21"/>
      <c r="L59" s="21"/>
      <c r="M59" s="15" t="s">
        <v>130</v>
      </c>
      <c r="N59" s="19"/>
      <c r="O59" s="21" t="s">
        <v>39</v>
      </c>
      <c r="P59" s="15" t="s">
        <v>40</v>
      </c>
      <c r="Q59" s="13" t="s">
        <v>41</v>
      </c>
      <c r="R59" s="13" t="s">
        <v>54</v>
      </c>
      <c r="S59" s="13" t="s">
        <v>55</v>
      </c>
      <c r="T59" s="21"/>
    </row>
    <row r="60" ht="56.25" customHeight="1">
      <c r="A60" s="21" t="s">
        <v>480</v>
      </c>
      <c r="B60" s="15" t="str">
        <f>image("https://i.imgur.com/h0S4Imb.png")</f>
        <v/>
      </c>
      <c r="C60" s="22" t="str">
        <f>HYPERLINK("https://imgur.com/a/VIgOgNa","Yes")</f>
        <v>Yes</v>
      </c>
      <c r="D60" s="36" t="s">
        <v>40</v>
      </c>
      <c r="E60" s="36" t="s">
        <v>40</v>
      </c>
      <c r="F60" s="13">
        <v>2700.0</v>
      </c>
      <c r="G60" s="13">
        <v>675.0</v>
      </c>
      <c r="H60" s="19">
        <v>1853.0</v>
      </c>
      <c r="I60" s="21" t="s">
        <v>37</v>
      </c>
      <c r="J60" s="21" t="s">
        <v>90</v>
      </c>
      <c r="K60" s="21"/>
      <c r="L60" s="21" t="s">
        <v>484</v>
      </c>
      <c r="M60" s="15" t="s">
        <v>38</v>
      </c>
      <c r="N60" s="19">
        <v>1.0</v>
      </c>
      <c r="O60" s="21" t="s">
        <v>39</v>
      </c>
      <c r="P60" s="15" t="s">
        <v>53</v>
      </c>
      <c r="Q60" s="13" t="s">
        <v>41</v>
      </c>
      <c r="R60" s="13" t="s">
        <v>43</v>
      </c>
      <c r="S60" s="13" t="s">
        <v>44</v>
      </c>
      <c r="T60" s="21" t="s">
        <v>68</v>
      </c>
    </row>
    <row r="61" ht="56.25" customHeight="1">
      <c r="A61" s="21" t="s">
        <v>486</v>
      </c>
      <c r="B61" s="15" t="str">
        <f>image("https://i.imgur.com/FHSMTLI.png")</f>
        <v/>
      </c>
      <c r="C61" s="22" t="str">
        <f>HYPERLINK("https://imgur.com/a/FIz2oQg","Yes")</f>
        <v>Yes</v>
      </c>
      <c r="D61" s="36" t="s">
        <v>40</v>
      </c>
      <c r="E61" s="36" t="s">
        <v>40</v>
      </c>
      <c r="F61" s="13">
        <v>2700.0</v>
      </c>
      <c r="G61" s="13">
        <v>675.0</v>
      </c>
      <c r="H61" s="19">
        <v>1852.0</v>
      </c>
      <c r="I61" s="21" t="s">
        <v>37</v>
      </c>
      <c r="J61" s="21" t="s">
        <v>90</v>
      </c>
      <c r="K61" s="21"/>
      <c r="L61" s="21" t="s">
        <v>484</v>
      </c>
      <c r="M61" s="15" t="s">
        <v>38</v>
      </c>
      <c r="N61" s="19">
        <v>1.0</v>
      </c>
      <c r="O61" s="21" t="s">
        <v>39</v>
      </c>
      <c r="P61" s="15" t="s">
        <v>53</v>
      </c>
      <c r="Q61" s="13" t="s">
        <v>41</v>
      </c>
      <c r="R61" s="13" t="s">
        <v>43</v>
      </c>
      <c r="S61" s="13" t="s">
        <v>44</v>
      </c>
      <c r="T61" s="21" t="s">
        <v>68</v>
      </c>
    </row>
    <row r="62" ht="56.25" customHeight="1">
      <c r="A62" s="21" t="s">
        <v>492</v>
      </c>
      <c r="B62" s="15" t="str">
        <f>image("https://i.imgur.com/eFchcw5.png")</f>
        <v/>
      </c>
      <c r="C62" s="15" t="s">
        <v>40</v>
      </c>
      <c r="D62" s="36" t="s">
        <v>40</v>
      </c>
      <c r="E62" s="36" t="s">
        <v>40</v>
      </c>
      <c r="F62" s="13">
        <v>2700.0</v>
      </c>
      <c r="G62" s="13">
        <v>675.0</v>
      </c>
      <c r="H62" s="19"/>
      <c r="I62" s="21"/>
      <c r="J62" s="21"/>
      <c r="K62" s="21"/>
      <c r="L62" s="21"/>
      <c r="M62" s="15"/>
      <c r="N62" s="19"/>
      <c r="O62" s="21"/>
      <c r="P62" s="15"/>
      <c r="Q62" s="13"/>
      <c r="R62" s="13" t="s">
        <v>496</v>
      </c>
      <c r="S62" s="13" t="s">
        <v>497</v>
      </c>
      <c r="T62" s="21"/>
    </row>
    <row r="63" ht="56.25" customHeight="1">
      <c r="A63" s="21" t="s">
        <v>498</v>
      </c>
      <c r="B63" s="15" t="str">
        <f>image("https://i.imgur.com/XctjddL.png")</f>
        <v/>
      </c>
      <c r="C63" s="22" t="str">
        <f>HYPERLINK("https://imgur.com/a/RYF3bcx","Yes")</f>
        <v>Yes</v>
      </c>
      <c r="D63" s="36" t="s">
        <v>53</v>
      </c>
      <c r="E63" s="36" t="s">
        <v>53</v>
      </c>
      <c r="F63" s="24" t="s">
        <v>51</v>
      </c>
      <c r="G63" s="13">
        <v>3820.0</v>
      </c>
      <c r="H63" s="19">
        <v>1157.0</v>
      </c>
      <c r="I63" s="21" t="s">
        <v>86</v>
      </c>
      <c r="J63" s="21" t="s">
        <v>37</v>
      </c>
      <c r="K63" s="21"/>
      <c r="L63" s="21"/>
      <c r="M63" s="15" t="s">
        <v>506</v>
      </c>
      <c r="N63" s="19">
        <v>6.0</v>
      </c>
      <c r="O63" s="21" t="s">
        <v>39</v>
      </c>
      <c r="P63" s="15" t="s">
        <v>53</v>
      </c>
      <c r="Q63" s="13" t="s">
        <v>41</v>
      </c>
      <c r="R63" s="13" t="s">
        <v>54</v>
      </c>
      <c r="S63" s="13" t="s">
        <v>55</v>
      </c>
      <c r="T63" s="21"/>
    </row>
    <row r="64" ht="56.25" customHeight="1">
      <c r="A64" s="21" t="s">
        <v>509</v>
      </c>
      <c r="B64" s="15" t="str">
        <f>image("https://i.imgur.com/2LMXme2.png")</f>
        <v/>
      </c>
      <c r="C64" s="22" t="str">
        <f>HYPERLINK("https://imgur.com/a/c8z69Fa","Yes")</f>
        <v>Yes</v>
      </c>
      <c r="D64" s="36" t="s">
        <v>53</v>
      </c>
      <c r="E64" s="36" t="s">
        <v>53</v>
      </c>
      <c r="F64" s="24" t="s">
        <v>51</v>
      </c>
      <c r="G64" s="13">
        <v>2800.0</v>
      </c>
      <c r="H64" s="19">
        <v>3776.0</v>
      </c>
      <c r="I64" s="21" t="s">
        <v>95</v>
      </c>
      <c r="J64" s="21"/>
      <c r="K64" s="21"/>
      <c r="L64" s="21"/>
      <c r="M64" s="15" t="s">
        <v>506</v>
      </c>
      <c r="N64" s="19">
        <v>4.0</v>
      </c>
      <c r="O64" s="21" t="s">
        <v>39</v>
      </c>
      <c r="P64" s="15" t="s">
        <v>40</v>
      </c>
      <c r="Q64" s="13" t="s">
        <v>41</v>
      </c>
      <c r="R64" s="13" t="s">
        <v>54</v>
      </c>
      <c r="S64" s="13" t="s">
        <v>516</v>
      </c>
      <c r="T64" s="21"/>
    </row>
    <row r="65" ht="56.25" customHeight="1">
      <c r="A65" s="21" t="s">
        <v>517</v>
      </c>
      <c r="B65" s="15" t="str">
        <f>image("https://i.imgur.com/1fbCQnP.png")</f>
        <v/>
      </c>
      <c r="C65" s="22" t="str">
        <f>HYPERLINK("https://imgur.com/a/5cdMgYF","Yes")</f>
        <v>Yes</v>
      </c>
      <c r="D65" s="36" t="s">
        <v>40</v>
      </c>
      <c r="E65" s="36" t="s">
        <v>40</v>
      </c>
      <c r="F65" s="13">
        <v>5000.0</v>
      </c>
      <c r="G65" s="13">
        <v>1250.0</v>
      </c>
      <c r="H65" s="19">
        <v>8298.0</v>
      </c>
      <c r="I65" s="21" t="s">
        <v>90</v>
      </c>
      <c r="J65" s="21"/>
      <c r="K65" s="21"/>
      <c r="L65" s="21"/>
      <c r="M65" s="15" t="s">
        <v>130</v>
      </c>
      <c r="N65" s="19">
        <v>2.0</v>
      </c>
      <c r="O65" s="21" t="s">
        <v>39</v>
      </c>
      <c r="P65" s="15" t="s">
        <v>53</v>
      </c>
      <c r="Q65" s="13" t="s">
        <v>41</v>
      </c>
      <c r="R65" s="13" t="s">
        <v>43</v>
      </c>
      <c r="S65" s="13" t="s">
        <v>44</v>
      </c>
      <c r="T65" s="21" t="s">
        <v>63</v>
      </c>
    </row>
    <row r="66" ht="56.25" customHeight="1">
      <c r="A66" s="21" t="s">
        <v>524</v>
      </c>
      <c r="B66" s="15" t="str">
        <f>image("https://i.imgur.com/cCiKTCx.png")</f>
        <v/>
      </c>
      <c r="C66" s="15" t="s">
        <v>40</v>
      </c>
      <c r="D66" s="36" t="s">
        <v>53</v>
      </c>
      <c r="E66" s="36" t="s">
        <v>40</v>
      </c>
      <c r="F66" s="24" t="s">
        <v>51</v>
      </c>
      <c r="G66" s="24">
        <v>4800.0</v>
      </c>
      <c r="H66" s="19"/>
      <c r="I66" s="21"/>
      <c r="J66" s="21"/>
      <c r="K66" s="21"/>
      <c r="L66" s="21"/>
      <c r="M66" s="15"/>
      <c r="N66" s="19"/>
      <c r="O66" s="21"/>
      <c r="P66" s="15"/>
      <c r="Q66" s="13"/>
      <c r="R66" s="13" t="s">
        <v>54</v>
      </c>
      <c r="S66" s="13" t="s">
        <v>55</v>
      </c>
      <c r="T66" s="21"/>
    </row>
    <row r="67" ht="56.25" customHeight="1">
      <c r="A67" s="21" t="s">
        <v>529</v>
      </c>
      <c r="B67" s="15" t="str">
        <f>image("https://i.imgur.com/Htd2xRd.png")</f>
        <v/>
      </c>
      <c r="C67" s="15" t="s">
        <v>40</v>
      </c>
      <c r="D67" s="36" t="s">
        <v>53</v>
      </c>
      <c r="E67" s="36" t="s">
        <v>40</v>
      </c>
      <c r="F67" s="24" t="s">
        <v>51</v>
      </c>
      <c r="G67" s="24">
        <v>2400.0</v>
      </c>
      <c r="H67" s="19"/>
      <c r="I67" s="21"/>
      <c r="J67" s="21"/>
      <c r="K67" s="21"/>
      <c r="L67" s="21"/>
      <c r="M67" s="15"/>
      <c r="N67" s="19"/>
      <c r="O67" s="21"/>
      <c r="P67" s="15"/>
      <c r="Q67" s="13"/>
      <c r="R67" s="13" t="s">
        <v>54</v>
      </c>
      <c r="S67" s="13" t="s">
        <v>55</v>
      </c>
      <c r="T67" s="21"/>
    </row>
    <row r="68" ht="56.25" customHeight="1">
      <c r="A68" s="21" t="s">
        <v>537</v>
      </c>
      <c r="B68" s="15" t="str">
        <f>image("https://i.imgur.com/viqApfK.png")</f>
        <v/>
      </c>
      <c r="C68" s="15" t="s">
        <v>40</v>
      </c>
      <c r="D68" s="36" t="s">
        <v>53</v>
      </c>
      <c r="E68" s="36" t="s">
        <v>40</v>
      </c>
      <c r="F68" s="24" t="s">
        <v>51</v>
      </c>
      <c r="G68" s="24">
        <v>1200.0</v>
      </c>
      <c r="H68" s="19"/>
      <c r="I68" s="21"/>
      <c r="J68" s="21"/>
      <c r="K68" s="21"/>
      <c r="L68" s="21"/>
      <c r="M68" s="15"/>
      <c r="N68" s="19"/>
      <c r="O68" s="21"/>
      <c r="P68" s="15"/>
      <c r="Q68" s="13"/>
      <c r="R68" s="13" t="s">
        <v>54</v>
      </c>
      <c r="S68" s="13" t="s">
        <v>55</v>
      </c>
      <c r="T68" s="21"/>
    </row>
    <row r="69" ht="56.25" customHeight="1">
      <c r="A69" s="21" t="s">
        <v>543</v>
      </c>
      <c r="B69" s="15" t="str">
        <f>image("https://i.imgur.com/PeEOUjp.png")</f>
        <v/>
      </c>
      <c r="C69" s="15" t="s">
        <v>40</v>
      </c>
      <c r="D69" s="36" t="s">
        <v>53</v>
      </c>
      <c r="E69" s="36" t="s">
        <v>40</v>
      </c>
      <c r="F69" s="24" t="s">
        <v>51</v>
      </c>
      <c r="G69" s="24">
        <v>1200.0</v>
      </c>
      <c r="H69" s="19"/>
      <c r="I69" s="21"/>
      <c r="J69" s="21"/>
      <c r="K69" s="21"/>
      <c r="L69" s="21"/>
      <c r="M69" s="15"/>
      <c r="N69" s="19"/>
      <c r="O69" s="21"/>
      <c r="P69" s="15"/>
      <c r="Q69" s="13"/>
      <c r="R69" s="13" t="s">
        <v>54</v>
      </c>
      <c r="S69" s="13" t="s">
        <v>55</v>
      </c>
      <c r="T69" s="21"/>
    </row>
    <row r="70" ht="56.25" customHeight="1">
      <c r="A70" s="21" t="s">
        <v>552</v>
      </c>
      <c r="B70" s="15" t="str">
        <f>image("https://i.imgur.com/E5i3soo.png")</f>
        <v/>
      </c>
      <c r="C70" s="15" t="s">
        <v>40</v>
      </c>
      <c r="D70" s="36" t="s">
        <v>53</v>
      </c>
      <c r="E70" s="36" t="s">
        <v>40</v>
      </c>
      <c r="F70" s="24" t="s">
        <v>51</v>
      </c>
      <c r="G70" s="24">
        <v>1200.0</v>
      </c>
      <c r="H70" s="19"/>
      <c r="I70" s="21"/>
      <c r="J70" s="21"/>
      <c r="K70" s="21"/>
      <c r="L70" s="21"/>
      <c r="M70" s="15"/>
      <c r="N70" s="19"/>
      <c r="O70" s="21"/>
      <c r="P70" s="15"/>
      <c r="Q70" s="13"/>
      <c r="R70" s="13" t="s">
        <v>54</v>
      </c>
      <c r="S70" s="13" t="s">
        <v>55</v>
      </c>
      <c r="T70" s="21"/>
    </row>
    <row r="71" ht="56.25" customHeight="1">
      <c r="A71" s="21" t="s">
        <v>560</v>
      </c>
      <c r="B71" s="15" t="str">
        <f>image("https://i.imgur.com/cKQB61O.png")</f>
        <v/>
      </c>
      <c r="C71" s="15" t="s">
        <v>40</v>
      </c>
      <c r="D71" s="36" t="s">
        <v>53</v>
      </c>
      <c r="E71" s="36" t="s">
        <v>40</v>
      </c>
      <c r="F71" s="24" t="s">
        <v>51</v>
      </c>
      <c r="G71" s="24">
        <v>1600.0</v>
      </c>
      <c r="H71" s="19"/>
      <c r="I71" s="21"/>
      <c r="J71" s="21"/>
      <c r="K71" s="21"/>
      <c r="L71" s="21"/>
      <c r="M71" s="15"/>
      <c r="N71" s="19"/>
      <c r="O71" s="21"/>
      <c r="P71" s="15"/>
      <c r="Q71" s="13"/>
      <c r="R71" s="13" t="s">
        <v>54</v>
      </c>
      <c r="S71" s="13" t="s">
        <v>55</v>
      </c>
      <c r="T71" s="21"/>
    </row>
    <row r="72" ht="56.25" customHeight="1">
      <c r="A72" s="21" t="s">
        <v>568</v>
      </c>
      <c r="B72" s="15" t="str">
        <f>image("https://i.imgur.com/q35VHu0.png")</f>
        <v/>
      </c>
      <c r="C72" s="15" t="s">
        <v>40</v>
      </c>
      <c r="D72" s="36" t="s">
        <v>53</v>
      </c>
      <c r="E72" s="36" t="s">
        <v>40</v>
      </c>
      <c r="F72" s="24" t="s">
        <v>51</v>
      </c>
      <c r="G72" s="24">
        <v>1600.0</v>
      </c>
      <c r="H72" s="19"/>
      <c r="I72" s="21"/>
      <c r="J72" s="21"/>
      <c r="K72" s="21"/>
      <c r="L72" s="21"/>
      <c r="M72" s="15"/>
      <c r="N72" s="19"/>
      <c r="O72" s="21"/>
      <c r="P72" s="15"/>
      <c r="Q72" s="13"/>
      <c r="R72" s="13" t="s">
        <v>54</v>
      </c>
      <c r="S72" s="13" t="s">
        <v>55</v>
      </c>
      <c r="T72" s="21"/>
    </row>
    <row r="73" ht="56.25" customHeight="1">
      <c r="A73" s="21" t="s">
        <v>572</v>
      </c>
      <c r="B73" s="15" t="str">
        <f>image("https://i.imgur.com/x3doarH.png")</f>
        <v/>
      </c>
      <c r="C73" s="15" t="s">
        <v>40</v>
      </c>
      <c r="D73" s="36" t="s">
        <v>53</v>
      </c>
      <c r="E73" s="36" t="s">
        <v>40</v>
      </c>
      <c r="F73" s="24" t="s">
        <v>51</v>
      </c>
      <c r="G73" s="24">
        <v>1600.0</v>
      </c>
      <c r="H73" s="19"/>
      <c r="I73" s="21"/>
      <c r="J73" s="21"/>
      <c r="K73" s="21"/>
      <c r="L73" s="21"/>
      <c r="M73" s="15"/>
      <c r="N73" s="19"/>
      <c r="O73" s="21"/>
      <c r="P73" s="15"/>
      <c r="Q73" s="13"/>
      <c r="R73" s="13" t="s">
        <v>54</v>
      </c>
      <c r="S73" s="13" t="s">
        <v>55</v>
      </c>
      <c r="T73" s="21"/>
    </row>
    <row r="74" ht="56.25" customHeight="1">
      <c r="A74" s="21" t="s">
        <v>577</v>
      </c>
      <c r="B74" s="15" t="str">
        <f>image("https://i.imgur.com/rfC2bwr.png")</f>
        <v/>
      </c>
      <c r="C74" s="22" t="str">
        <f>HYPERLINK("https://imgur.com/a/cws5wgn","Yes")</f>
        <v>Yes</v>
      </c>
      <c r="D74" s="15" t="s">
        <v>50</v>
      </c>
      <c r="E74" s="19" t="s">
        <v>50</v>
      </c>
      <c r="F74" s="37" t="s">
        <v>51</v>
      </c>
      <c r="G74" s="23">
        <v>1980.0</v>
      </c>
      <c r="H74" s="19">
        <v>7805.0</v>
      </c>
      <c r="I74" s="21" t="s">
        <v>90</v>
      </c>
      <c r="J74" s="21" t="s">
        <v>95</v>
      </c>
      <c r="K74" s="21"/>
      <c r="L74" s="21"/>
      <c r="M74" s="15" t="s">
        <v>38</v>
      </c>
      <c r="N74" s="19">
        <v>3.0</v>
      </c>
      <c r="O74" s="21" t="s">
        <v>39</v>
      </c>
      <c r="P74" s="15" t="s">
        <v>40</v>
      </c>
      <c r="Q74" s="13" t="s">
        <v>41</v>
      </c>
      <c r="R74" s="13" t="s">
        <v>54</v>
      </c>
      <c r="S74" s="13" t="s">
        <v>55</v>
      </c>
      <c r="T74" s="21"/>
    </row>
    <row r="75" ht="56.25" customHeight="1">
      <c r="A75" s="21" t="s">
        <v>587</v>
      </c>
      <c r="B75" s="15" t="str">
        <f>image("https://i.imgur.com/C23pe0X.png")</f>
        <v/>
      </c>
      <c r="C75" s="22" t="str">
        <f>HYPERLINK("https://imgur.com/a/TUefiPo","No")</f>
        <v>No</v>
      </c>
      <c r="D75" s="36" t="s">
        <v>40</v>
      </c>
      <c r="E75" s="36" t="s">
        <v>40</v>
      </c>
      <c r="F75" s="13">
        <v>2300.0</v>
      </c>
      <c r="G75" s="13">
        <v>575.0</v>
      </c>
      <c r="H75" s="19">
        <v>1277.0</v>
      </c>
      <c r="I75" s="21" t="s">
        <v>60</v>
      </c>
      <c r="J75" s="21"/>
      <c r="K75" s="21"/>
      <c r="L75" s="21"/>
      <c r="M75" s="15" t="s">
        <v>38</v>
      </c>
      <c r="N75" s="19"/>
      <c r="O75" s="21" t="s">
        <v>39</v>
      </c>
      <c r="P75" s="15" t="s">
        <v>40</v>
      </c>
      <c r="Q75" s="13" t="s">
        <v>41</v>
      </c>
      <c r="R75" s="13" t="s">
        <v>43</v>
      </c>
      <c r="S75" s="13" t="s">
        <v>44</v>
      </c>
      <c r="T75" s="21" t="s">
        <v>68</v>
      </c>
    </row>
    <row r="76" ht="56.25" customHeight="1">
      <c r="A76" s="21" t="s">
        <v>592</v>
      </c>
      <c r="B76" s="15" t="str">
        <f>image("https://i.imgur.com/0SLP9Eq.png")</f>
        <v/>
      </c>
      <c r="C76" s="22" t="str">
        <f>HYPERLINK("https://imgur.com/a/STWHScS","No")</f>
        <v>No</v>
      </c>
      <c r="D76" s="36" t="s">
        <v>53</v>
      </c>
      <c r="E76" s="36" t="s">
        <v>40</v>
      </c>
      <c r="F76" s="24" t="s">
        <v>51</v>
      </c>
      <c r="G76" s="13">
        <v>30.0</v>
      </c>
      <c r="H76" s="19">
        <v>1429.0</v>
      </c>
      <c r="I76" s="21" t="s">
        <v>338</v>
      </c>
      <c r="J76" s="21"/>
      <c r="K76" s="21"/>
      <c r="L76" s="21"/>
      <c r="M76" s="15" t="s">
        <v>38</v>
      </c>
      <c r="N76" s="19"/>
      <c r="O76" s="21" t="s">
        <v>39</v>
      </c>
      <c r="P76" s="15" t="s">
        <v>53</v>
      </c>
      <c r="Q76" s="13" t="s">
        <v>164</v>
      </c>
      <c r="R76" s="13" t="s">
        <v>54</v>
      </c>
      <c r="S76" s="13" t="s">
        <v>55</v>
      </c>
      <c r="T76" s="21"/>
    </row>
    <row r="77" ht="56.25" customHeight="1">
      <c r="A77" s="21" t="s">
        <v>598</v>
      </c>
      <c r="B77" s="15" t="str">
        <f>image("https://i.imgur.com/Bca2Gng.png")</f>
        <v/>
      </c>
      <c r="C77" s="22" t="str">
        <f>HYPERLINK("https://imgur.com/a/R4K2WPn","No")</f>
        <v>No</v>
      </c>
      <c r="D77" s="36" t="s">
        <v>40</v>
      </c>
      <c r="E77" s="36" t="s">
        <v>40</v>
      </c>
      <c r="F77" s="13">
        <v>900.0</v>
      </c>
      <c r="G77" s="13">
        <v>225.0</v>
      </c>
      <c r="H77" s="19">
        <v>1433.0</v>
      </c>
      <c r="I77" s="21" t="s">
        <v>338</v>
      </c>
      <c r="J77" s="21"/>
      <c r="K77" s="21"/>
      <c r="L77" s="21"/>
      <c r="M77" s="15" t="s">
        <v>38</v>
      </c>
      <c r="N77" s="19"/>
      <c r="O77" s="21" t="s">
        <v>39</v>
      </c>
      <c r="P77" s="15" t="s">
        <v>53</v>
      </c>
      <c r="Q77" s="13" t="s">
        <v>164</v>
      </c>
      <c r="R77" s="13" t="s">
        <v>43</v>
      </c>
      <c r="S77" s="13" t="s">
        <v>44</v>
      </c>
      <c r="T77" s="21" t="s">
        <v>202</v>
      </c>
    </row>
    <row r="78" ht="56.25" customHeight="1">
      <c r="A78" s="21" t="s">
        <v>602</v>
      </c>
      <c r="B78" s="15" t="str">
        <f>image("https://i.imgur.com/EjPiKuP.png")</f>
        <v/>
      </c>
      <c r="C78" s="22" t="str">
        <f>HYPERLINK("https://imgur.com/a/IIs37S0","Yes")</f>
        <v>Yes</v>
      </c>
      <c r="D78" s="36" t="s">
        <v>40</v>
      </c>
      <c r="E78" s="36" t="s">
        <v>40</v>
      </c>
      <c r="F78" s="13">
        <v>1800.0</v>
      </c>
      <c r="G78" s="13">
        <v>450.0</v>
      </c>
      <c r="H78" s="19">
        <v>4081.0</v>
      </c>
      <c r="I78" s="21" t="s">
        <v>338</v>
      </c>
      <c r="J78" s="21"/>
      <c r="K78" s="21"/>
      <c r="L78" s="21"/>
      <c r="M78" s="15" t="s">
        <v>130</v>
      </c>
      <c r="N78" s="19">
        <v>1.0</v>
      </c>
      <c r="O78" s="21" t="s">
        <v>39</v>
      </c>
      <c r="P78" s="15" t="s">
        <v>53</v>
      </c>
      <c r="Q78" s="13" t="s">
        <v>41</v>
      </c>
      <c r="R78" s="13" t="s">
        <v>43</v>
      </c>
      <c r="S78" s="13" t="s">
        <v>608</v>
      </c>
      <c r="T78" s="21"/>
    </row>
    <row r="79" ht="56.25" customHeight="1">
      <c r="A79" s="21" t="s">
        <v>609</v>
      </c>
      <c r="B79" s="15" t="str">
        <f>image("https://i.imgur.com/qbAfTJR.png")</f>
        <v/>
      </c>
      <c r="C79" s="15" t="s">
        <v>40</v>
      </c>
      <c r="D79" s="36" t="s">
        <v>40</v>
      </c>
      <c r="E79" s="36" t="s">
        <v>40</v>
      </c>
      <c r="F79" s="13">
        <v>2500.0</v>
      </c>
      <c r="G79" s="13">
        <v>625.0</v>
      </c>
      <c r="H79" s="19"/>
      <c r="I79" s="21"/>
      <c r="J79" s="21"/>
      <c r="K79" s="21"/>
      <c r="L79" s="21"/>
      <c r="M79" s="15"/>
      <c r="N79" s="19"/>
      <c r="O79" s="21"/>
      <c r="P79" s="15"/>
      <c r="Q79" s="13"/>
      <c r="R79" s="13" t="s">
        <v>496</v>
      </c>
      <c r="S79" s="13" t="s">
        <v>497</v>
      </c>
      <c r="T79" s="21"/>
    </row>
    <row r="80" ht="56.25" customHeight="1">
      <c r="A80" s="21" t="s">
        <v>613</v>
      </c>
      <c r="B80" s="15" t="str">
        <f>image("https://i.imgur.com/4fzR35L.png")</f>
        <v/>
      </c>
      <c r="C80" s="22" t="str">
        <f>HYPERLINK("https://imgur.com/a/DUMGvll","No")</f>
        <v>No</v>
      </c>
      <c r="D80" s="36" t="s">
        <v>53</v>
      </c>
      <c r="E80" s="36" t="s">
        <v>40</v>
      </c>
      <c r="F80" s="24" t="s">
        <v>51</v>
      </c>
      <c r="G80" s="13">
        <v>21975.0</v>
      </c>
      <c r="H80" s="19">
        <v>5959.0</v>
      </c>
      <c r="I80" s="21" t="s">
        <v>62</v>
      </c>
      <c r="J80" s="21"/>
      <c r="K80" s="21"/>
      <c r="L80" s="21"/>
      <c r="M80" s="15" t="s">
        <v>38</v>
      </c>
      <c r="N80" s="19"/>
      <c r="O80" s="21" t="s">
        <v>39</v>
      </c>
      <c r="P80" s="15" t="s">
        <v>40</v>
      </c>
      <c r="Q80" s="13" t="s">
        <v>41</v>
      </c>
      <c r="R80" s="13" t="s">
        <v>54</v>
      </c>
      <c r="S80" s="13" t="s">
        <v>55</v>
      </c>
      <c r="T80" s="21"/>
    </row>
    <row r="81" ht="56.25" customHeight="1">
      <c r="A81" s="21" t="s">
        <v>619</v>
      </c>
      <c r="B81" s="15" t="str">
        <f>image("https://i.imgur.com/tqBjDE7.png")</f>
        <v/>
      </c>
      <c r="C81" s="22" t="str">
        <f>HYPERLINK("https://imgur.com/a/dyqSaNI","Yes")</f>
        <v>Yes</v>
      </c>
      <c r="D81" s="36" t="s">
        <v>40</v>
      </c>
      <c r="E81" s="36" t="s">
        <v>40</v>
      </c>
      <c r="F81" s="13">
        <v>2800.0</v>
      </c>
      <c r="G81" s="13">
        <v>700.0</v>
      </c>
      <c r="H81" s="19">
        <v>7392.0</v>
      </c>
      <c r="I81" s="21" t="s">
        <v>37</v>
      </c>
      <c r="J81" s="21" t="s">
        <v>90</v>
      </c>
      <c r="K81" s="21"/>
      <c r="L81" s="21"/>
      <c r="M81" s="15" t="s">
        <v>38</v>
      </c>
      <c r="N81" s="19">
        <v>1.0</v>
      </c>
      <c r="O81" s="21" t="s">
        <v>39</v>
      </c>
      <c r="P81" s="15" t="s">
        <v>53</v>
      </c>
      <c r="Q81" s="13" t="s">
        <v>41</v>
      </c>
      <c r="R81" s="13" t="s">
        <v>43</v>
      </c>
      <c r="S81" s="13" t="s">
        <v>44</v>
      </c>
      <c r="T81" s="21" t="s">
        <v>63</v>
      </c>
    </row>
    <row r="82" ht="56.25" customHeight="1">
      <c r="A82" s="21" t="s">
        <v>626</v>
      </c>
      <c r="B82" s="15" t="str">
        <f>image("https://i.imgur.com/DBu0gqQ.png")</f>
        <v/>
      </c>
      <c r="C82" s="22" t="str">
        <f>HYPERLINK("https://imgur.com/a/u28MNgh","No")</f>
        <v>No</v>
      </c>
      <c r="D82" s="36" t="s">
        <v>53</v>
      </c>
      <c r="E82" s="36" t="s">
        <v>40</v>
      </c>
      <c r="F82" s="24" t="s">
        <v>51</v>
      </c>
      <c r="G82" s="13">
        <v>22650.0</v>
      </c>
      <c r="H82" s="19">
        <v>5957.0</v>
      </c>
      <c r="I82" s="21" t="s">
        <v>62</v>
      </c>
      <c r="J82" s="21"/>
      <c r="K82" s="21"/>
      <c r="L82" s="21"/>
      <c r="M82" s="15" t="s">
        <v>130</v>
      </c>
      <c r="N82" s="19"/>
      <c r="O82" s="21" t="s">
        <v>39</v>
      </c>
      <c r="P82" s="15" t="s">
        <v>53</v>
      </c>
      <c r="Q82" s="13" t="s">
        <v>41</v>
      </c>
      <c r="R82" s="13" t="s">
        <v>54</v>
      </c>
      <c r="S82" s="13" t="s">
        <v>55</v>
      </c>
      <c r="T82" s="21"/>
    </row>
    <row r="83" ht="56.25" customHeight="1">
      <c r="A83" s="21" t="s">
        <v>631</v>
      </c>
      <c r="B83" s="15" t="str">
        <f>image("https://i.imgur.com/zRVnajU.png")</f>
        <v/>
      </c>
      <c r="C83" s="22" t="str">
        <f>HYPERLINK("https://imgur.com/a/NFknFji","Yes")</f>
        <v>Yes</v>
      </c>
      <c r="D83" s="36" t="s">
        <v>53</v>
      </c>
      <c r="E83" s="36" t="s">
        <v>53</v>
      </c>
      <c r="F83" s="24" t="s">
        <v>51</v>
      </c>
      <c r="G83" s="13">
        <v>240.0</v>
      </c>
      <c r="H83" s="19">
        <v>7161.0</v>
      </c>
      <c r="I83" s="21" t="s">
        <v>243</v>
      </c>
      <c r="J83" s="21"/>
      <c r="K83" s="21"/>
      <c r="L83" s="21"/>
      <c r="M83" s="15" t="s">
        <v>130</v>
      </c>
      <c r="N83" s="19">
        <v>1.0</v>
      </c>
      <c r="O83" s="21" t="s">
        <v>39</v>
      </c>
      <c r="P83" s="15" t="s">
        <v>53</v>
      </c>
      <c r="Q83" s="13" t="s">
        <v>41</v>
      </c>
      <c r="R83" s="13" t="s">
        <v>54</v>
      </c>
      <c r="S83" s="13" t="s">
        <v>55</v>
      </c>
      <c r="T83" s="21"/>
    </row>
    <row r="84" ht="56.25" customHeight="1">
      <c r="A84" s="21" t="s">
        <v>638</v>
      </c>
      <c r="B84" s="15" t="str">
        <f>image("https://i.imgur.com/NAHmS7I.png")</f>
        <v/>
      </c>
      <c r="C84" s="22" t="str">
        <f>HYPERLINK("https://imgur.com/a/HdrDlE8","Yes")</f>
        <v>Yes</v>
      </c>
      <c r="D84" s="36" t="s">
        <v>53</v>
      </c>
      <c r="E84" s="36" t="s">
        <v>53</v>
      </c>
      <c r="F84" s="24" t="s">
        <v>51</v>
      </c>
      <c r="G84" s="13">
        <v>60.0</v>
      </c>
      <c r="H84" s="19">
        <v>7163.0</v>
      </c>
      <c r="I84" s="21" t="s">
        <v>243</v>
      </c>
      <c r="J84" s="21"/>
      <c r="K84" s="21"/>
      <c r="L84" s="21"/>
      <c r="M84" s="15" t="s">
        <v>38</v>
      </c>
      <c r="N84" s="19">
        <v>1.0</v>
      </c>
      <c r="O84" s="21" t="s">
        <v>39</v>
      </c>
      <c r="P84" s="15" t="s">
        <v>53</v>
      </c>
      <c r="Q84" s="13" t="s">
        <v>41</v>
      </c>
      <c r="R84" s="13" t="s">
        <v>54</v>
      </c>
      <c r="S84" s="13" t="s">
        <v>55</v>
      </c>
      <c r="T84" s="21"/>
    </row>
    <row r="85" ht="56.25" customHeight="1">
      <c r="A85" s="21" t="s">
        <v>642</v>
      </c>
      <c r="B85" s="15" t="str">
        <f>image("https://i.imgur.com/f4tFWAX.png")</f>
        <v/>
      </c>
      <c r="C85" s="22" t="str">
        <f>HYPERLINK("https://imgur.com/a/2Gy3M0B","Yes")</f>
        <v>Yes</v>
      </c>
      <c r="D85" s="36" t="s">
        <v>53</v>
      </c>
      <c r="E85" s="36" t="s">
        <v>53</v>
      </c>
      <c r="F85" s="24" t="s">
        <v>51</v>
      </c>
      <c r="G85" s="13">
        <v>120.0</v>
      </c>
      <c r="H85" s="19">
        <v>7159.0</v>
      </c>
      <c r="I85" s="21" t="s">
        <v>243</v>
      </c>
      <c r="J85" s="21"/>
      <c r="K85" s="21"/>
      <c r="L85" s="21"/>
      <c r="M85" s="15" t="s">
        <v>130</v>
      </c>
      <c r="N85" s="19">
        <v>1.0</v>
      </c>
      <c r="O85" s="21" t="s">
        <v>39</v>
      </c>
      <c r="P85" s="15" t="s">
        <v>53</v>
      </c>
      <c r="Q85" s="13" t="s">
        <v>41</v>
      </c>
      <c r="R85" s="13" t="s">
        <v>54</v>
      </c>
      <c r="S85" s="13" t="s">
        <v>55</v>
      </c>
      <c r="T85" s="21"/>
    </row>
    <row r="86" ht="56.25" customHeight="1">
      <c r="A86" s="21" t="s">
        <v>647</v>
      </c>
      <c r="B86" s="15" t="str">
        <f>image("https://i.imgur.com/pNNI1qJ.png")</f>
        <v/>
      </c>
      <c r="C86" s="22" t="str">
        <f>HYPERLINK("https://imgur.com/a/I6O9Tcy","Yes")</f>
        <v>Yes</v>
      </c>
      <c r="D86" s="36" t="s">
        <v>53</v>
      </c>
      <c r="E86" s="36" t="s">
        <v>53</v>
      </c>
      <c r="F86" s="24" t="s">
        <v>51</v>
      </c>
      <c r="G86" s="13">
        <v>240.0</v>
      </c>
      <c r="H86" s="19">
        <v>7160.0</v>
      </c>
      <c r="I86" s="21" t="s">
        <v>243</v>
      </c>
      <c r="J86" s="21"/>
      <c r="K86" s="21"/>
      <c r="L86" s="21"/>
      <c r="M86" s="15" t="s">
        <v>106</v>
      </c>
      <c r="N86" s="19">
        <v>1.0</v>
      </c>
      <c r="O86" s="21" t="s">
        <v>39</v>
      </c>
      <c r="P86" s="15" t="s">
        <v>40</v>
      </c>
      <c r="Q86" s="13" t="s">
        <v>41</v>
      </c>
      <c r="R86" s="13" t="s">
        <v>54</v>
      </c>
      <c r="S86" s="13" t="s">
        <v>55</v>
      </c>
      <c r="T86" s="21"/>
    </row>
    <row r="87" ht="56.25" customHeight="1">
      <c r="A87" s="21" t="s">
        <v>652</v>
      </c>
      <c r="B87" s="15" t="str">
        <f>image("https://i.imgur.com/7vIdUeM.png")</f>
        <v/>
      </c>
      <c r="C87" s="22" t="str">
        <f>HYPERLINK("https://imgur.com/a/iTPELcm","Yes")</f>
        <v>Yes</v>
      </c>
      <c r="D87" s="36" t="s">
        <v>40</v>
      </c>
      <c r="E87" s="36" t="s">
        <v>40</v>
      </c>
      <c r="F87" s="13">
        <v>3000.0</v>
      </c>
      <c r="G87" s="13">
        <v>750.0</v>
      </c>
      <c r="H87" s="19">
        <v>896.0</v>
      </c>
      <c r="I87" s="21" t="s">
        <v>60</v>
      </c>
      <c r="J87" s="21"/>
      <c r="K87" s="21"/>
      <c r="L87" s="21"/>
      <c r="M87" s="15" t="s">
        <v>38</v>
      </c>
      <c r="N87" s="19">
        <v>1.0</v>
      </c>
      <c r="O87" s="21" t="s">
        <v>39</v>
      </c>
      <c r="P87" s="15" t="s">
        <v>53</v>
      </c>
      <c r="Q87" s="13" t="s">
        <v>41</v>
      </c>
      <c r="R87" s="13" t="s">
        <v>43</v>
      </c>
      <c r="S87" s="13" t="s">
        <v>44</v>
      </c>
      <c r="T87" s="21" t="s">
        <v>63</v>
      </c>
    </row>
    <row r="88" ht="56.25" customHeight="1">
      <c r="A88" s="21" t="s">
        <v>656</v>
      </c>
      <c r="B88" s="15" t="str">
        <f>image("https://i.imgur.com/ZdgLeK8.png")</f>
        <v/>
      </c>
      <c r="C88" s="22" t="str">
        <f>HYPERLINK("https://imgur.com/a/rt8usHh","Yes")</f>
        <v>Yes</v>
      </c>
      <c r="D88" s="36" t="s">
        <v>40</v>
      </c>
      <c r="E88" s="36" t="s">
        <v>40</v>
      </c>
      <c r="F88" s="13">
        <v>130000.0</v>
      </c>
      <c r="G88" s="13">
        <v>32500.0</v>
      </c>
      <c r="H88" s="19">
        <v>1449.0</v>
      </c>
      <c r="I88" s="21" t="s">
        <v>52</v>
      </c>
      <c r="J88" s="21" t="s">
        <v>62</v>
      </c>
      <c r="K88" s="21"/>
      <c r="L88" s="21"/>
      <c r="M88" s="15" t="s">
        <v>38</v>
      </c>
      <c r="N88" s="19">
        <v>7.0</v>
      </c>
      <c r="O88" s="21" t="s">
        <v>39</v>
      </c>
      <c r="P88" s="15" t="s">
        <v>53</v>
      </c>
      <c r="Q88" s="13" t="s">
        <v>41</v>
      </c>
      <c r="R88" s="13" t="s">
        <v>43</v>
      </c>
      <c r="S88" s="13" t="s">
        <v>44</v>
      </c>
      <c r="T88" s="21" t="s">
        <v>65</v>
      </c>
    </row>
    <row r="89" ht="56.25" customHeight="1">
      <c r="A89" s="21" t="s">
        <v>662</v>
      </c>
      <c r="B89" s="15" t="str">
        <f>image("https://i.imgur.com/1WrnfB5.png")</f>
        <v/>
      </c>
      <c r="C89" s="22" t="str">
        <f>HYPERLINK("https://imgur.com/a/ATV7bTJ","Yes")</f>
        <v>Yes</v>
      </c>
      <c r="D89" s="36" t="s">
        <v>40</v>
      </c>
      <c r="E89" s="36" t="s">
        <v>40</v>
      </c>
      <c r="F89" s="13">
        <v>2600.0</v>
      </c>
      <c r="G89" s="13">
        <v>650.0</v>
      </c>
      <c r="H89" s="19">
        <v>2012.0</v>
      </c>
      <c r="I89" s="21" t="s">
        <v>80</v>
      </c>
      <c r="J89" s="21"/>
      <c r="K89" s="21"/>
      <c r="L89" s="21"/>
      <c r="M89" s="15" t="s">
        <v>130</v>
      </c>
      <c r="N89" s="19">
        <v>1.0</v>
      </c>
      <c r="O89" s="21" t="s">
        <v>39</v>
      </c>
      <c r="P89" s="15" t="s">
        <v>40</v>
      </c>
      <c r="Q89" s="13" t="s">
        <v>41</v>
      </c>
      <c r="R89" s="13" t="s">
        <v>43</v>
      </c>
      <c r="S89" s="13" t="s">
        <v>44</v>
      </c>
      <c r="T89" s="21" t="s">
        <v>68</v>
      </c>
    </row>
    <row r="90" ht="56.25" customHeight="1">
      <c r="A90" s="21" t="s">
        <v>665</v>
      </c>
      <c r="B90" s="15" t="str">
        <f>image("https://i.imgur.com/BUb3ueK.png")</f>
        <v/>
      </c>
      <c r="C90" s="22" t="str">
        <f>HYPERLINK("https://imgur.com/a/tG3TKyt","Yes")</f>
        <v>Yes</v>
      </c>
      <c r="D90" s="36" t="s">
        <v>40</v>
      </c>
      <c r="E90" s="36" t="s">
        <v>40</v>
      </c>
      <c r="F90" s="13">
        <v>3900.0</v>
      </c>
      <c r="G90" s="13">
        <v>975.0</v>
      </c>
      <c r="H90" s="19">
        <v>7264.0</v>
      </c>
      <c r="I90" s="21" t="s">
        <v>80</v>
      </c>
      <c r="J90" s="21"/>
      <c r="K90" s="21"/>
      <c r="L90" s="21"/>
      <c r="M90" s="15" t="s">
        <v>38</v>
      </c>
      <c r="N90" s="19">
        <v>2.0</v>
      </c>
      <c r="O90" s="21" t="s">
        <v>39</v>
      </c>
      <c r="P90" s="15" t="s">
        <v>40</v>
      </c>
      <c r="Q90" s="13" t="s">
        <v>41</v>
      </c>
      <c r="R90" s="13" t="s">
        <v>43</v>
      </c>
      <c r="S90" s="13" t="s">
        <v>44</v>
      </c>
      <c r="T90" s="21" t="s">
        <v>68</v>
      </c>
    </row>
    <row r="91" ht="56.25" customHeight="1">
      <c r="A91" s="21" t="s">
        <v>670</v>
      </c>
      <c r="B91" s="15" t="str">
        <f>image("https://i.imgur.com/07KgsTa.png")</f>
        <v/>
      </c>
      <c r="C91" s="22" t="str">
        <f>HYPERLINK("https://imgur.com/a/mxxSMFw","Yes")</f>
        <v>Yes</v>
      </c>
      <c r="D91" s="36" t="s">
        <v>40</v>
      </c>
      <c r="E91" s="36" t="s">
        <v>40</v>
      </c>
      <c r="F91" s="13">
        <v>3700.0</v>
      </c>
      <c r="G91" s="13">
        <v>925.0</v>
      </c>
      <c r="H91" s="19">
        <v>1816.0</v>
      </c>
      <c r="I91" s="21" t="s">
        <v>37</v>
      </c>
      <c r="J91" s="21" t="s">
        <v>90</v>
      </c>
      <c r="K91" s="21"/>
      <c r="L91" s="21"/>
      <c r="M91" s="15" t="s">
        <v>38</v>
      </c>
      <c r="N91" s="19">
        <v>2.0</v>
      </c>
      <c r="O91" s="21" t="s">
        <v>39</v>
      </c>
      <c r="P91" s="15" t="s">
        <v>53</v>
      </c>
      <c r="Q91" s="13" t="s">
        <v>41</v>
      </c>
      <c r="R91" s="13" t="s">
        <v>43</v>
      </c>
      <c r="S91" s="13" t="s">
        <v>44</v>
      </c>
      <c r="T91" s="21" t="s">
        <v>68</v>
      </c>
    </row>
    <row r="92" ht="56.25" customHeight="1">
      <c r="A92" s="21" t="s">
        <v>677</v>
      </c>
      <c r="B92" s="15" t="str">
        <f>image("https://i.imgur.com/IUxpAZW.png")</f>
        <v/>
      </c>
      <c r="C92" s="22" t="str">
        <f>HYPERLINK("https://imgur.com/a/ChNrQrP","No")</f>
        <v>No</v>
      </c>
      <c r="D92" s="36" t="s">
        <v>53</v>
      </c>
      <c r="E92" s="36" t="s">
        <v>40</v>
      </c>
      <c r="F92" s="24" t="s">
        <v>51</v>
      </c>
      <c r="G92" s="13">
        <v>4240.0</v>
      </c>
      <c r="H92" s="19">
        <v>6031.0</v>
      </c>
      <c r="I92" s="21" t="s">
        <v>161</v>
      </c>
      <c r="J92" s="21" t="s">
        <v>36</v>
      </c>
      <c r="K92" s="21"/>
      <c r="L92" s="21"/>
      <c r="M92" s="15" t="s">
        <v>506</v>
      </c>
      <c r="N92" s="19"/>
      <c r="O92" s="21" t="s">
        <v>39</v>
      </c>
      <c r="P92" s="15" t="s">
        <v>53</v>
      </c>
      <c r="Q92" s="13" t="s">
        <v>41</v>
      </c>
      <c r="R92" s="13" t="s">
        <v>54</v>
      </c>
      <c r="S92" s="13" t="s">
        <v>55</v>
      </c>
      <c r="T92" s="21" t="s">
        <v>282</v>
      </c>
    </row>
    <row r="93" ht="56.25" customHeight="1">
      <c r="A93" s="21" t="s">
        <v>682</v>
      </c>
      <c r="B93" s="15" t="str">
        <f>image("https://i.imgur.com/cL1qfjJ.png")</f>
        <v/>
      </c>
      <c r="C93" s="22" t="str">
        <f>HYPERLINK("https://imgur.com/a/3bLlvZ1","No")</f>
        <v>No</v>
      </c>
      <c r="D93" s="36" t="s">
        <v>53</v>
      </c>
      <c r="E93" s="36" t="s">
        <v>40</v>
      </c>
      <c r="F93" s="24" t="s">
        <v>51</v>
      </c>
      <c r="G93" s="13">
        <v>2700.0</v>
      </c>
      <c r="H93" s="19">
        <v>7409.0</v>
      </c>
      <c r="I93" s="21" t="s">
        <v>161</v>
      </c>
      <c r="J93" s="21" t="s">
        <v>95</v>
      </c>
      <c r="K93" s="21"/>
      <c r="L93" s="21"/>
      <c r="M93" s="15" t="s">
        <v>130</v>
      </c>
      <c r="N93" s="19"/>
      <c r="O93" s="21" t="s">
        <v>39</v>
      </c>
      <c r="P93" s="15" t="s">
        <v>40</v>
      </c>
      <c r="Q93" s="13" t="s">
        <v>41</v>
      </c>
      <c r="R93" s="13" t="s">
        <v>54</v>
      </c>
      <c r="S93" s="13" t="s">
        <v>55</v>
      </c>
      <c r="T93" s="21" t="s">
        <v>282</v>
      </c>
    </row>
    <row r="94" ht="56.25" customHeight="1">
      <c r="A94" s="21" t="s">
        <v>685</v>
      </c>
      <c r="B94" s="15" t="str">
        <f>image("https://i.imgur.com/Ynxfr0Y.png")</f>
        <v/>
      </c>
      <c r="C94" s="22" t="str">
        <f>HYPERLINK("https://imgur.com/a/2vocXbx","Yes")</f>
        <v>Yes</v>
      </c>
      <c r="D94" s="36" t="s">
        <v>53</v>
      </c>
      <c r="E94" s="36" t="s">
        <v>40</v>
      </c>
      <c r="F94" s="24" t="s">
        <v>51</v>
      </c>
      <c r="G94" s="13">
        <v>2000.0</v>
      </c>
      <c r="H94" s="19">
        <v>6032.0</v>
      </c>
      <c r="I94" s="21" t="s">
        <v>161</v>
      </c>
      <c r="J94" s="21" t="s">
        <v>36</v>
      </c>
      <c r="K94" s="21"/>
      <c r="L94" s="21"/>
      <c r="M94" s="15" t="s">
        <v>38</v>
      </c>
      <c r="N94" s="19"/>
      <c r="O94" s="21" t="s">
        <v>39</v>
      </c>
      <c r="P94" s="15" t="s">
        <v>53</v>
      </c>
      <c r="Q94" s="13" t="s">
        <v>41</v>
      </c>
      <c r="R94" s="13" t="s">
        <v>54</v>
      </c>
      <c r="S94" s="13" t="s">
        <v>55</v>
      </c>
      <c r="T94" s="21" t="s">
        <v>282</v>
      </c>
    </row>
    <row r="95" ht="56.25" customHeight="1">
      <c r="A95" s="21" t="s">
        <v>688</v>
      </c>
      <c r="B95" s="15" t="str">
        <f>image("https://i.imgur.com/nxCRJbH.png")</f>
        <v/>
      </c>
      <c r="C95" s="22" t="str">
        <f>HYPERLINK("https://imgur.com/a/86s3yHw","Yes")</f>
        <v>Yes</v>
      </c>
      <c r="D95" s="36" t="s">
        <v>53</v>
      </c>
      <c r="E95" s="36" t="s">
        <v>53</v>
      </c>
      <c r="F95" s="24" t="s">
        <v>51</v>
      </c>
      <c r="G95" s="13">
        <v>960.0</v>
      </c>
      <c r="H95" s="19">
        <v>80.0</v>
      </c>
      <c r="I95" s="21" t="s">
        <v>113</v>
      </c>
      <c r="J95" s="21"/>
      <c r="K95" s="21"/>
      <c r="L95" s="21"/>
      <c r="M95" s="15" t="s">
        <v>38</v>
      </c>
      <c r="N95" s="19">
        <v>2.0</v>
      </c>
      <c r="O95" s="21" t="s">
        <v>39</v>
      </c>
      <c r="P95" s="15" t="s">
        <v>40</v>
      </c>
      <c r="Q95" s="13" t="s">
        <v>41</v>
      </c>
      <c r="R95" s="13" t="s">
        <v>54</v>
      </c>
      <c r="S95" s="13" t="s">
        <v>55</v>
      </c>
      <c r="T95" s="21"/>
    </row>
    <row r="96" ht="56.25" customHeight="1">
      <c r="A96" s="21" t="s">
        <v>692</v>
      </c>
      <c r="B96" s="15" t="str">
        <f>image("https://i.imgur.com/ZhuEgeS.png")</f>
        <v/>
      </c>
      <c r="C96" s="22" t="str">
        <f>HYPERLINK("https://imgur.com/a/lAPG4OW","Yes")</f>
        <v>Yes</v>
      </c>
      <c r="D96" s="36" t="s">
        <v>40</v>
      </c>
      <c r="E96" s="36" t="s">
        <v>40</v>
      </c>
      <c r="F96" s="13">
        <v>63000.0</v>
      </c>
      <c r="G96" s="13">
        <v>15750.0</v>
      </c>
      <c r="H96" s="19">
        <v>1757.0</v>
      </c>
      <c r="I96" s="21" t="s">
        <v>183</v>
      </c>
      <c r="J96" s="21" t="s">
        <v>62</v>
      </c>
      <c r="K96" s="21"/>
      <c r="L96" s="21"/>
      <c r="M96" s="15" t="s">
        <v>130</v>
      </c>
      <c r="N96" s="19">
        <v>7.0</v>
      </c>
      <c r="O96" s="21" t="s">
        <v>39</v>
      </c>
      <c r="P96" s="15" t="s">
        <v>40</v>
      </c>
      <c r="Q96" s="13" t="s">
        <v>41</v>
      </c>
      <c r="R96" s="13" t="s">
        <v>43</v>
      </c>
      <c r="S96" s="13" t="s">
        <v>44</v>
      </c>
      <c r="T96" s="21" t="s">
        <v>65</v>
      </c>
    </row>
    <row r="97" ht="56.25" customHeight="1">
      <c r="A97" s="21" t="s">
        <v>697</v>
      </c>
      <c r="B97" s="15" t="str">
        <f>image("https://i.imgur.com/iFORYno.png")</f>
        <v/>
      </c>
      <c r="C97" s="22" t="str">
        <f>HYPERLINK("https://imgur.com/a/S7DZzJP","No")</f>
        <v>No</v>
      </c>
      <c r="D97" s="36" t="s">
        <v>40</v>
      </c>
      <c r="E97" s="36" t="s">
        <v>40</v>
      </c>
      <c r="F97" s="13">
        <v>3300.0</v>
      </c>
      <c r="G97" s="13">
        <v>825.0</v>
      </c>
      <c r="H97" s="19">
        <v>717.0</v>
      </c>
      <c r="I97" s="21" t="s">
        <v>86</v>
      </c>
      <c r="J97" s="21" t="s">
        <v>161</v>
      </c>
      <c r="K97" s="21"/>
      <c r="L97" s="21"/>
      <c r="M97" s="15" t="s">
        <v>130</v>
      </c>
      <c r="N97" s="19"/>
      <c r="O97" s="21" t="s">
        <v>39</v>
      </c>
      <c r="P97" s="15" t="s">
        <v>53</v>
      </c>
      <c r="Q97" s="13" t="s">
        <v>41</v>
      </c>
      <c r="R97" s="13" t="s">
        <v>43</v>
      </c>
      <c r="S97" s="13" t="s">
        <v>44</v>
      </c>
      <c r="T97" s="21" t="s">
        <v>63</v>
      </c>
    </row>
    <row r="98" ht="56.25" customHeight="1">
      <c r="A98" s="21" t="s">
        <v>702</v>
      </c>
      <c r="B98" s="15" t="str">
        <f>image("https://i.imgur.com/Uimq11U.png")</f>
        <v/>
      </c>
      <c r="C98" s="22" t="str">
        <f>HYPERLINK("https://imgur.com/a/h2cRCJP","Yes")</f>
        <v>Yes</v>
      </c>
      <c r="D98" s="36" t="s">
        <v>40</v>
      </c>
      <c r="E98" s="36" t="s">
        <v>40</v>
      </c>
      <c r="F98" s="13">
        <v>4300.0</v>
      </c>
      <c r="G98" s="13">
        <v>1075.0</v>
      </c>
      <c r="H98" s="19">
        <v>4006.0</v>
      </c>
      <c r="I98" s="21" t="s">
        <v>156</v>
      </c>
      <c r="J98" s="21"/>
      <c r="K98" s="21"/>
      <c r="L98" s="21"/>
      <c r="M98" s="15" t="s">
        <v>332</v>
      </c>
      <c r="N98" s="19">
        <v>2.0</v>
      </c>
      <c r="O98" s="21" t="s">
        <v>39</v>
      </c>
      <c r="P98" s="15" t="s">
        <v>40</v>
      </c>
      <c r="Q98" s="13" t="s">
        <v>41</v>
      </c>
      <c r="R98" s="13" t="s">
        <v>43</v>
      </c>
      <c r="S98" s="13" t="s">
        <v>44</v>
      </c>
      <c r="T98" s="21" t="s">
        <v>68</v>
      </c>
    </row>
    <row r="99" ht="56.25" customHeight="1">
      <c r="A99" s="21" t="s">
        <v>708</v>
      </c>
      <c r="B99" s="15" t="str">
        <f>image("https://i.imgur.com/CNPvji3.png")</f>
        <v/>
      </c>
      <c r="C99" s="22" t="str">
        <f>HYPERLINK("https://imgur.com/a/CSVEuc0","Yes")</f>
        <v>Yes</v>
      </c>
      <c r="D99" s="36" t="s">
        <v>40</v>
      </c>
      <c r="E99" s="36" t="s">
        <v>40</v>
      </c>
      <c r="F99" s="13">
        <v>3100.0</v>
      </c>
      <c r="G99" s="13">
        <v>775.0</v>
      </c>
      <c r="H99" s="19">
        <v>9502.0</v>
      </c>
      <c r="I99" s="21" t="s">
        <v>60</v>
      </c>
      <c r="J99" s="21"/>
      <c r="K99" s="21"/>
      <c r="L99" s="21"/>
      <c r="M99" s="15" t="s">
        <v>38</v>
      </c>
      <c r="N99" s="19">
        <v>2.0</v>
      </c>
      <c r="O99" s="21" t="s">
        <v>39</v>
      </c>
      <c r="P99" s="15" t="s">
        <v>53</v>
      </c>
      <c r="Q99" s="13" t="s">
        <v>41</v>
      </c>
      <c r="R99" s="13" t="s">
        <v>43</v>
      </c>
      <c r="S99" s="13" t="s">
        <v>44</v>
      </c>
      <c r="T99" s="21" t="s">
        <v>63</v>
      </c>
    </row>
    <row r="100" ht="56.25" customHeight="1">
      <c r="A100" s="21" t="s">
        <v>712</v>
      </c>
      <c r="B100" s="15" t="str">
        <f>image("https://i.imgur.com/YBKw55M.png")</f>
        <v/>
      </c>
      <c r="C100" s="22" t="str">
        <f>HYPERLINK("https://imgur.com/a/MqMTPYc","Yes")</f>
        <v>Yes</v>
      </c>
      <c r="D100" s="36" t="s">
        <v>53</v>
      </c>
      <c r="E100" s="36" t="s">
        <v>53</v>
      </c>
      <c r="F100" s="24" t="s">
        <v>51</v>
      </c>
      <c r="G100" s="13">
        <v>100.0</v>
      </c>
      <c r="H100" s="19">
        <v>3229.0</v>
      </c>
      <c r="I100" s="21" t="s">
        <v>95</v>
      </c>
      <c r="J100" s="21"/>
      <c r="K100" s="21"/>
      <c r="L100" s="21"/>
      <c r="M100" s="15" t="s">
        <v>332</v>
      </c>
      <c r="N100" s="19">
        <v>2.0</v>
      </c>
      <c r="O100" s="21" t="s">
        <v>39</v>
      </c>
      <c r="P100" s="15" t="s">
        <v>40</v>
      </c>
      <c r="Q100" s="13" t="s">
        <v>41</v>
      </c>
      <c r="R100" s="13" t="s">
        <v>54</v>
      </c>
      <c r="S100" s="13" t="s">
        <v>55</v>
      </c>
      <c r="T100" s="21"/>
    </row>
    <row r="101" ht="56.25" customHeight="1">
      <c r="A101" s="21" t="s">
        <v>717</v>
      </c>
      <c r="B101" s="15" t="str">
        <f>image("https://i.imgur.com/JNiAWme.png")</f>
        <v/>
      </c>
      <c r="C101" s="22" t="str">
        <f>HYPERLINK("https://imgur.com/a/wBKlCn6","Yes")</f>
        <v>Yes</v>
      </c>
      <c r="D101" s="36" t="s">
        <v>40</v>
      </c>
      <c r="E101" s="36" t="s">
        <v>53</v>
      </c>
      <c r="F101" s="13">
        <v>1100.0</v>
      </c>
      <c r="G101" s="13">
        <v>275.0</v>
      </c>
      <c r="H101" s="19">
        <v>1778.0</v>
      </c>
      <c r="I101" s="21" t="s">
        <v>95</v>
      </c>
      <c r="J101" s="21" t="s">
        <v>183</v>
      </c>
      <c r="K101" s="21"/>
      <c r="L101" s="21"/>
      <c r="M101" s="15" t="s">
        <v>332</v>
      </c>
      <c r="N101" s="19">
        <v>1.0</v>
      </c>
      <c r="O101" s="21" t="s">
        <v>39</v>
      </c>
      <c r="P101" s="15" t="s">
        <v>40</v>
      </c>
      <c r="Q101" s="13" t="s">
        <v>41</v>
      </c>
      <c r="R101" s="13" t="s">
        <v>43</v>
      </c>
      <c r="S101" s="13" t="s">
        <v>44</v>
      </c>
      <c r="T101" s="21" t="s">
        <v>63</v>
      </c>
    </row>
    <row r="102" ht="56.25" customHeight="1">
      <c r="A102" s="21" t="s">
        <v>724</v>
      </c>
      <c r="B102" s="15" t="str">
        <f>image("https://i.imgur.com/13iK82O.png")</f>
        <v/>
      </c>
      <c r="C102" s="22" t="str">
        <f>HYPERLINK("https://imgur.com/a/AY9Hdd0","Yes")</f>
        <v>Yes</v>
      </c>
      <c r="D102" s="36" t="s">
        <v>40</v>
      </c>
      <c r="E102" s="36" t="s">
        <v>40</v>
      </c>
      <c r="F102" s="13">
        <v>2900.0</v>
      </c>
      <c r="G102" s="13">
        <v>725.0</v>
      </c>
      <c r="H102" s="19">
        <v>1112.0</v>
      </c>
      <c r="I102" s="21" t="s">
        <v>212</v>
      </c>
      <c r="J102" s="21"/>
      <c r="K102" s="21"/>
      <c r="L102" s="21"/>
      <c r="M102" s="15" t="s">
        <v>130</v>
      </c>
      <c r="N102" s="19">
        <v>1.0</v>
      </c>
      <c r="O102" s="21" t="s">
        <v>39</v>
      </c>
      <c r="P102" s="15" t="s">
        <v>53</v>
      </c>
      <c r="Q102" s="13" t="s">
        <v>41</v>
      </c>
      <c r="R102" s="13" t="s">
        <v>43</v>
      </c>
      <c r="S102" s="13" t="s">
        <v>44</v>
      </c>
      <c r="T102" s="21" t="s">
        <v>68</v>
      </c>
    </row>
    <row r="103" ht="56.25" customHeight="1">
      <c r="A103" s="21" t="s">
        <v>730</v>
      </c>
      <c r="B103" s="15" t="str">
        <f>image("https://i.imgur.com/aKXR1B1.png")</f>
        <v/>
      </c>
      <c r="C103" s="22" t="str">
        <f>HYPERLINK("https://imgur.com/a/SBRIwsm","Yes")</f>
        <v>Yes</v>
      </c>
      <c r="D103" s="36" t="s">
        <v>40</v>
      </c>
      <c r="E103" s="36" t="s">
        <v>40</v>
      </c>
      <c r="F103" s="13">
        <v>630.0</v>
      </c>
      <c r="G103" s="24">
        <v>157.0</v>
      </c>
      <c r="H103" s="19">
        <v>146.0</v>
      </c>
      <c r="I103" s="21" t="s">
        <v>90</v>
      </c>
      <c r="J103" s="21" t="s">
        <v>243</v>
      </c>
      <c r="K103" s="21"/>
      <c r="L103" s="21"/>
      <c r="M103" s="15" t="s">
        <v>38</v>
      </c>
      <c r="N103" s="19">
        <v>1.0</v>
      </c>
      <c r="O103" s="21" t="s">
        <v>39</v>
      </c>
      <c r="P103" s="15" t="s">
        <v>40</v>
      </c>
      <c r="Q103" s="13" t="s">
        <v>41</v>
      </c>
      <c r="R103" s="13" t="s">
        <v>43</v>
      </c>
      <c r="S103" s="13" t="s">
        <v>44</v>
      </c>
      <c r="T103" s="21" t="s">
        <v>63</v>
      </c>
    </row>
    <row r="104" ht="56.25" customHeight="1">
      <c r="A104" s="21" t="s">
        <v>737</v>
      </c>
      <c r="B104" s="15" t="str">
        <f>image("https://i.imgur.com/mH5ab4l.png")</f>
        <v/>
      </c>
      <c r="C104" s="22" t="str">
        <f>HYPERLINK("https://imgur.com/a/B6VcXud","Yes")</f>
        <v>Yes</v>
      </c>
      <c r="D104" s="36" t="s">
        <v>40</v>
      </c>
      <c r="E104" s="36" t="s">
        <v>40</v>
      </c>
      <c r="F104" s="24" t="s">
        <v>51</v>
      </c>
      <c r="G104" s="13">
        <v>5000.0</v>
      </c>
      <c r="H104" s="19">
        <v>9568.0</v>
      </c>
      <c r="I104" s="21" t="s">
        <v>243</v>
      </c>
      <c r="J104" s="21" t="s">
        <v>90</v>
      </c>
      <c r="K104" s="21"/>
      <c r="L104" s="21"/>
      <c r="M104" s="15" t="s">
        <v>38</v>
      </c>
      <c r="N104" s="19">
        <v>7.0</v>
      </c>
      <c r="O104" s="21" t="s">
        <v>39</v>
      </c>
      <c r="P104" s="15" t="s">
        <v>40</v>
      </c>
      <c r="Q104" s="13" t="s">
        <v>41</v>
      </c>
      <c r="R104" s="13" t="s">
        <v>54</v>
      </c>
      <c r="S104" s="13" t="s">
        <v>516</v>
      </c>
      <c r="T104" s="21"/>
    </row>
    <row r="105" ht="56.25" customHeight="1">
      <c r="A105" s="21" t="s">
        <v>742</v>
      </c>
      <c r="B105" s="15" t="str">
        <f>image("https://i.imgur.com/ZUw1iQm.png")</f>
        <v/>
      </c>
      <c r="C105" s="22" t="str">
        <f>HYPERLINK("https://imgur.com/a/G13zomH","Yes")</f>
        <v>Yes</v>
      </c>
      <c r="D105" s="36" t="s">
        <v>53</v>
      </c>
      <c r="E105" s="36" t="s">
        <v>53</v>
      </c>
      <c r="F105" s="24" t="s">
        <v>51</v>
      </c>
      <c r="G105" s="13">
        <v>3050.0</v>
      </c>
      <c r="H105" s="19">
        <v>7230.0</v>
      </c>
      <c r="I105" s="21" t="s">
        <v>183</v>
      </c>
      <c r="J105" s="21" t="s">
        <v>36</v>
      </c>
      <c r="K105" s="21"/>
      <c r="L105" s="21"/>
      <c r="M105" s="15" t="s">
        <v>38</v>
      </c>
      <c r="N105" s="19">
        <v>5.0</v>
      </c>
      <c r="O105" s="21" t="s">
        <v>39</v>
      </c>
      <c r="P105" s="15" t="s">
        <v>53</v>
      </c>
      <c r="Q105" s="13" t="s">
        <v>41</v>
      </c>
      <c r="R105" s="13" t="s">
        <v>54</v>
      </c>
      <c r="S105" s="13" t="s">
        <v>55</v>
      </c>
      <c r="T105" s="21"/>
    </row>
    <row r="106" ht="56.25" customHeight="1">
      <c r="A106" s="21" t="s">
        <v>752</v>
      </c>
      <c r="B106" s="15" t="str">
        <f>image("https://i.imgur.com/mf91OHr.png")</f>
        <v/>
      </c>
      <c r="C106" s="22" t="str">
        <f>HYPERLINK("https://imgur.com/a/pQlvhrv","Yes")</f>
        <v>Yes</v>
      </c>
      <c r="D106" s="36" t="s">
        <v>40</v>
      </c>
      <c r="E106" s="36" t="s">
        <v>40</v>
      </c>
      <c r="F106" s="24" t="s">
        <v>51</v>
      </c>
      <c r="G106" s="13">
        <v>15000.0</v>
      </c>
      <c r="H106" s="19">
        <v>4412.0</v>
      </c>
      <c r="I106" s="21" t="s">
        <v>36</v>
      </c>
      <c r="J106" s="21" t="s">
        <v>212</v>
      </c>
      <c r="K106" s="21"/>
      <c r="L106" s="21"/>
      <c r="M106" s="15" t="s">
        <v>130</v>
      </c>
      <c r="N106" s="19">
        <v>7.0</v>
      </c>
      <c r="O106" s="21" t="s">
        <v>39</v>
      </c>
      <c r="P106" s="15" t="s">
        <v>53</v>
      </c>
      <c r="Q106" s="13" t="s">
        <v>41</v>
      </c>
      <c r="R106" s="13" t="s">
        <v>54</v>
      </c>
      <c r="S106" s="13" t="s">
        <v>516</v>
      </c>
      <c r="T106" s="21"/>
    </row>
    <row r="107" ht="56.25" customHeight="1">
      <c r="A107" s="21" t="s">
        <v>756</v>
      </c>
      <c r="B107" s="15" t="str">
        <f>image("https://i.imgur.com/2ZbLq3F.png")</f>
        <v/>
      </c>
      <c r="C107" s="22" t="str">
        <f>HYPERLINK("https://imgur.com/a/WfKGiVs","Yes")</f>
        <v>Yes</v>
      </c>
      <c r="D107" s="36" t="s">
        <v>53</v>
      </c>
      <c r="E107" s="36" t="s">
        <v>53</v>
      </c>
      <c r="F107" s="24" t="s">
        <v>51</v>
      </c>
      <c r="G107" s="13">
        <v>8500.0</v>
      </c>
      <c r="H107" s="19">
        <v>6829.0</v>
      </c>
      <c r="I107" s="21" t="s">
        <v>269</v>
      </c>
      <c r="J107" s="21" t="s">
        <v>36</v>
      </c>
      <c r="K107" s="21"/>
      <c r="L107" s="21"/>
      <c r="M107" s="15" t="s">
        <v>130</v>
      </c>
      <c r="N107" s="19">
        <v>7.0</v>
      </c>
      <c r="O107" s="21" t="s">
        <v>39</v>
      </c>
      <c r="P107" s="15" t="s">
        <v>53</v>
      </c>
      <c r="Q107" s="13" t="s">
        <v>186</v>
      </c>
      <c r="R107" s="13" t="s">
        <v>54</v>
      </c>
      <c r="S107" s="13" t="s">
        <v>55</v>
      </c>
      <c r="T107" s="21"/>
    </row>
    <row r="108" ht="56.25" customHeight="1">
      <c r="A108" s="21" t="s">
        <v>760</v>
      </c>
      <c r="B108" s="15" t="str">
        <f>image("https://i.imgur.com/Wf285tn.png")</f>
        <v/>
      </c>
      <c r="C108" s="22" t="str">
        <f>HYPERLINK("https://imgur.com/a/ZlLEbfC","No")</f>
        <v>No</v>
      </c>
      <c r="D108" s="36" t="s">
        <v>53</v>
      </c>
      <c r="E108" s="36" t="s">
        <v>40</v>
      </c>
      <c r="F108" s="24" t="s">
        <v>51</v>
      </c>
      <c r="G108" s="13">
        <v>20000.0</v>
      </c>
      <c r="H108" s="19">
        <v>5676.0</v>
      </c>
      <c r="I108" s="21" t="s">
        <v>269</v>
      </c>
      <c r="J108" s="21"/>
      <c r="K108" s="21"/>
      <c r="L108" s="21"/>
      <c r="M108" s="15" t="s">
        <v>106</v>
      </c>
      <c r="N108" s="19"/>
      <c r="O108" s="21" t="s">
        <v>39</v>
      </c>
      <c r="P108" s="15" t="s">
        <v>53</v>
      </c>
      <c r="Q108" s="13" t="s">
        <v>41</v>
      </c>
      <c r="R108" s="13" t="s">
        <v>54</v>
      </c>
      <c r="S108" s="13" t="s">
        <v>55</v>
      </c>
      <c r="T108" s="21"/>
    </row>
    <row r="109" ht="56.25" customHeight="1">
      <c r="A109" s="21" t="s">
        <v>767</v>
      </c>
      <c r="B109" s="15" t="str">
        <f>image("https://i.imgur.com/GvJsvAB.png")</f>
        <v/>
      </c>
      <c r="C109" s="22" t="str">
        <f>HYPERLINK("https://imgur.com/a/51tfPzA","Yes")</f>
        <v>Yes</v>
      </c>
      <c r="D109" s="36" t="s">
        <v>40</v>
      </c>
      <c r="E109" s="36" t="s">
        <v>40</v>
      </c>
      <c r="F109" s="13">
        <v>12000.0</v>
      </c>
      <c r="G109" s="13">
        <v>3000.0</v>
      </c>
      <c r="H109" s="19">
        <v>3624.0</v>
      </c>
      <c r="I109" s="21" t="s">
        <v>36</v>
      </c>
      <c r="J109" s="21"/>
      <c r="K109" s="21" t="s">
        <v>384</v>
      </c>
      <c r="L109" s="21"/>
      <c r="M109" s="15" t="s">
        <v>106</v>
      </c>
      <c r="N109" s="19">
        <v>4.0</v>
      </c>
      <c r="O109" s="21" t="s">
        <v>39</v>
      </c>
      <c r="P109" s="15" t="s">
        <v>53</v>
      </c>
      <c r="Q109" s="13" t="s">
        <v>41</v>
      </c>
      <c r="R109" s="13" t="s">
        <v>43</v>
      </c>
      <c r="S109" s="13" t="s">
        <v>44</v>
      </c>
      <c r="T109" s="21" t="s">
        <v>65</v>
      </c>
    </row>
    <row r="110" ht="56.25" customHeight="1">
      <c r="A110" s="21" t="s">
        <v>773</v>
      </c>
      <c r="B110" s="15" t="str">
        <f>image("https://i.imgur.com/aGMNKDh.png")</f>
        <v/>
      </c>
      <c r="C110" s="22" t="str">
        <f>HYPERLINK("https://imgur.com/a/zoIm1JE","Yes")</f>
        <v>Yes</v>
      </c>
      <c r="D110" s="36" t="s">
        <v>40</v>
      </c>
      <c r="E110" s="36" t="s">
        <v>40</v>
      </c>
      <c r="F110" s="13">
        <v>4300.0</v>
      </c>
      <c r="G110" s="13">
        <v>1075.0</v>
      </c>
      <c r="H110" s="19">
        <v>3999.0</v>
      </c>
      <c r="I110" s="21" t="s">
        <v>36</v>
      </c>
      <c r="J110" s="21"/>
      <c r="K110" s="21" t="s">
        <v>384</v>
      </c>
      <c r="L110" s="21"/>
      <c r="M110" s="15" t="s">
        <v>38</v>
      </c>
      <c r="N110" s="19">
        <v>2.0</v>
      </c>
      <c r="O110" s="21" t="s">
        <v>39</v>
      </c>
      <c r="P110" s="15" t="s">
        <v>53</v>
      </c>
      <c r="Q110" s="13" t="s">
        <v>41</v>
      </c>
      <c r="R110" s="13" t="s">
        <v>43</v>
      </c>
      <c r="S110" s="13" t="s">
        <v>44</v>
      </c>
      <c r="T110" s="21" t="s">
        <v>68</v>
      </c>
    </row>
    <row r="111" ht="56.25" customHeight="1">
      <c r="A111" s="21" t="s">
        <v>783</v>
      </c>
      <c r="B111" s="15" t="str">
        <f>image("https://i.imgur.com/AWmv2PI.png")</f>
        <v/>
      </c>
      <c r="C111" s="22" t="str">
        <f>HYPERLINK("https://imgur.com/a/z5lCWnf","Yes")</f>
        <v>Yes</v>
      </c>
      <c r="D111" s="36" t="s">
        <v>40</v>
      </c>
      <c r="E111" s="36" t="s">
        <v>40</v>
      </c>
      <c r="F111" s="13">
        <v>7000.0</v>
      </c>
      <c r="G111" s="13">
        <v>1750.0</v>
      </c>
      <c r="H111" s="19">
        <v>3995.0</v>
      </c>
      <c r="I111" s="21" t="s">
        <v>36</v>
      </c>
      <c r="J111" s="21"/>
      <c r="K111" s="21" t="s">
        <v>384</v>
      </c>
      <c r="L111" s="21"/>
      <c r="M111" s="15" t="s">
        <v>130</v>
      </c>
      <c r="N111" s="19">
        <v>3.0</v>
      </c>
      <c r="O111" s="21" t="s">
        <v>39</v>
      </c>
      <c r="P111" s="15" t="s">
        <v>53</v>
      </c>
      <c r="Q111" s="13" t="s">
        <v>689</v>
      </c>
      <c r="R111" s="13" t="s">
        <v>43</v>
      </c>
      <c r="S111" s="13" t="s">
        <v>44</v>
      </c>
      <c r="T111" s="21" t="s">
        <v>68</v>
      </c>
    </row>
    <row r="112" ht="56.25" customHeight="1">
      <c r="A112" s="21" t="s">
        <v>793</v>
      </c>
      <c r="B112" s="15" t="str">
        <f>image("https://i.imgur.com/YsGdScu.png")</f>
        <v/>
      </c>
      <c r="C112" s="22" t="str">
        <f>HYPERLINK("https://imgur.com/a/p5yfPTZ","Yes")</f>
        <v>Yes</v>
      </c>
      <c r="D112" s="36" t="s">
        <v>40</v>
      </c>
      <c r="E112" s="36" t="s">
        <v>40</v>
      </c>
      <c r="F112" s="13">
        <v>3500.0</v>
      </c>
      <c r="G112" s="13">
        <v>875.0</v>
      </c>
      <c r="H112" s="19">
        <v>4002.0</v>
      </c>
      <c r="I112" s="21" t="s">
        <v>36</v>
      </c>
      <c r="J112" s="21"/>
      <c r="K112" s="21" t="s">
        <v>384</v>
      </c>
      <c r="L112" s="21"/>
      <c r="M112" s="15" t="s">
        <v>38</v>
      </c>
      <c r="N112" s="19">
        <v>2.0</v>
      </c>
      <c r="O112" s="21" t="s">
        <v>39</v>
      </c>
      <c r="P112" s="15" t="s">
        <v>53</v>
      </c>
      <c r="Q112" s="13" t="s">
        <v>186</v>
      </c>
      <c r="R112" s="13" t="s">
        <v>43</v>
      </c>
      <c r="S112" s="13" t="s">
        <v>44</v>
      </c>
      <c r="T112" s="21" t="s">
        <v>68</v>
      </c>
    </row>
    <row r="113" ht="56.25" customHeight="1">
      <c r="A113" s="21" t="s">
        <v>801</v>
      </c>
      <c r="B113" s="15" t="str">
        <f>image("https://i.imgur.com/32R6Itg.png")</f>
        <v/>
      </c>
      <c r="C113" s="22" t="str">
        <f>HYPERLINK("https://imgur.com/a/sdUZE9b","Yes")</f>
        <v>Yes</v>
      </c>
      <c r="D113" s="36" t="s">
        <v>40</v>
      </c>
      <c r="E113" s="36" t="s">
        <v>40</v>
      </c>
      <c r="F113" s="13">
        <v>9600.0</v>
      </c>
      <c r="G113" s="13">
        <v>2400.0</v>
      </c>
      <c r="H113" s="19">
        <v>3998.0</v>
      </c>
      <c r="I113" s="21" t="s">
        <v>36</v>
      </c>
      <c r="J113" s="21"/>
      <c r="K113" s="21" t="s">
        <v>384</v>
      </c>
      <c r="L113" s="21"/>
      <c r="M113" s="15" t="s">
        <v>130</v>
      </c>
      <c r="N113" s="19">
        <v>4.0</v>
      </c>
      <c r="O113" s="21" t="s">
        <v>39</v>
      </c>
      <c r="P113" s="15" t="s">
        <v>53</v>
      </c>
      <c r="Q113" s="13" t="s">
        <v>41</v>
      </c>
      <c r="R113" s="13" t="s">
        <v>43</v>
      </c>
      <c r="S113" s="13" t="s">
        <v>44</v>
      </c>
      <c r="T113" s="21" t="s">
        <v>68</v>
      </c>
    </row>
    <row r="114" ht="56.25" customHeight="1">
      <c r="A114" s="21" t="s">
        <v>810</v>
      </c>
      <c r="B114" s="15" t="str">
        <f>image("https://i.imgur.com/PX7eVqM.png")</f>
        <v/>
      </c>
      <c r="C114" s="22" t="str">
        <f>HYPERLINK("https://imgur.com/a/Sz8fq5Q","Yes")</f>
        <v>Yes</v>
      </c>
      <c r="D114" s="36" t="s">
        <v>40</v>
      </c>
      <c r="E114" s="36" t="s">
        <v>40</v>
      </c>
      <c r="F114" s="13">
        <v>3000.0</v>
      </c>
      <c r="G114" s="13">
        <v>750.0</v>
      </c>
      <c r="H114" s="19">
        <v>4000.0</v>
      </c>
      <c r="I114" s="21" t="s">
        <v>36</v>
      </c>
      <c r="J114" s="21"/>
      <c r="K114" s="21" t="s">
        <v>384</v>
      </c>
      <c r="L114" s="21"/>
      <c r="M114" s="15" t="s">
        <v>38</v>
      </c>
      <c r="N114" s="19">
        <v>1.0</v>
      </c>
      <c r="O114" s="21" t="s">
        <v>39</v>
      </c>
      <c r="P114" s="15" t="s">
        <v>40</v>
      </c>
      <c r="Q114" s="13" t="s">
        <v>41</v>
      </c>
      <c r="R114" s="13" t="s">
        <v>43</v>
      </c>
      <c r="S114" s="13" t="s">
        <v>44</v>
      </c>
      <c r="T114" s="21" t="s">
        <v>68</v>
      </c>
    </row>
    <row r="115" ht="56.25" customHeight="1">
      <c r="A115" s="21" t="s">
        <v>821</v>
      </c>
      <c r="B115" s="15" t="str">
        <f>image("https://i.imgur.com/ozB7qXg.png")</f>
        <v/>
      </c>
      <c r="C115" s="22" t="str">
        <f>HYPERLINK("https://imgur.com/a/8vvcpOK","Yes")</f>
        <v>Yes</v>
      </c>
      <c r="D115" s="36" t="s">
        <v>40</v>
      </c>
      <c r="E115" s="36" t="s">
        <v>40</v>
      </c>
      <c r="F115" s="13">
        <v>5400.0</v>
      </c>
      <c r="G115" s="13">
        <v>1350.0</v>
      </c>
      <c r="H115" s="19">
        <v>4001.0</v>
      </c>
      <c r="I115" s="21" t="s">
        <v>36</v>
      </c>
      <c r="J115" s="21"/>
      <c r="K115" s="21" t="s">
        <v>384</v>
      </c>
      <c r="L115" s="21"/>
      <c r="M115" s="15" t="s">
        <v>38</v>
      </c>
      <c r="N115" s="19">
        <v>2.0</v>
      </c>
      <c r="O115" s="21" t="s">
        <v>39</v>
      </c>
      <c r="P115" s="15" t="s">
        <v>53</v>
      </c>
      <c r="Q115" s="13" t="s">
        <v>41</v>
      </c>
      <c r="R115" s="13" t="s">
        <v>43</v>
      </c>
      <c r="S115" s="13" t="s">
        <v>44</v>
      </c>
      <c r="T115" s="21" t="s">
        <v>68</v>
      </c>
    </row>
    <row r="116" ht="56.25" customHeight="1">
      <c r="A116" s="21" t="s">
        <v>830</v>
      </c>
      <c r="B116" s="15" t="str">
        <f>image("https://i.imgur.com/gtT8cyF.png")</f>
        <v/>
      </c>
      <c r="C116" s="22" t="str">
        <f>HYPERLINK("https://imgur.com/a/lj5xDLx","Yes")</f>
        <v>Yes</v>
      </c>
      <c r="D116" s="36" t="s">
        <v>40</v>
      </c>
      <c r="E116" s="36" t="s">
        <v>40</v>
      </c>
      <c r="F116" s="13">
        <v>7300.0</v>
      </c>
      <c r="G116" s="13">
        <v>1825.0</v>
      </c>
      <c r="H116" s="19">
        <v>3997.0</v>
      </c>
      <c r="I116" s="21" t="s">
        <v>36</v>
      </c>
      <c r="J116" s="21"/>
      <c r="K116" s="21" t="s">
        <v>384</v>
      </c>
      <c r="L116" s="21"/>
      <c r="M116" s="15" t="s">
        <v>38</v>
      </c>
      <c r="N116" s="19">
        <v>3.0</v>
      </c>
      <c r="O116" s="21" t="s">
        <v>39</v>
      </c>
      <c r="P116" s="15" t="s">
        <v>53</v>
      </c>
      <c r="Q116" s="13" t="s">
        <v>41</v>
      </c>
      <c r="R116" s="13" t="s">
        <v>43</v>
      </c>
      <c r="S116" s="13" t="s">
        <v>44</v>
      </c>
      <c r="T116" s="21" t="s">
        <v>68</v>
      </c>
    </row>
    <row r="117" ht="56.25" customHeight="1">
      <c r="A117" s="21" t="s">
        <v>838</v>
      </c>
      <c r="B117" s="15" t="str">
        <f>image("https://i.imgur.com/V7fbfHt.png")</f>
        <v/>
      </c>
      <c r="C117" s="22" t="str">
        <f>HYPERLINK("https://imgur.com/a/4MPOcjb","Yes")</f>
        <v>Yes</v>
      </c>
      <c r="D117" s="36" t="s">
        <v>40</v>
      </c>
      <c r="E117" s="36" t="s">
        <v>40</v>
      </c>
      <c r="F117" s="13">
        <v>13000.0</v>
      </c>
      <c r="G117" s="13">
        <v>3250.0</v>
      </c>
      <c r="H117" s="19">
        <v>7153.0</v>
      </c>
      <c r="I117" s="21" t="s">
        <v>183</v>
      </c>
      <c r="J117" s="21"/>
      <c r="K117" s="21"/>
      <c r="L117" s="21"/>
      <c r="M117" s="15" t="s">
        <v>106</v>
      </c>
      <c r="N117" s="19">
        <v>5.0</v>
      </c>
      <c r="O117" s="21" t="s">
        <v>39</v>
      </c>
      <c r="P117" s="15" t="s">
        <v>40</v>
      </c>
      <c r="Q117" s="13" t="s">
        <v>41</v>
      </c>
      <c r="R117" s="13" t="s">
        <v>43</v>
      </c>
      <c r="S117" s="13" t="s">
        <v>44</v>
      </c>
      <c r="T117" s="21" t="s">
        <v>65</v>
      </c>
    </row>
    <row r="118" ht="56.25" customHeight="1">
      <c r="A118" s="21" t="s">
        <v>846</v>
      </c>
      <c r="B118" s="15" t="str">
        <f>image("https://i.imgur.com/JjcpNAb.png")</f>
        <v/>
      </c>
      <c r="C118" s="22" t="str">
        <f>HYPERLINK("https://imgur.com/a/BD58Phh","Yes")</f>
        <v>Yes</v>
      </c>
      <c r="D118" s="36" t="s">
        <v>40</v>
      </c>
      <c r="E118" s="36" t="s">
        <v>40</v>
      </c>
      <c r="F118" s="13">
        <v>1000.0</v>
      </c>
      <c r="G118" s="13">
        <v>250.0</v>
      </c>
      <c r="H118" s="19">
        <v>1829.0</v>
      </c>
      <c r="I118" s="21" t="s">
        <v>60</v>
      </c>
      <c r="J118" s="21"/>
      <c r="K118" s="21"/>
      <c r="L118" s="21"/>
      <c r="M118" s="15" t="s">
        <v>38</v>
      </c>
      <c r="N118" s="19">
        <v>1.0</v>
      </c>
      <c r="O118" s="21" t="s">
        <v>39</v>
      </c>
      <c r="P118" s="15" t="s">
        <v>40</v>
      </c>
      <c r="Q118" s="13" t="s">
        <v>41</v>
      </c>
      <c r="R118" s="13" t="s">
        <v>43</v>
      </c>
      <c r="S118" s="13" t="s">
        <v>44</v>
      </c>
      <c r="T118" s="21" t="s">
        <v>63</v>
      </c>
    </row>
    <row r="119" ht="56.25" customHeight="1">
      <c r="A119" s="21" t="s">
        <v>850</v>
      </c>
      <c r="B119" s="15" t="str">
        <f>image("https://i.imgur.com/5yVpBEk.png")</f>
        <v/>
      </c>
      <c r="C119" s="22" t="str">
        <f>HYPERLINK("https://imgur.com/a/uhAymEO","No")</f>
        <v>No</v>
      </c>
      <c r="D119" s="36" t="s">
        <v>40</v>
      </c>
      <c r="E119" s="36" t="s">
        <v>40</v>
      </c>
      <c r="F119" s="13">
        <v>5200.0</v>
      </c>
      <c r="G119" s="13">
        <v>1300.0</v>
      </c>
      <c r="H119" s="19">
        <v>937.0</v>
      </c>
      <c r="I119" s="21" t="s">
        <v>37</v>
      </c>
      <c r="J119" s="21" t="s">
        <v>90</v>
      </c>
      <c r="K119" s="21"/>
      <c r="L119" s="21"/>
      <c r="M119" s="15" t="s">
        <v>38</v>
      </c>
      <c r="N119" s="19"/>
      <c r="O119" s="21" t="s">
        <v>39</v>
      </c>
      <c r="P119" s="15" t="s">
        <v>53</v>
      </c>
      <c r="Q119" s="13" t="s">
        <v>41</v>
      </c>
      <c r="R119" s="13" t="s">
        <v>43</v>
      </c>
      <c r="S119" s="13" t="s">
        <v>44</v>
      </c>
      <c r="T119" s="21" t="s">
        <v>68</v>
      </c>
    </row>
    <row r="120" ht="56.25" customHeight="1">
      <c r="A120" s="21" t="s">
        <v>858</v>
      </c>
      <c r="B120" s="15" t="str">
        <f>image("https://i.imgur.com/dnU3a2K.png")</f>
        <v/>
      </c>
      <c r="C120" s="22" t="str">
        <f>HYPERLINK("https://imgur.com/a/oyLPoiq","Yes")</f>
        <v>Yes</v>
      </c>
      <c r="D120" s="36" t="s">
        <v>53</v>
      </c>
      <c r="E120" s="36" t="s">
        <v>53</v>
      </c>
      <c r="F120" s="24" t="s">
        <v>51</v>
      </c>
      <c r="G120" s="13">
        <v>1740.0</v>
      </c>
      <c r="H120" s="19">
        <v>677.0</v>
      </c>
      <c r="I120" s="21" t="s">
        <v>161</v>
      </c>
      <c r="J120" s="21" t="s">
        <v>95</v>
      </c>
      <c r="K120" s="21"/>
      <c r="L120" s="21"/>
      <c r="M120" s="15" t="s">
        <v>38</v>
      </c>
      <c r="N120" s="19">
        <v>3.0</v>
      </c>
      <c r="O120" s="21" t="s">
        <v>39</v>
      </c>
      <c r="P120" s="15" t="s">
        <v>53</v>
      </c>
      <c r="Q120" s="13" t="s">
        <v>41</v>
      </c>
      <c r="R120" s="13" t="s">
        <v>54</v>
      </c>
      <c r="S120" s="13" t="s">
        <v>55</v>
      </c>
      <c r="T120" s="21"/>
    </row>
    <row r="121" ht="56.25" customHeight="1">
      <c r="A121" s="21" t="s">
        <v>863</v>
      </c>
      <c r="B121" s="15" t="str">
        <f>image("https://i.imgur.com/sN7JaRJ.png")</f>
        <v/>
      </c>
      <c r="C121" s="22" t="str">
        <f>HYPERLINK("https://imgur.com/a/jJYV0bO","Yes")</f>
        <v>Yes</v>
      </c>
      <c r="D121" s="36" t="s">
        <v>40</v>
      </c>
      <c r="E121" s="36" t="s">
        <v>40</v>
      </c>
      <c r="F121" s="13">
        <v>76000.0</v>
      </c>
      <c r="G121" s="13">
        <v>19000.0</v>
      </c>
      <c r="H121" s="19">
        <v>1227.0</v>
      </c>
      <c r="I121" s="21" t="s">
        <v>183</v>
      </c>
      <c r="J121" s="21"/>
      <c r="K121" s="21"/>
      <c r="L121" s="21"/>
      <c r="M121" s="15" t="s">
        <v>38</v>
      </c>
      <c r="N121" s="19">
        <v>7.0</v>
      </c>
      <c r="O121" s="21" t="s">
        <v>39</v>
      </c>
      <c r="P121" s="15" t="s">
        <v>53</v>
      </c>
      <c r="Q121" s="13" t="s">
        <v>41</v>
      </c>
      <c r="R121" s="13" t="s">
        <v>43</v>
      </c>
      <c r="S121" s="13" t="s">
        <v>44</v>
      </c>
      <c r="T121" s="21" t="s">
        <v>65</v>
      </c>
    </row>
    <row r="122" ht="56.25" customHeight="1">
      <c r="A122" s="21" t="s">
        <v>872</v>
      </c>
      <c r="B122" s="15" t="str">
        <f>image("https://i.imgur.com/qLxzJDb.png")</f>
        <v/>
      </c>
      <c r="C122" s="22" t="str">
        <f>HYPERLINK("https://imgur.com/a/vEBegzt","Yes")</f>
        <v>Yes</v>
      </c>
      <c r="D122" s="36" t="s">
        <v>40</v>
      </c>
      <c r="E122" s="36" t="s">
        <v>40</v>
      </c>
      <c r="F122" s="13">
        <v>8700.0</v>
      </c>
      <c r="G122" s="13">
        <v>2175.0</v>
      </c>
      <c r="H122" s="19">
        <v>3784.0</v>
      </c>
      <c r="I122" s="21" t="s">
        <v>136</v>
      </c>
      <c r="J122" s="21"/>
      <c r="K122" s="21"/>
      <c r="L122" s="21"/>
      <c r="M122" s="15" t="s">
        <v>38</v>
      </c>
      <c r="N122" s="19">
        <v>3.0</v>
      </c>
      <c r="O122" s="21" t="s">
        <v>39</v>
      </c>
      <c r="P122" s="15" t="s">
        <v>53</v>
      </c>
      <c r="Q122" s="13" t="s">
        <v>41</v>
      </c>
      <c r="R122" s="13" t="s">
        <v>43</v>
      </c>
      <c r="S122" s="13" t="s">
        <v>44</v>
      </c>
      <c r="T122" s="21" t="s">
        <v>68</v>
      </c>
    </row>
    <row r="123" ht="56.25" customHeight="1">
      <c r="A123" s="21" t="s">
        <v>882</v>
      </c>
      <c r="B123" s="15" t="str">
        <f>image("https://i.imgur.com/VBSD1q2.png")</f>
        <v/>
      </c>
      <c r="C123" s="22" t="str">
        <f>HYPERLINK("https://imgur.com/a/Ki236dm","Yes")</f>
        <v>Yes</v>
      </c>
      <c r="D123" s="36" t="s">
        <v>40</v>
      </c>
      <c r="E123" s="36" t="s">
        <v>40</v>
      </c>
      <c r="F123" s="13">
        <v>10000.0</v>
      </c>
      <c r="G123" s="13">
        <v>2500.0</v>
      </c>
      <c r="H123" s="19">
        <v>3783.0</v>
      </c>
      <c r="I123" s="21" t="s">
        <v>136</v>
      </c>
      <c r="J123" s="21"/>
      <c r="K123" s="21"/>
      <c r="L123" s="21"/>
      <c r="M123" s="15" t="s">
        <v>130</v>
      </c>
      <c r="N123" s="19">
        <v>4.0</v>
      </c>
      <c r="O123" s="21" t="s">
        <v>39</v>
      </c>
      <c r="P123" s="15" t="s">
        <v>40</v>
      </c>
      <c r="Q123" s="13" t="s">
        <v>41</v>
      </c>
      <c r="R123" s="13" t="s">
        <v>43</v>
      </c>
      <c r="S123" s="13" t="s">
        <v>44</v>
      </c>
      <c r="T123" s="21" t="s">
        <v>68</v>
      </c>
    </row>
    <row r="124" ht="56.25" customHeight="1">
      <c r="A124" s="21" t="s">
        <v>888</v>
      </c>
      <c r="B124" s="15" t="str">
        <f>image("https://i.imgur.com/JpbjN5n.png")</f>
        <v/>
      </c>
      <c r="C124" s="22" t="str">
        <f>HYPERLINK("https://imgur.com/a/ImMbc3u","Yes")</f>
        <v>Yes</v>
      </c>
      <c r="D124" s="36" t="s">
        <v>53</v>
      </c>
      <c r="E124" s="36" t="s">
        <v>53</v>
      </c>
      <c r="F124" s="24" t="s">
        <v>51</v>
      </c>
      <c r="G124" s="13">
        <v>1440.0</v>
      </c>
      <c r="H124" s="19">
        <v>4309.0</v>
      </c>
      <c r="I124" s="21" t="s">
        <v>95</v>
      </c>
      <c r="J124" s="21"/>
      <c r="K124" s="21"/>
      <c r="L124" s="21"/>
      <c r="M124" s="15" t="s">
        <v>506</v>
      </c>
      <c r="N124" s="19">
        <v>2.0</v>
      </c>
      <c r="O124" s="21" t="s">
        <v>39</v>
      </c>
      <c r="P124" s="15" t="s">
        <v>40</v>
      </c>
      <c r="Q124" s="13" t="s">
        <v>41</v>
      </c>
      <c r="R124" s="13" t="s">
        <v>54</v>
      </c>
      <c r="S124" s="13" t="s">
        <v>516</v>
      </c>
      <c r="T124" s="21"/>
    </row>
    <row r="125" ht="56.25" customHeight="1">
      <c r="A125" s="21" t="s">
        <v>894</v>
      </c>
      <c r="B125" s="15" t="str">
        <f>image("https://i.imgur.com/SETfVaw.png")</f>
        <v/>
      </c>
      <c r="C125" s="22" t="str">
        <f>HYPERLINK("https://imgur.com/a/CNTAN2e","Yes")</f>
        <v>Yes</v>
      </c>
      <c r="D125" s="36" t="s">
        <v>40</v>
      </c>
      <c r="E125" s="36" t="s">
        <v>40</v>
      </c>
      <c r="F125" s="13">
        <v>930.0</v>
      </c>
      <c r="G125" s="24">
        <v>232.0</v>
      </c>
      <c r="H125" s="19">
        <v>3307.0</v>
      </c>
      <c r="I125" s="21" t="s">
        <v>183</v>
      </c>
      <c r="J125" s="21"/>
      <c r="K125" s="21"/>
      <c r="L125" s="21"/>
      <c r="M125" s="15" t="s">
        <v>38</v>
      </c>
      <c r="N125" s="19">
        <v>1.0</v>
      </c>
      <c r="O125" s="21" t="s">
        <v>39</v>
      </c>
      <c r="P125" s="15" t="s">
        <v>40</v>
      </c>
      <c r="Q125" s="13" t="s">
        <v>41</v>
      </c>
      <c r="R125" s="13" t="s">
        <v>43</v>
      </c>
      <c r="S125" s="13" t="s">
        <v>44</v>
      </c>
      <c r="T125" s="21" t="s">
        <v>63</v>
      </c>
    </row>
    <row r="126" ht="56.25" customHeight="1">
      <c r="A126" s="21" t="s">
        <v>900</v>
      </c>
      <c r="B126" s="15" t="str">
        <f>image("https://i.imgur.com/HQSNfMO.png")</f>
        <v/>
      </c>
      <c r="C126" s="22" t="str">
        <f>HYPERLINK("https://imgur.com/a/jeo824F","Yes")</f>
        <v>Yes</v>
      </c>
      <c r="D126" s="36" t="s">
        <v>40</v>
      </c>
      <c r="E126" s="36" t="s">
        <v>40</v>
      </c>
      <c r="F126" s="13">
        <v>1600.0</v>
      </c>
      <c r="G126" s="13">
        <v>400.0</v>
      </c>
      <c r="H126" s="19">
        <v>4137.0</v>
      </c>
      <c r="I126" s="21" t="s">
        <v>37</v>
      </c>
      <c r="J126" s="21"/>
      <c r="K126" s="21" t="s">
        <v>423</v>
      </c>
      <c r="L126" s="21"/>
      <c r="M126" s="15" t="s">
        <v>38</v>
      </c>
      <c r="N126" s="19">
        <v>1.0</v>
      </c>
      <c r="O126" s="21" t="s">
        <v>39</v>
      </c>
      <c r="P126" s="15" t="s">
        <v>53</v>
      </c>
      <c r="Q126" s="13" t="s">
        <v>41</v>
      </c>
      <c r="R126" s="13" t="s">
        <v>43</v>
      </c>
      <c r="S126" s="13" t="s">
        <v>44</v>
      </c>
      <c r="T126" s="21" t="s">
        <v>68</v>
      </c>
    </row>
    <row r="127" ht="56.25" customHeight="1">
      <c r="A127" s="21" t="s">
        <v>907</v>
      </c>
      <c r="B127" s="15" t="str">
        <f>image("https://i.imgur.com/OFdyuBY.png")</f>
        <v/>
      </c>
      <c r="C127" s="22" t="str">
        <f>HYPERLINK("https://imgur.com/a/ydCjef0","Yes")</f>
        <v>Yes</v>
      </c>
      <c r="D127" s="36" t="s">
        <v>40</v>
      </c>
      <c r="E127" s="36" t="s">
        <v>40</v>
      </c>
      <c r="F127" s="13">
        <v>1100.0</v>
      </c>
      <c r="G127" s="13">
        <v>275.0</v>
      </c>
      <c r="H127" s="19">
        <v>4138.0</v>
      </c>
      <c r="I127" s="21" t="s">
        <v>37</v>
      </c>
      <c r="J127" s="21"/>
      <c r="K127" s="21" t="s">
        <v>423</v>
      </c>
      <c r="L127" s="21"/>
      <c r="M127" s="15" t="s">
        <v>38</v>
      </c>
      <c r="N127" s="19">
        <v>1.0</v>
      </c>
      <c r="O127" s="21" t="s">
        <v>39</v>
      </c>
      <c r="P127" s="15" t="s">
        <v>53</v>
      </c>
      <c r="Q127" s="13" t="s">
        <v>41</v>
      </c>
      <c r="R127" s="13" t="s">
        <v>43</v>
      </c>
      <c r="S127" s="13" t="s">
        <v>44</v>
      </c>
      <c r="T127" s="21" t="s">
        <v>68</v>
      </c>
    </row>
    <row r="128" ht="56.25" customHeight="1">
      <c r="A128" s="21" t="s">
        <v>913</v>
      </c>
      <c r="B128" s="15" t="str">
        <f>image("https://i.imgur.com/HPayQ45.png")</f>
        <v/>
      </c>
      <c r="C128" s="22" t="str">
        <f>HYPERLINK("https://imgur.com/a/hFoYRz2","Yes")</f>
        <v>Yes</v>
      </c>
      <c r="D128" s="36" t="s">
        <v>40</v>
      </c>
      <c r="E128" s="36" t="s">
        <v>40</v>
      </c>
      <c r="F128" s="13">
        <v>6000.0</v>
      </c>
      <c r="G128" s="13">
        <v>1500.0</v>
      </c>
      <c r="H128" s="19">
        <v>4139.0</v>
      </c>
      <c r="I128" s="21" t="s">
        <v>37</v>
      </c>
      <c r="J128" s="21"/>
      <c r="K128" s="21" t="s">
        <v>423</v>
      </c>
      <c r="L128" s="21"/>
      <c r="M128" s="15" t="s">
        <v>130</v>
      </c>
      <c r="N128" s="19">
        <v>2.0</v>
      </c>
      <c r="O128" s="21" t="s">
        <v>39</v>
      </c>
      <c r="P128" s="15" t="s">
        <v>40</v>
      </c>
      <c r="Q128" s="13" t="s">
        <v>41</v>
      </c>
      <c r="R128" s="13" t="s">
        <v>43</v>
      </c>
      <c r="S128" s="13" t="s">
        <v>44</v>
      </c>
      <c r="T128" s="21" t="s">
        <v>68</v>
      </c>
    </row>
    <row r="129" ht="56.25" customHeight="1">
      <c r="A129" s="21" t="s">
        <v>919</v>
      </c>
      <c r="B129" s="15" t="str">
        <f>image("https://i.imgur.com/vUFgbPV.png")</f>
        <v/>
      </c>
      <c r="C129" s="22" t="str">
        <f>HYPERLINK("https://imgur.com/a/XIGZS4f","Yes")</f>
        <v>Yes</v>
      </c>
      <c r="D129" s="36" t="s">
        <v>40</v>
      </c>
      <c r="E129" s="36" t="s">
        <v>40</v>
      </c>
      <c r="F129" s="13">
        <v>6400.0</v>
      </c>
      <c r="G129" s="13">
        <v>1600.0</v>
      </c>
      <c r="H129" s="19">
        <v>4142.0</v>
      </c>
      <c r="I129" s="21" t="s">
        <v>37</v>
      </c>
      <c r="J129" s="21"/>
      <c r="K129" s="21" t="s">
        <v>423</v>
      </c>
      <c r="L129" s="21"/>
      <c r="M129" s="15" t="s">
        <v>106</v>
      </c>
      <c r="N129" s="19">
        <v>3.0</v>
      </c>
      <c r="O129" s="21" t="s">
        <v>39</v>
      </c>
      <c r="P129" s="15" t="s">
        <v>40</v>
      </c>
      <c r="Q129" s="13" t="s">
        <v>41</v>
      </c>
      <c r="R129" s="13" t="s">
        <v>43</v>
      </c>
      <c r="S129" s="13" t="s">
        <v>44</v>
      </c>
      <c r="T129" s="21" t="s">
        <v>65</v>
      </c>
    </row>
    <row r="130" ht="56.25" customHeight="1">
      <c r="A130" s="21" t="s">
        <v>923</v>
      </c>
      <c r="B130" s="15" t="str">
        <f>image("https://i.imgur.com/s848l3K.png")</f>
        <v/>
      </c>
      <c r="C130" s="22" t="str">
        <f>HYPERLINK("https://imgur.com/a/zWm57Pk","Yes")</f>
        <v>Yes</v>
      </c>
      <c r="D130" s="36" t="s">
        <v>40</v>
      </c>
      <c r="E130" s="36" t="s">
        <v>40</v>
      </c>
      <c r="F130" s="13">
        <v>1600.0</v>
      </c>
      <c r="G130" s="13">
        <v>400.0</v>
      </c>
      <c r="H130" s="19">
        <v>4441.0</v>
      </c>
      <c r="I130" s="21" t="s">
        <v>37</v>
      </c>
      <c r="J130" s="21"/>
      <c r="K130" s="21" t="s">
        <v>423</v>
      </c>
      <c r="L130" s="21"/>
      <c r="M130" s="15" t="s">
        <v>38</v>
      </c>
      <c r="N130" s="19">
        <v>1.0</v>
      </c>
      <c r="O130" s="21" t="s">
        <v>39</v>
      </c>
      <c r="P130" s="15" t="s">
        <v>40</v>
      </c>
      <c r="Q130" s="13" t="s">
        <v>41</v>
      </c>
      <c r="R130" s="13" t="s">
        <v>43</v>
      </c>
      <c r="S130" s="13" t="s">
        <v>44</v>
      </c>
      <c r="T130" s="21" t="s">
        <v>68</v>
      </c>
    </row>
    <row r="131" ht="56.25" customHeight="1">
      <c r="A131" s="21" t="s">
        <v>929</v>
      </c>
      <c r="B131" s="15" t="str">
        <f>image("https://i.imgur.com/kLWhCXr.png")</f>
        <v/>
      </c>
      <c r="C131" s="22" t="str">
        <f>HYPERLINK("https://imgur.com/a/xrkwkg7","Yes")</f>
        <v>Yes</v>
      </c>
      <c r="D131" s="36" t="s">
        <v>40</v>
      </c>
      <c r="E131" s="36" t="s">
        <v>40</v>
      </c>
      <c r="F131" s="13">
        <v>3900.0</v>
      </c>
      <c r="G131" s="13">
        <v>975.0</v>
      </c>
      <c r="H131" s="19">
        <v>4143.0</v>
      </c>
      <c r="I131" s="21" t="s">
        <v>37</v>
      </c>
      <c r="J131" s="21"/>
      <c r="K131" s="21"/>
      <c r="L131" s="21"/>
      <c r="M131" s="15" t="s">
        <v>130</v>
      </c>
      <c r="N131" s="19">
        <v>2.0</v>
      </c>
      <c r="O131" s="21" t="s">
        <v>39</v>
      </c>
      <c r="P131" s="15" t="s">
        <v>53</v>
      </c>
      <c r="Q131" s="13" t="s">
        <v>365</v>
      </c>
      <c r="R131" s="13" t="s">
        <v>43</v>
      </c>
      <c r="S131" s="13" t="s">
        <v>44</v>
      </c>
      <c r="T131" s="21" t="s">
        <v>68</v>
      </c>
    </row>
    <row r="132" ht="56.25" customHeight="1">
      <c r="A132" s="21" t="s">
        <v>933</v>
      </c>
      <c r="B132" s="15" t="str">
        <f>image("https://i.imgur.com/BGihEWL.png")</f>
        <v/>
      </c>
      <c r="C132" s="22" t="str">
        <f>HYPERLINK("https://imgur.com/a/sXfVXMC","Yes")</f>
        <v>Yes</v>
      </c>
      <c r="D132" s="36" t="s">
        <v>40</v>
      </c>
      <c r="E132" s="36" t="s">
        <v>40</v>
      </c>
      <c r="F132" s="13">
        <v>3500.0</v>
      </c>
      <c r="G132" s="13">
        <v>875.0</v>
      </c>
      <c r="H132" s="19">
        <v>4141.0</v>
      </c>
      <c r="I132" s="21" t="s">
        <v>37</v>
      </c>
      <c r="J132" s="21"/>
      <c r="K132" s="21" t="s">
        <v>423</v>
      </c>
      <c r="L132" s="21"/>
      <c r="M132" s="15" t="s">
        <v>130</v>
      </c>
      <c r="N132" s="19">
        <v>2.0</v>
      </c>
      <c r="O132" s="21" t="s">
        <v>39</v>
      </c>
      <c r="P132" s="15" t="s">
        <v>53</v>
      </c>
      <c r="Q132" s="13" t="s">
        <v>41</v>
      </c>
      <c r="R132" s="13" t="s">
        <v>43</v>
      </c>
      <c r="S132" s="13" t="s">
        <v>44</v>
      </c>
      <c r="T132" s="21" t="s">
        <v>68</v>
      </c>
    </row>
    <row r="133" ht="56.25" customHeight="1">
      <c r="A133" s="21" t="s">
        <v>936</v>
      </c>
      <c r="B133" s="15" t="str">
        <f>image("https://i.imgur.com/8MywgAX.png")</f>
        <v/>
      </c>
      <c r="C133" s="22" t="str">
        <f>HYPERLINK("https://imgur.com/a/2TAN4hy","Yes")</f>
        <v>Yes</v>
      </c>
      <c r="D133" s="36" t="s">
        <v>40</v>
      </c>
      <c r="E133" s="36" t="s">
        <v>40</v>
      </c>
      <c r="F133" s="13">
        <v>1600.0</v>
      </c>
      <c r="G133" s="13">
        <v>400.0</v>
      </c>
      <c r="H133" s="19">
        <v>2020.0</v>
      </c>
      <c r="I133" s="21" t="s">
        <v>338</v>
      </c>
      <c r="J133" s="21"/>
      <c r="K133" s="21"/>
      <c r="L133" s="21"/>
      <c r="M133" s="15" t="s">
        <v>38</v>
      </c>
      <c r="N133" s="19">
        <v>1.0</v>
      </c>
      <c r="O133" s="21" t="s">
        <v>39</v>
      </c>
      <c r="P133" s="15" t="s">
        <v>53</v>
      </c>
      <c r="Q133" s="13" t="s">
        <v>41</v>
      </c>
      <c r="R133" s="13" t="s">
        <v>43</v>
      </c>
      <c r="S133" s="13" t="s">
        <v>44</v>
      </c>
      <c r="T133" s="21" t="s">
        <v>202</v>
      </c>
    </row>
    <row r="134" ht="56.25" customHeight="1">
      <c r="A134" s="21" t="s">
        <v>940</v>
      </c>
      <c r="B134" s="15" t="str">
        <f>image("https://i.imgur.com/0DshfFu.png")</f>
        <v/>
      </c>
      <c r="C134" s="22" t="str">
        <f>HYPERLINK("https://imgur.com/a/YoOWjEf","Yes")</f>
        <v>Yes</v>
      </c>
      <c r="D134" s="36" t="s">
        <v>53</v>
      </c>
      <c r="E134" s="36" t="s">
        <v>53</v>
      </c>
      <c r="F134" s="24" t="s">
        <v>51</v>
      </c>
      <c r="G134" s="13">
        <v>6630.0</v>
      </c>
      <c r="H134" s="19">
        <v>1241.0</v>
      </c>
      <c r="I134" s="21" t="s">
        <v>243</v>
      </c>
      <c r="J134" s="21"/>
      <c r="K134" s="21"/>
      <c r="L134" s="21"/>
      <c r="M134" s="15" t="s">
        <v>130</v>
      </c>
      <c r="N134" s="19">
        <v>7.0</v>
      </c>
      <c r="O134" s="21" t="s">
        <v>39</v>
      </c>
      <c r="P134" s="15" t="s">
        <v>53</v>
      </c>
      <c r="Q134" s="13" t="s">
        <v>41</v>
      </c>
      <c r="R134" s="13" t="s">
        <v>54</v>
      </c>
      <c r="S134" s="13" t="s">
        <v>55</v>
      </c>
      <c r="T134" s="21"/>
    </row>
    <row r="135" ht="56.25" customHeight="1">
      <c r="A135" s="21" t="s">
        <v>944</v>
      </c>
      <c r="B135" s="15" t="str">
        <f>image("https://i.imgur.com/5lkwYW1.png")</f>
        <v/>
      </c>
      <c r="C135" s="22" t="str">
        <f>HYPERLINK("https://imgur.com/a/Cn6b1CY","Yes")</f>
        <v>Yes</v>
      </c>
      <c r="D135" s="36" t="s">
        <v>40</v>
      </c>
      <c r="E135" s="36" t="s">
        <v>40</v>
      </c>
      <c r="F135" s="13">
        <v>9300.0</v>
      </c>
      <c r="G135" s="13">
        <v>2325.0</v>
      </c>
      <c r="H135" s="19">
        <v>941.0</v>
      </c>
      <c r="I135" s="21" t="s">
        <v>212</v>
      </c>
      <c r="J135" s="21" t="s">
        <v>67</v>
      </c>
      <c r="K135" s="21"/>
      <c r="L135" s="21"/>
      <c r="M135" s="15" t="s">
        <v>130</v>
      </c>
      <c r="N135" s="19">
        <v>4.0</v>
      </c>
      <c r="O135" s="21" t="s">
        <v>950</v>
      </c>
      <c r="P135" s="15" t="s">
        <v>53</v>
      </c>
      <c r="Q135" s="13" t="s">
        <v>41</v>
      </c>
      <c r="R135" s="13" t="s">
        <v>43</v>
      </c>
      <c r="S135" s="13" t="s">
        <v>44</v>
      </c>
      <c r="T135" s="21" t="s">
        <v>68</v>
      </c>
    </row>
    <row r="136" ht="56.25" customHeight="1">
      <c r="A136" s="21" t="s">
        <v>951</v>
      </c>
      <c r="B136" s="15" t="str">
        <f>image("https://i.imgur.com/MXyd5X7.png")</f>
        <v/>
      </c>
      <c r="C136" s="22" t="str">
        <f>HYPERLINK("https://imgur.com/a/JCJmisf","Yes")</f>
        <v>Yes</v>
      </c>
      <c r="D136" s="36" t="s">
        <v>53</v>
      </c>
      <c r="E136" s="36" t="s">
        <v>53</v>
      </c>
      <c r="F136" s="24" t="s">
        <v>51</v>
      </c>
      <c r="G136" s="13">
        <v>2040.0</v>
      </c>
      <c r="H136" s="19">
        <v>1799.0</v>
      </c>
      <c r="I136" s="21" t="s">
        <v>95</v>
      </c>
      <c r="J136" s="21"/>
      <c r="K136" s="21"/>
      <c r="L136" s="21"/>
      <c r="M136" s="15" t="s">
        <v>38</v>
      </c>
      <c r="N136" s="19">
        <v>3.0</v>
      </c>
      <c r="O136" s="21" t="s">
        <v>39</v>
      </c>
      <c r="P136" s="15" t="s">
        <v>53</v>
      </c>
      <c r="Q136" s="13" t="s">
        <v>41</v>
      </c>
      <c r="R136" s="13" t="s">
        <v>54</v>
      </c>
      <c r="S136" s="13" t="s">
        <v>55</v>
      </c>
      <c r="T136" s="21"/>
    </row>
    <row r="137" ht="56.25" customHeight="1">
      <c r="A137" s="21" t="s">
        <v>956</v>
      </c>
      <c r="B137" s="15" t="str">
        <f>image("https://i.imgur.com/ieYLwLU.png")</f>
        <v/>
      </c>
      <c r="C137" s="22" t="str">
        <f>HYPERLINK("https://imgur.com/a/kVi3utd","Yes")</f>
        <v>Yes</v>
      </c>
      <c r="D137" s="36" t="s">
        <v>40</v>
      </c>
      <c r="E137" s="36" t="s">
        <v>40</v>
      </c>
      <c r="F137" s="13">
        <v>4300.0</v>
      </c>
      <c r="G137" s="13">
        <v>1075.0</v>
      </c>
      <c r="H137" s="19">
        <v>2554.0</v>
      </c>
      <c r="I137" s="21" t="s">
        <v>60</v>
      </c>
      <c r="J137" s="21"/>
      <c r="K137" s="21"/>
      <c r="L137" s="21"/>
      <c r="M137" s="15" t="s">
        <v>130</v>
      </c>
      <c r="N137" s="19">
        <v>2.0</v>
      </c>
      <c r="O137" s="21" t="s">
        <v>39</v>
      </c>
      <c r="P137" s="15" t="s">
        <v>53</v>
      </c>
      <c r="Q137" s="13" t="s">
        <v>41</v>
      </c>
      <c r="R137" s="13" t="s">
        <v>43</v>
      </c>
      <c r="S137" s="13" t="s">
        <v>44</v>
      </c>
      <c r="T137" s="21" t="s">
        <v>63</v>
      </c>
    </row>
    <row r="138" ht="56.25" customHeight="1">
      <c r="A138" s="21" t="s">
        <v>962</v>
      </c>
      <c r="B138" s="15" t="str">
        <f>image("https://i.imgur.com/CuMGpBU.png")</f>
        <v/>
      </c>
      <c r="C138" s="22" t="str">
        <f>HYPERLINK("https://imgur.com/a/30ehNih","Yes")</f>
        <v>Yes</v>
      </c>
      <c r="D138" s="36" t="s">
        <v>40</v>
      </c>
      <c r="E138" s="36" t="s">
        <v>40</v>
      </c>
      <c r="F138" s="13">
        <v>60000.0</v>
      </c>
      <c r="G138" s="13">
        <v>15000.0</v>
      </c>
      <c r="H138" s="19">
        <v>4109.0</v>
      </c>
      <c r="I138" s="21" t="s">
        <v>86</v>
      </c>
      <c r="J138" s="21" t="s">
        <v>62</v>
      </c>
      <c r="K138" s="21"/>
      <c r="L138" s="21"/>
      <c r="M138" s="15" t="s">
        <v>38</v>
      </c>
      <c r="N138" s="19">
        <v>7.0</v>
      </c>
      <c r="O138" s="21" t="s">
        <v>39</v>
      </c>
      <c r="P138" s="15" t="s">
        <v>53</v>
      </c>
      <c r="Q138" s="13" t="s">
        <v>41</v>
      </c>
      <c r="R138" s="13" t="s">
        <v>43</v>
      </c>
      <c r="S138" s="13" t="s">
        <v>44</v>
      </c>
      <c r="T138" s="21" t="s">
        <v>65</v>
      </c>
    </row>
    <row r="139" ht="56.25" customHeight="1">
      <c r="A139" s="21" t="s">
        <v>968</v>
      </c>
      <c r="B139" s="15" t="str">
        <f>image("https://i.imgur.com/RXh8Qfi.png")</f>
        <v/>
      </c>
      <c r="C139" s="22" t="str">
        <f>HYPERLINK("https://imgur.com/a/gae9ppU","Yes")</f>
        <v>Yes</v>
      </c>
      <c r="D139" s="36" t="s">
        <v>40</v>
      </c>
      <c r="E139" s="36" t="s">
        <v>40</v>
      </c>
      <c r="F139" s="13">
        <v>40000.0</v>
      </c>
      <c r="G139" s="13">
        <v>10000.0</v>
      </c>
      <c r="H139" s="19">
        <v>1802.0</v>
      </c>
      <c r="I139" s="21" t="s">
        <v>37</v>
      </c>
      <c r="J139" s="21" t="s">
        <v>90</v>
      </c>
      <c r="K139" s="21"/>
      <c r="L139" s="21"/>
      <c r="M139" s="15" t="s">
        <v>38</v>
      </c>
      <c r="N139" s="19">
        <v>7.0</v>
      </c>
      <c r="O139" s="21" t="s">
        <v>39</v>
      </c>
      <c r="P139" s="15" t="s">
        <v>53</v>
      </c>
      <c r="Q139" s="13" t="s">
        <v>215</v>
      </c>
      <c r="R139" s="13" t="s">
        <v>54</v>
      </c>
      <c r="S139" s="13" t="s">
        <v>516</v>
      </c>
      <c r="T139" s="21"/>
    </row>
    <row r="140" ht="56.25" customHeight="1">
      <c r="A140" s="21" t="s">
        <v>974</v>
      </c>
      <c r="B140" s="15" t="str">
        <f>image("https://i.imgur.com/iS2wnMe.png")</f>
        <v/>
      </c>
      <c r="C140" s="22" t="str">
        <f>HYPERLINK("https://imgur.com/a/l8PRxEe","Yes")</f>
        <v>Yes</v>
      </c>
      <c r="D140" s="36" t="s">
        <v>53</v>
      </c>
      <c r="E140" s="36" t="s">
        <v>53</v>
      </c>
      <c r="F140" s="24" t="s">
        <v>51</v>
      </c>
      <c r="G140" s="13">
        <v>2700.0</v>
      </c>
      <c r="H140" s="19">
        <v>2319.0</v>
      </c>
      <c r="I140" s="21" t="s">
        <v>95</v>
      </c>
      <c r="J140" s="21"/>
      <c r="K140" s="21"/>
      <c r="L140" s="21"/>
      <c r="M140" s="15" t="s">
        <v>38</v>
      </c>
      <c r="N140" s="19">
        <v>4.0</v>
      </c>
      <c r="O140" s="21" t="s">
        <v>39</v>
      </c>
      <c r="P140" s="15" t="s">
        <v>53</v>
      </c>
      <c r="Q140" s="13" t="s">
        <v>41</v>
      </c>
      <c r="R140" s="13" t="s">
        <v>54</v>
      </c>
      <c r="S140" s="13" t="s">
        <v>516</v>
      </c>
      <c r="T140" s="21"/>
    </row>
    <row r="141" ht="56.25" customHeight="1">
      <c r="A141" s="21" t="s">
        <v>978</v>
      </c>
      <c r="B141" s="15" t="str">
        <f>image("https://i.imgur.com/AzKIlTT.png")</f>
        <v/>
      </c>
      <c r="C141" s="22" t="str">
        <f>HYPERLINK("https://imgur.com/a/XikztfP","Yes")</f>
        <v>Yes</v>
      </c>
      <c r="D141" s="36" t="s">
        <v>40</v>
      </c>
      <c r="E141" s="36" t="s">
        <v>40</v>
      </c>
      <c r="F141" s="13">
        <v>5600.0</v>
      </c>
      <c r="G141" s="13">
        <v>1400.0</v>
      </c>
      <c r="H141" s="19">
        <v>1803.0</v>
      </c>
      <c r="I141" s="21" t="s">
        <v>67</v>
      </c>
      <c r="J141" s="21"/>
      <c r="K141" s="21"/>
      <c r="L141" s="21"/>
      <c r="M141" s="15" t="s">
        <v>130</v>
      </c>
      <c r="N141" s="19">
        <v>2.0</v>
      </c>
      <c r="O141" s="21" t="s">
        <v>39</v>
      </c>
      <c r="P141" s="15" t="s">
        <v>53</v>
      </c>
      <c r="Q141" s="13" t="s">
        <v>41</v>
      </c>
      <c r="R141" s="13" t="s">
        <v>43</v>
      </c>
      <c r="S141" s="13" t="s">
        <v>44</v>
      </c>
      <c r="T141" s="21" t="s">
        <v>68</v>
      </c>
    </row>
    <row r="142" ht="56.25" customHeight="1">
      <c r="A142" s="21" t="s">
        <v>982</v>
      </c>
      <c r="B142" s="15" t="str">
        <f>image("https://i.imgur.com/nMB4OfY.png")</f>
        <v/>
      </c>
      <c r="C142" s="22" t="str">
        <f>HYPERLINK("https://imgur.com/a/qXojB7r","Yes")</f>
        <v>Yes</v>
      </c>
      <c r="D142" s="36" t="s">
        <v>40</v>
      </c>
      <c r="E142" s="36" t="s">
        <v>40</v>
      </c>
      <c r="F142" s="13">
        <v>2700.0</v>
      </c>
      <c r="G142" s="13">
        <v>675.0</v>
      </c>
      <c r="H142" s="19">
        <v>7789.0</v>
      </c>
      <c r="I142" s="21" t="s">
        <v>95</v>
      </c>
      <c r="J142" s="21" t="s">
        <v>183</v>
      </c>
      <c r="K142" s="21"/>
      <c r="L142" s="21"/>
      <c r="M142" s="15" t="s">
        <v>130</v>
      </c>
      <c r="N142" s="19">
        <v>1.0</v>
      </c>
      <c r="O142" s="21" t="s">
        <v>39</v>
      </c>
      <c r="P142" s="15" t="s">
        <v>40</v>
      </c>
      <c r="Q142" s="13" t="s">
        <v>41</v>
      </c>
      <c r="R142" s="13" t="s">
        <v>43</v>
      </c>
      <c r="S142" s="13" t="s">
        <v>44</v>
      </c>
      <c r="T142" s="21" t="s">
        <v>63</v>
      </c>
    </row>
    <row r="143" ht="56.25" customHeight="1">
      <c r="A143" s="21" t="s">
        <v>986</v>
      </c>
      <c r="B143" s="15" t="str">
        <f>image("https://i.imgur.com/erzuBvk.png")</f>
        <v/>
      </c>
      <c r="C143" s="22" t="str">
        <f>HYPERLINK("https://imgur.com/a/XA9o7EK","Yes")</f>
        <v>Yes</v>
      </c>
      <c r="D143" s="36" t="s">
        <v>40</v>
      </c>
      <c r="E143" s="36" t="s">
        <v>40</v>
      </c>
      <c r="F143" s="13">
        <v>6800.0</v>
      </c>
      <c r="G143" s="13">
        <v>1700.0</v>
      </c>
      <c r="H143" s="19">
        <v>950.0</v>
      </c>
      <c r="I143" s="21" t="s">
        <v>67</v>
      </c>
      <c r="J143" s="21" t="s">
        <v>90</v>
      </c>
      <c r="K143" s="21"/>
      <c r="L143" s="21"/>
      <c r="M143" s="15" t="s">
        <v>38</v>
      </c>
      <c r="N143" s="19">
        <v>3.0</v>
      </c>
      <c r="O143" s="21" t="s">
        <v>39</v>
      </c>
      <c r="P143" s="15" t="s">
        <v>40</v>
      </c>
      <c r="Q143" s="13" t="s">
        <v>41</v>
      </c>
      <c r="R143" s="13" t="s">
        <v>43</v>
      </c>
      <c r="S143" s="13" t="s">
        <v>44</v>
      </c>
      <c r="T143" s="21" t="s">
        <v>68</v>
      </c>
    </row>
    <row r="144" ht="56.25" customHeight="1">
      <c r="A144" s="21" t="s">
        <v>993</v>
      </c>
      <c r="B144" s="15" t="str">
        <f>image("https://i.imgur.com/CCYjHLd.png")</f>
        <v/>
      </c>
      <c r="C144" s="22" t="str">
        <f>HYPERLINK("https://imgur.com/a/CeHUFFr","Yes")</f>
        <v>Yes</v>
      </c>
      <c r="D144" s="36" t="s">
        <v>40</v>
      </c>
      <c r="E144" s="36" t="s">
        <v>40</v>
      </c>
      <c r="F144" s="13">
        <v>220000.0</v>
      </c>
      <c r="G144" s="13">
        <v>55000.0</v>
      </c>
      <c r="H144" s="19">
        <v>7865.0</v>
      </c>
      <c r="I144" s="21" t="s">
        <v>161</v>
      </c>
      <c r="J144" s="21" t="s">
        <v>62</v>
      </c>
      <c r="K144" s="21"/>
      <c r="L144" s="21"/>
      <c r="M144" s="15" t="s">
        <v>130</v>
      </c>
      <c r="N144" s="19">
        <v>11.0</v>
      </c>
      <c r="O144" s="21" t="s">
        <v>39</v>
      </c>
      <c r="P144" s="15" t="s">
        <v>40</v>
      </c>
      <c r="Q144" s="13" t="s">
        <v>41</v>
      </c>
      <c r="R144" s="13" t="s">
        <v>43</v>
      </c>
      <c r="S144" s="13" t="s">
        <v>44</v>
      </c>
      <c r="T144" s="21" t="s">
        <v>65</v>
      </c>
    </row>
    <row r="145" ht="56.25" customHeight="1">
      <c r="A145" s="21" t="s">
        <v>1000</v>
      </c>
      <c r="B145" s="15" t="str">
        <f>image("https://i.imgur.com/z665oee.png")</f>
        <v/>
      </c>
      <c r="C145" s="22" t="str">
        <f>HYPERLINK("https://imgur.com/a/TQoj7mc","Yes")</f>
        <v>Yes</v>
      </c>
      <c r="D145" s="36" t="s">
        <v>40</v>
      </c>
      <c r="E145" s="36" t="s">
        <v>40</v>
      </c>
      <c r="F145" s="13">
        <v>82000.0</v>
      </c>
      <c r="G145" s="13">
        <v>20500.0</v>
      </c>
      <c r="H145" s="19">
        <v>1804.0</v>
      </c>
      <c r="I145" s="21" t="s">
        <v>67</v>
      </c>
      <c r="J145" s="21"/>
      <c r="K145" s="21"/>
      <c r="L145" s="21"/>
      <c r="M145" s="15" t="s">
        <v>38</v>
      </c>
      <c r="N145" s="19">
        <v>7.0</v>
      </c>
      <c r="O145" s="21" t="s">
        <v>39</v>
      </c>
      <c r="P145" s="15" t="s">
        <v>53</v>
      </c>
      <c r="Q145" s="13" t="s">
        <v>41</v>
      </c>
      <c r="R145" s="13" t="s">
        <v>43</v>
      </c>
      <c r="S145" s="13" t="s">
        <v>44</v>
      </c>
      <c r="T145" s="21" t="s">
        <v>65</v>
      </c>
    </row>
    <row r="146" ht="56.25" customHeight="1">
      <c r="A146" s="21" t="s">
        <v>1006</v>
      </c>
      <c r="B146" s="15" t="str">
        <f>image("https://i.imgur.com/rssLTPd.png")</f>
        <v/>
      </c>
      <c r="C146" s="22" t="str">
        <f>HYPERLINK("https://imgur.com/a/XFyhLIh","Yes")</f>
        <v>Yes</v>
      </c>
      <c r="D146" s="36" t="s">
        <v>40</v>
      </c>
      <c r="E146" s="36" t="s">
        <v>40</v>
      </c>
      <c r="F146" s="13">
        <v>71000.0</v>
      </c>
      <c r="G146" s="13">
        <v>17750.0</v>
      </c>
      <c r="H146" s="19">
        <v>1645.0</v>
      </c>
      <c r="I146" s="21" t="s">
        <v>67</v>
      </c>
      <c r="J146" s="21"/>
      <c r="K146" s="21"/>
      <c r="L146" s="21"/>
      <c r="M146" s="15" t="s">
        <v>38</v>
      </c>
      <c r="N146" s="19">
        <v>7.0</v>
      </c>
      <c r="O146" s="21" t="s">
        <v>39</v>
      </c>
      <c r="P146" s="15" t="s">
        <v>53</v>
      </c>
      <c r="Q146" s="13" t="s">
        <v>41</v>
      </c>
      <c r="R146" s="13" t="s">
        <v>43</v>
      </c>
      <c r="S146" s="13" t="s">
        <v>44</v>
      </c>
      <c r="T146" s="21" t="s">
        <v>65</v>
      </c>
    </row>
    <row r="147" ht="56.25" customHeight="1">
      <c r="A147" s="21" t="s">
        <v>1013</v>
      </c>
      <c r="B147" s="15" t="str">
        <f>image("https://i.imgur.com/rjTfcGI.png")</f>
        <v/>
      </c>
      <c r="C147" s="22" t="str">
        <f>HYPERLINK("https://imgur.com/a/VKdJiEt","Yes")</f>
        <v>Yes</v>
      </c>
      <c r="D147" s="36" t="s">
        <v>40</v>
      </c>
      <c r="E147" s="36" t="s">
        <v>40</v>
      </c>
      <c r="F147" s="13">
        <v>4400.0</v>
      </c>
      <c r="G147" s="13">
        <v>1100.0</v>
      </c>
      <c r="H147" s="19">
        <v>7654.0</v>
      </c>
      <c r="I147" s="21" t="s">
        <v>113</v>
      </c>
      <c r="J147" s="21" t="s">
        <v>95</v>
      </c>
      <c r="K147" s="21"/>
      <c r="L147" s="21"/>
      <c r="M147" s="15" t="s">
        <v>38</v>
      </c>
      <c r="N147" s="19">
        <v>2.0</v>
      </c>
      <c r="O147" s="21" t="s">
        <v>39</v>
      </c>
      <c r="P147" s="15" t="s">
        <v>53</v>
      </c>
      <c r="Q147" s="13" t="s">
        <v>689</v>
      </c>
      <c r="R147" s="13" t="s">
        <v>43</v>
      </c>
      <c r="S147" s="13" t="s">
        <v>44</v>
      </c>
      <c r="T147" s="21" t="s">
        <v>68</v>
      </c>
    </row>
    <row r="148" ht="56.25" customHeight="1">
      <c r="A148" s="21" t="s">
        <v>1017</v>
      </c>
      <c r="B148" s="15" t="str">
        <f>image("https://i.imgur.com/riA6Utp.png")</f>
        <v/>
      </c>
      <c r="C148" s="22" t="str">
        <f>HYPERLINK("https://imgur.com/a/jsRpzI9","Yes")</f>
        <v>Yes</v>
      </c>
      <c r="D148" s="36" t="s">
        <v>40</v>
      </c>
      <c r="E148" s="36" t="s">
        <v>40</v>
      </c>
      <c r="F148" s="13">
        <v>4200.0</v>
      </c>
      <c r="G148" s="13">
        <v>1050.0</v>
      </c>
      <c r="H148" s="19">
        <v>86.0</v>
      </c>
      <c r="I148" s="21" t="s">
        <v>95</v>
      </c>
      <c r="J148" s="21" t="s">
        <v>113</v>
      </c>
      <c r="K148" s="21"/>
      <c r="L148" s="21"/>
      <c r="M148" s="15" t="s">
        <v>130</v>
      </c>
      <c r="N148" s="19">
        <v>2.0</v>
      </c>
      <c r="O148" s="21" t="s">
        <v>39</v>
      </c>
      <c r="P148" s="15" t="s">
        <v>40</v>
      </c>
      <c r="Q148" s="13" t="s">
        <v>41</v>
      </c>
      <c r="R148" s="13" t="s">
        <v>43</v>
      </c>
      <c r="S148" s="13" t="s">
        <v>44</v>
      </c>
      <c r="T148" s="21" t="s">
        <v>63</v>
      </c>
    </row>
    <row r="149" ht="56.25" customHeight="1">
      <c r="A149" s="21" t="s">
        <v>1024</v>
      </c>
      <c r="B149" s="15" t="str">
        <f>image("https://i.imgur.com/hT7lPMa.png")</f>
        <v/>
      </c>
      <c r="C149" s="22" t="str">
        <f>HYPERLINK("https://imgur.com/a/rk7JMS4","Yes")</f>
        <v>Yes</v>
      </c>
      <c r="D149" s="36" t="s">
        <v>40</v>
      </c>
      <c r="E149" s="36" t="s">
        <v>40</v>
      </c>
      <c r="F149" s="13">
        <v>1100.0</v>
      </c>
      <c r="G149" s="13">
        <v>275.0</v>
      </c>
      <c r="H149" s="19">
        <v>1598.0</v>
      </c>
      <c r="I149" s="21" t="s">
        <v>156</v>
      </c>
      <c r="J149" s="21" t="s">
        <v>61</v>
      </c>
      <c r="K149" s="21"/>
      <c r="L149" s="21"/>
      <c r="M149" s="15" t="s">
        <v>38</v>
      </c>
      <c r="N149" s="19">
        <v>1.0</v>
      </c>
      <c r="O149" s="21" t="s">
        <v>39</v>
      </c>
      <c r="P149" s="15" t="s">
        <v>53</v>
      </c>
      <c r="Q149" s="13" t="s">
        <v>41</v>
      </c>
      <c r="R149" s="13" t="s">
        <v>43</v>
      </c>
      <c r="S149" s="13" t="s">
        <v>44</v>
      </c>
      <c r="T149" s="21" t="s">
        <v>63</v>
      </c>
    </row>
    <row r="150" ht="56.25" customHeight="1">
      <c r="A150" s="21" t="s">
        <v>1031</v>
      </c>
      <c r="B150" s="15" t="str">
        <f>image("https://i.imgur.com/oBRTxoF.png")</f>
        <v/>
      </c>
      <c r="C150" s="22" t="str">
        <f>HYPERLINK("https://imgur.com/a/LxUUla5","Yes")</f>
        <v>Yes</v>
      </c>
      <c r="D150" s="36" t="s">
        <v>40</v>
      </c>
      <c r="E150" s="36" t="s">
        <v>40</v>
      </c>
      <c r="F150" s="13">
        <v>4800.0</v>
      </c>
      <c r="G150" s="13">
        <v>1200.0</v>
      </c>
      <c r="H150" s="19">
        <v>287.0</v>
      </c>
      <c r="I150" s="21" t="s">
        <v>156</v>
      </c>
      <c r="J150" s="21"/>
      <c r="K150" s="21"/>
      <c r="L150" s="21"/>
      <c r="M150" s="15" t="s">
        <v>38</v>
      </c>
      <c r="N150" s="19">
        <v>2.0</v>
      </c>
      <c r="O150" s="21" t="s">
        <v>39</v>
      </c>
      <c r="P150" s="15" t="s">
        <v>53</v>
      </c>
      <c r="Q150" s="13" t="s">
        <v>41</v>
      </c>
      <c r="R150" s="13" t="s">
        <v>43</v>
      </c>
      <c r="S150" s="13" t="s">
        <v>44</v>
      </c>
      <c r="T150" s="21" t="s">
        <v>68</v>
      </c>
    </row>
    <row r="151" ht="56.25" customHeight="1">
      <c r="A151" s="21" t="s">
        <v>1037</v>
      </c>
      <c r="B151" s="15" t="str">
        <f>image("https://i.imgur.com/9UGGRFA.png")</f>
        <v/>
      </c>
      <c r="C151" s="22" t="str">
        <f>HYPERLINK("https://imgur.com/a/onFAz7h","Yes")</f>
        <v>Yes</v>
      </c>
      <c r="D151" s="36" t="s">
        <v>40</v>
      </c>
      <c r="E151" s="36" t="s">
        <v>40</v>
      </c>
      <c r="F151" s="13">
        <v>1700.0</v>
      </c>
      <c r="G151" s="13">
        <v>425.0</v>
      </c>
      <c r="H151" s="19">
        <v>3820.0</v>
      </c>
      <c r="I151" s="21" t="s">
        <v>60</v>
      </c>
      <c r="J151" s="21" t="s">
        <v>113</v>
      </c>
      <c r="K151" s="21"/>
      <c r="L151" s="21"/>
      <c r="M151" s="15" t="s">
        <v>38</v>
      </c>
      <c r="N151" s="19">
        <v>1.0</v>
      </c>
      <c r="O151" s="21" t="s">
        <v>39</v>
      </c>
      <c r="P151" s="15" t="s">
        <v>53</v>
      </c>
      <c r="Q151" s="13" t="s">
        <v>41</v>
      </c>
      <c r="R151" s="13" t="s">
        <v>43</v>
      </c>
      <c r="S151" s="13" t="s">
        <v>44</v>
      </c>
      <c r="T151" s="21" t="s">
        <v>63</v>
      </c>
    </row>
    <row r="152" ht="56.25" customHeight="1">
      <c r="A152" s="21" t="s">
        <v>1044</v>
      </c>
      <c r="B152" s="15" t="str">
        <f>image("https://i.imgur.com/gUvACzV.png")</f>
        <v/>
      </c>
      <c r="C152" s="22" t="str">
        <f>HYPERLINK("https://imgur.com/a/q9KeN2t","Yes")</f>
        <v>Yes</v>
      </c>
      <c r="D152" s="36" t="s">
        <v>40</v>
      </c>
      <c r="E152" s="36" t="s">
        <v>40</v>
      </c>
      <c r="F152" s="13">
        <v>1200.0</v>
      </c>
      <c r="G152" s="13">
        <v>300.0</v>
      </c>
      <c r="H152" s="19">
        <v>1288.0</v>
      </c>
      <c r="I152" s="21" t="s">
        <v>60</v>
      </c>
      <c r="J152" s="21"/>
      <c r="K152" s="21"/>
      <c r="L152" s="21"/>
      <c r="M152" s="15" t="s">
        <v>38</v>
      </c>
      <c r="N152" s="19">
        <v>1.0</v>
      </c>
      <c r="O152" s="21" t="s">
        <v>39</v>
      </c>
      <c r="P152" s="15" t="s">
        <v>40</v>
      </c>
      <c r="Q152" s="13" t="s">
        <v>41</v>
      </c>
      <c r="R152" s="13" t="s">
        <v>43</v>
      </c>
      <c r="S152" s="13" t="s">
        <v>44</v>
      </c>
      <c r="T152" s="21" t="s">
        <v>63</v>
      </c>
    </row>
    <row r="153" ht="56.25" customHeight="1">
      <c r="A153" s="21" t="s">
        <v>1053</v>
      </c>
      <c r="B153" s="15" t="str">
        <f>image("https://i.imgur.com/L3LfCoU.png")</f>
        <v/>
      </c>
      <c r="C153" s="22" t="str">
        <f>HYPERLINK("https://imgur.com/a/rBHKACT","Yes")</f>
        <v>Yes</v>
      </c>
      <c r="D153" s="36" t="s">
        <v>53</v>
      </c>
      <c r="E153" s="36" t="s">
        <v>53</v>
      </c>
      <c r="F153" s="24" t="s">
        <v>51</v>
      </c>
      <c r="G153" s="13">
        <v>1400.0</v>
      </c>
      <c r="H153" s="19">
        <v>3991.0</v>
      </c>
      <c r="I153" s="21" t="s">
        <v>212</v>
      </c>
      <c r="J153" s="21" t="s">
        <v>36</v>
      </c>
      <c r="K153" s="21"/>
      <c r="L153" s="21"/>
      <c r="M153" s="15" t="s">
        <v>38</v>
      </c>
      <c r="N153" s="19">
        <v>2.0</v>
      </c>
      <c r="O153" s="21" t="s">
        <v>39</v>
      </c>
      <c r="P153" s="15" t="s">
        <v>53</v>
      </c>
      <c r="Q153" s="13" t="s">
        <v>41</v>
      </c>
      <c r="R153" s="13" t="s">
        <v>54</v>
      </c>
      <c r="S153" s="13" t="s">
        <v>55</v>
      </c>
      <c r="T153" s="21" t="s">
        <v>418</v>
      </c>
    </row>
    <row r="154" ht="56.25" customHeight="1">
      <c r="A154" s="21" t="s">
        <v>1063</v>
      </c>
      <c r="B154" s="15" t="str">
        <f>image("https://i.imgur.com/sRrvl9w.png")</f>
        <v/>
      </c>
      <c r="C154" s="25" t="s">
        <v>40</v>
      </c>
      <c r="D154" s="36" t="s">
        <v>40</v>
      </c>
      <c r="E154" s="36" t="s">
        <v>40</v>
      </c>
      <c r="F154" s="13">
        <v>96000.0</v>
      </c>
      <c r="G154" s="13">
        <v>24000.0</v>
      </c>
      <c r="H154" s="19">
        <v>4100.0</v>
      </c>
      <c r="I154" s="21" t="s">
        <v>338</v>
      </c>
      <c r="J154" s="21"/>
      <c r="K154" s="21"/>
      <c r="L154" s="21"/>
      <c r="M154" s="15" t="s">
        <v>506</v>
      </c>
      <c r="N154" s="19"/>
      <c r="O154" s="21" t="s">
        <v>39</v>
      </c>
      <c r="P154" s="15" t="s">
        <v>53</v>
      </c>
      <c r="Q154" s="13" t="s">
        <v>41</v>
      </c>
      <c r="R154" s="13" t="s">
        <v>43</v>
      </c>
      <c r="S154" s="13" t="s">
        <v>44</v>
      </c>
      <c r="T154" s="21" t="s">
        <v>65</v>
      </c>
    </row>
    <row r="155" ht="56.25" customHeight="1">
      <c r="A155" s="21" t="s">
        <v>1067</v>
      </c>
      <c r="B155" s="15" t="str">
        <f>image("https://i.imgur.com/VDTDmnP.png")</f>
        <v/>
      </c>
      <c r="C155" s="22" t="str">
        <f>HYPERLINK("https://imgur.com/a/zDOc5Q4","Yes")</f>
        <v>Yes</v>
      </c>
      <c r="D155" s="36" t="s">
        <v>40</v>
      </c>
      <c r="E155" s="36" t="s">
        <v>40</v>
      </c>
      <c r="F155" s="13">
        <v>5900.0</v>
      </c>
      <c r="G155" s="13">
        <v>1475.0</v>
      </c>
      <c r="H155" s="19">
        <v>742.0</v>
      </c>
      <c r="I155" s="21" t="s">
        <v>60</v>
      </c>
      <c r="J155" s="21" t="s">
        <v>62</v>
      </c>
      <c r="K155" s="21"/>
      <c r="L155" s="21"/>
      <c r="M155" s="15" t="s">
        <v>130</v>
      </c>
      <c r="N155" s="19">
        <v>2.0</v>
      </c>
      <c r="O155" s="21" t="s">
        <v>39</v>
      </c>
      <c r="P155" s="15" t="s">
        <v>53</v>
      </c>
      <c r="Q155" s="13" t="s">
        <v>41</v>
      </c>
      <c r="R155" s="13" t="s">
        <v>43</v>
      </c>
      <c r="S155" s="13" t="s">
        <v>44</v>
      </c>
      <c r="T155" s="21" t="s">
        <v>63</v>
      </c>
    </row>
    <row r="156" ht="56.25" customHeight="1">
      <c r="A156" s="21" t="s">
        <v>1073</v>
      </c>
      <c r="B156" s="15" t="str">
        <f>image("https://i.imgur.com/hrjslI0.png")</f>
        <v/>
      </c>
      <c r="C156" s="22" t="str">
        <f>HYPERLINK("https://imgur.com/a/EKcWwVV","Yes")</f>
        <v>Yes</v>
      </c>
      <c r="D156" s="36" t="s">
        <v>40</v>
      </c>
      <c r="E156" s="36" t="s">
        <v>53</v>
      </c>
      <c r="F156" s="24" t="s">
        <v>51</v>
      </c>
      <c r="G156" s="13">
        <v>750.0</v>
      </c>
      <c r="H156" s="19">
        <v>3581.0</v>
      </c>
      <c r="I156" s="21" t="s">
        <v>84</v>
      </c>
      <c r="J156" s="21" t="s">
        <v>95</v>
      </c>
      <c r="K156" s="21"/>
      <c r="L156" s="21"/>
      <c r="M156" s="15" t="s">
        <v>130</v>
      </c>
      <c r="N156" s="19">
        <v>1.0</v>
      </c>
      <c r="O156" s="21" t="s">
        <v>39</v>
      </c>
      <c r="P156" s="15" t="s">
        <v>40</v>
      </c>
      <c r="Q156" s="13" t="s">
        <v>41</v>
      </c>
      <c r="R156" s="13" t="s">
        <v>54</v>
      </c>
      <c r="S156" s="13" t="s">
        <v>85</v>
      </c>
      <c r="T156" s="21"/>
    </row>
    <row r="157" ht="56.25" customHeight="1">
      <c r="A157" s="21" t="s">
        <v>1078</v>
      </c>
      <c r="B157" s="15" t="str">
        <f>image("https://i.imgur.com/6EyFiGJ.png")</f>
        <v/>
      </c>
      <c r="C157" s="22" t="str">
        <f>HYPERLINK("https://imgur.com/a/CZ6u8UT","Yes")</f>
        <v>Yes</v>
      </c>
      <c r="D157" s="36" t="s">
        <v>40</v>
      </c>
      <c r="E157" s="19"/>
      <c r="F157" s="24" t="s">
        <v>51</v>
      </c>
      <c r="G157" s="13">
        <v>300.0</v>
      </c>
      <c r="H157" s="19">
        <v>3587.0</v>
      </c>
      <c r="I157" s="21" t="s">
        <v>84</v>
      </c>
      <c r="J157" s="21" t="s">
        <v>60</v>
      </c>
      <c r="K157" s="21"/>
      <c r="L157" s="21"/>
      <c r="M157" s="15" t="s">
        <v>38</v>
      </c>
      <c r="N157" s="19">
        <v>1.0</v>
      </c>
      <c r="O157" s="21" t="s">
        <v>39</v>
      </c>
      <c r="P157" s="15" t="s">
        <v>40</v>
      </c>
      <c r="Q157" s="13" t="s">
        <v>41</v>
      </c>
      <c r="R157" s="13" t="s">
        <v>54</v>
      </c>
      <c r="S157" s="13" t="s">
        <v>85</v>
      </c>
      <c r="T157" s="21"/>
    </row>
    <row r="158" ht="56.25" customHeight="1">
      <c r="A158" s="21" t="s">
        <v>1082</v>
      </c>
      <c r="B158" s="15" t="str">
        <f>image("https://i.imgur.com/xNW8YUL.png")</f>
        <v/>
      </c>
      <c r="C158" s="22" t="str">
        <f>HYPERLINK("https://imgur.com/a/JmaZyCO","Yes")</f>
        <v>Yes</v>
      </c>
      <c r="D158" s="36" t="s">
        <v>40</v>
      </c>
      <c r="E158" s="36" t="s">
        <v>40</v>
      </c>
      <c r="F158" s="13">
        <v>1800.0</v>
      </c>
      <c r="G158" s="13">
        <v>450.0</v>
      </c>
      <c r="H158" s="19">
        <v>1243.0</v>
      </c>
      <c r="I158" s="21" t="s">
        <v>212</v>
      </c>
      <c r="J158" s="21"/>
      <c r="K158" s="21"/>
      <c r="L158" s="21"/>
      <c r="M158" s="15" t="s">
        <v>38</v>
      </c>
      <c r="N158" s="19">
        <v>1.0</v>
      </c>
      <c r="O158" s="21" t="s">
        <v>39</v>
      </c>
      <c r="P158" s="15" t="s">
        <v>40</v>
      </c>
      <c r="Q158" s="13" t="s">
        <v>41</v>
      </c>
      <c r="R158" s="13" t="s">
        <v>43</v>
      </c>
      <c r="S158" s="13" t="s">
        <v>44</v>
      </c>
      <c r="T158" s="21" t="s">
        <v>68</v>
      </c>
    </row>
    <row r="159" ht="56.25" customHeight="1">
      <c r="A159" s="21" t="s">
        <v>1086</v>
      </c>
      <c r="B159" s="15" t="str">
        <f>image("https://i.imgur.com/EOXCr3C.png")</f>
        <v/>
      </c>
      <c r="C159" s="22" t="str">
        <f>HYPERLINK("https://imgur.com/a/OLMkLGw","No")</f>
        <v>No</v>
      </c>
      <c r="D159" s="36" t="s">
        <v>53</v>
      </c>
      <c r="E159" s="36" t="s">
        <v>40</v>
      </c>
      <c r="F159" s="24" t="s">
        <v>51</v>
      </c>
      <c r="G159" s="13">
        <v>3000.0</v>
      </c>
      <c r="H159" s="19">
        <v>12206.0</v>
      </c>
      <c r="I159" s="21" t="s">
        <v>95</v>
      </c>
      <c r="J159" s="21"/>
      <c r="K159" s="21"/>
      <c r="L159" s="21"/>
      <c r="M159" s="15" t="s">
        <v>130</v>
      </c>
      <c r="N159" s="19"/>
      <c r="O159" s="21" t="s">
        <v>39</v>
      </c>
      <c r="P159" s="15" t="s">
        <v>40</v>
      </c>
      <c r="Q159" s="13" t="s">
        <v>41</v>
      </c>
      <c r="R159" s="13" t="s">
        <v>54</v>
      </c>
      <c r="S159" s="13" t="s">
        <v>55</v>
      </c>
      <c r="T159" s="21"/>
    </row>
    <row r="160" ht="56.25" customHeight="1">
      <c r="A160" s="21" t="s">
        <v>1089</v>
      </c>
      <c r="B160" s="15" t="str">
        <f>image("https://i.imgur.com/8FrlDSF.png")</f>
        <v/>
      </c>
      <c r="C160" s="22" t="str">
        <f>HYPERLINK("https://imgur.com/a/c4Cn1Eq","Yes")</f>
        <v>Yes</v>
      </c>
      <c r="D160" s="36" t="s">
        <v>40</v>
      </c>
      <c r="E160" s="36" t="s">
        <v>40</v>
      </c>
      <c r="F160" s="13">
        <v>1400.0</v>
      </c>
      <c r="G160" s="13">
        <v>350.0</v>
      </c>
      <c r="H160" s="19">
        <v>2561.0</v>
      </c>
      <c r="I160" s="21" t="s">
        <v>60</v>
      </c>
      <c r="J160" s="21"/>
      <c r="K160" s="21"/>
      <c r="L160" s="21"/>
      <c r="M160" s="15" t="s">
        <v>38</v>
      </c>
      <c r="N160" s="19">
        <v>1.0</v>
      </c>
      <c r="O160" s="21" t="s">
        <v>39</v>
      </c>
      <c r="P160" s="15" t="s">
        <v>53</v>
      </c>
      <c r="Q160" s="13" t="s">
        <v>186</v>
      </c>
      <c r="R160" s="13" t="s">
        <v>43</v>
      </c>
      <c r="S160" s="13" t="s">
        <v>44</v>
      </c>
      <c r="T160" s="21" t="s">
        <v>68</v>
      </c>
    </row>
    <row r="161" ht="56.25" customHeight="1">
      <c r="A161" s="21" t="s">
        <v>1095</v>
      </c>
      <c r="B161" s="15" t="str">
        <f>image("https://i.imgur.com/KNt94c5.png")</f>
        <v/>
      </c>
      <c r="C161" s="22" t="str">
        <f>HYPERLINK("https://imgur.com/a/6PAnu1g","Yes")</f>
        <v>Yes</v>
      </c>
      <c r="D161" s="36" t="s">
        <v>40</v>
      </c>
      <c r="E161" s="36" t="s">
        <v>40</v>
      </c>
      <c r="F161" s="13">
        <v>2200.0</v>
      </c>
      <c r="G161" s="13">
        <v>550.0</v>
      </c>
      <c r="H161" s="19">
        <v>7135.0</v>
      </c>
      <c r="I161" s="21" t="s">
        <v>90</v>
      </c>
      <c r="J161" s="21" t="s">
        <v>67</v>
      </c>
      <c r="K161" s="21"/>
      <c r="L161" s="21"/>
      <c r="M161" s="15" t="s">
        <v>38</v>
      </c>
      <c r="N161" s="19">
        <v>1.0</v>
      </c>
      <c r="O161" s="21" t="s">
        <v>39</v>
      </c>
      <c r="P161" s="15" t="s">
        <v>53</v>
      </c>
      <c r="Q161" s="13" t="s">
        <v>689</v>
      </c>
      <c r="R161" s="13" t="s">
        <v>43</v>
      </c>
      <c r="S161" s="13" t="s">
        <v>44</v>
      </c>
      <c r="T161" s="21" t="s">
        <v>68</v>
      </c>
    </row>
    <row r="162" ht="56.25" customHeight="1">
      <c r="A162" s="21" t="s">
        <v>1098</v>
      </c>
      <c r="B162" s="15" t="str">
        <f>image("https://i.imgur.com/6HhGQQk.png")</f>
        <v/>
      </c>
      <c r="C162" s="22" t="str">
        <f>HYPERLINK("https://imgur.com/a/yOcutIh","Yes")</f>
        <v>Yes</v>
      </c>
      <c r="D162" s="36" t="s">
        <v>40</v>
      </c>
      <c r="E162" s="36" t="s">
        <v>40</v>
      </c>
      <c r="F162" s="13">
        <v>730.0</v>
      </c>
      <c r="G162" s="24">
        <v>182.0</v>
      </c>
      <c r="H162" s="19">
        <v>3622.0</v>
      </c>
      <c r="I162" s="21" t="s">
        <v>161</v>
      </c>
      <c r="J162" s="21" t="s">
        <v>113</v>
      </c>
      <c r="K162" s="21"/>
      <c r="L162" s="21"/>
      <c r="M162" s="15" t="s">
        <v>38</v>
      </c>
      <c r="N162" s="19">
        <v>1.0</v>
      </c>
      <c r="O162" s="21" t="s">
        <v>39</v>
      </c>
      <c r="P162" s="15" t="s">
        <v>53</v>
      </c>
      <c r="Q162" s="13" t="s">
        <v>41</v>
      </c>
      <c r="R162" s="13" t="s">
        <v>43</v>
      </c>
      <c r="S162" s="13" t="s">
        <v>44</v>
      </c>
      <c r="T162" s="21" t="s">
        <v>63</v>
      </c>
    </row>
    <row r="163" ht="56.25" customHeight="1">
      <c r="A163" s="21" t="s">
        <v>1102</v>
      </c>
      <c r="B163" s="15" t="str">
        <f>image("https://i.imgur.com/bcOwHnL.png")</f>
        <v/>
      </c>
      <c r="C163" s="22" t="str">
        <f>HYPERLINK("https://imgur.com/a/FVkCAFb","Yes")</f>
        <v>Yes</v>
      </c>
      <c r="D163" s="36" t="s">
        <v>53</v>
      </c>
      <c r="E163" s="36" t="s">
        <v>53</v>
      </c>
      <c r="F163" s="24" t="s">
        <v>51</v>
      </c>
      <c r="G163" s="13">
        <v>2880.0</v>
      </c>
      <c r="H163" s="19">
        <v>7527.0</v>
      </c>
      <c r="I163" s="21" t="s">
        <v>212</v>
      </c>
      <c r="J163" s="21"/>
      <c r="K163" s="21"/>
      <c r="L163" s="21"/>
      <c r="M163" s="15" t="s">
        <v>506</v>
      </c>
      <c r="N163" s="19">
        <v>4.0</v>
      </c>
      <c r="O163" s="21" t="s">
        <v>39</v>
      </c>
      <c r="P163" s="15" t="s">
        <v>40</v>
      </c>
      <c r="Q163" s="13" t="s">
        <v>41</v>
      </c>
      <c r="R163" s="13" t="s">
        <v>54</v>
      </c>
      <c r="S163" s="13" t="s">
        <v>55</v>
      </c>
      <c r="T163" s="21"/>
    </row>
    <row r="164" ht="56.25" customHeight="1">
      <c r="A164" s="21" t="s">
        <v>1107</v>
      </c>
      <c r="B164" s="15" t="str">
        <f>image("https://i.imgur.com/aENYwjb.png")</f>
        <v/>
      </c>
      <c r="C164" s="22" t="str">
        <f>HYPERLINK("https://imgur.com/a/pLMnSwT","No")</f>
        <v>No</v>
      </c>
      <c r="D164" s="36" t="s">
        <v>53</v>
      </c>
      <c r="E164" s="36" t="s">
        <v>40</v>
      </c>
      <c r="F164" s="24" t="s">
        <v>51</v>
      </c>
      <c r="G164" s="13">
        <v>15000.0</v>
      </c>
      <c r="H164" s="19">
        <v>1447.0</v>
      </c>
      <c r="I164" s="21" t="s">
        <v>269</v>
      </c>
      <c r="J164" s="21"/>
      <c r="K164" s="21"/>
      <c r="L164" s="21"/>
      <c r="M164" s="15" t="s">
        <v>106</v>
      </c>
      <c r="N164" s="19"/>
      <c r="O164" s="21" t="s">
        <v>39</v>
      </c>
      <c r="P164" s="15" t="s">
        <v>53</v>
      </c>
      <c r="Q164" s="13" t="s">
        <v>41</v>
      </c>
      <c r="R164" s="13" t="s">
        <v>54</v>
      </c>
      <c r="S164" s="13" t="s">
        <v>55</v>
      </c>
      <c r="T164" s="21"/>
    </row>
    <row r="165" ht="56.25" customHeight="1">
      <c r="A165" s="21" t="s">
        <v>1112</v>
      </c>
      <c r="B165" s="15" t="str">
        <f>image("https://i.imgur.com/HAB1Qlh.png")</f>
        <v/>
      </c>
      <c r="C165" s="22" t="str">
        <f>HYPERLINK("https://imgur.com/a/2AHwnZy","Yes")</f>
        <v>Yes</v>
      </c>
      <c r="D165" s="36" t="s">
        <v>40</v>
      </c>
      <c r="E165" s="36" t="s">
        <v>40</v>
      </c>
      <c r="F165" s="13">
        <v>920.0</v>
      </c>
      <c r="G165" s="13">
        <v>230.0</v>
      </c>
      <c r="H165" s="19">
        <v>7529.0</v>
      </c>
      <c r="I165" s="21" t="s">
        <v>90</v>
      </c>
      <c r="J165" s="21"/>
      <c r="K165" s="21"/>
      <c r="L165" s="21"/>
      <c r="M165" s="15" t="s">
        <v>38</v>
      </c>
      <c r="N165" s="19">
        <v>1.0</v>
      </c>
      <c r="O165" s="21" t="s">
        <v>39</v>
      </c>
      <c r="P165" s="15" t="s">
        <v>53</v>
      </c>
      <c r="Q165" s="13" t="s">
        <v>41</v>
      </c>
      <c r="R165" s="13" t="s">
        <v>43</v>
      </c>
      <c r="S165" s="13" t="s">
        <v>44</v>
      </c>
      <c r="T165" s="21" t="s">
        <v>63</v>
      </c>
    </row>
    <row r="166" ht="56.25" customHeight="1">
      <c r="A166" s="21" t="s">
        <v>1115</v>
      </c>
      <c r="B166" s="15" t="str">
        <f>image("https://i.imgur.com/YjBKYnq.png")</f>
        <v/>
      </c>
      <c r="C166" s="22" t="str">
        <f>HYPERLINK("https://imgur.com/a/DsizvyV","Yes")</f>
        <v>Yes</v>
      </c>
      <c r="D166" s="36" t="s">
        <v>40</v>
      </c>
      <c r="E166" s="36" t="s">
        <v>40</v>
      </c>
      <c r="F166" s="13">
        <v>1900.0</v>
      </c>
      <c r="G166" s="13">
        <v>475.0</v>
      </c>
      <c r="H166" s="19">
        <v>4014.0</v>
      </c>
      <c r="I166" s="21" t="s">
        <v>113</v>
      </c>
      <c r="J166" s="21" t="s">
        <v>60</v>
      </c>
      <c r="K166" s="21"/>
      <c r="L166" s="21"/>
      <c r="M166" s="15" t="s">
        <v>38</v>
      </c>
      <c r="N166" s="19">
        <v>1.0</v>
      </c>
      <c r="O166" s="21" t="s">
        <v>39</v>
      </c>
      <c r="P166" s="15" t="s">
        <v>53</v>
      </c>
      <c r="Q166" s="13" t="s">
        <v>689</v>
      </c>
      <c r="R166" s="13" t="s">
        <v>43</v>
      </c>
      <c r="S166" s="13" t="s">
        <v>44</v>
      </c>
      <c r="T166" s="21" t="s">
        <v>68</v>
      </c>
    </row>
    <row r="167" ht="56.25" customHeight="1">
      <c r="A167" s="21" t="s">
        <v>1120</v>
      </c>
      <c r="B167" s="15" t="str">
        <f>image("https://i.imgur.com/YK0jYHE.png")</f>
        <v/>
      </c>
      <c r="C167" s="22" t="str">
        <f>HYPERLINK("https://imgur.com/a/8FeIDb2","Yes")</f>
        <v>Yes</v>
      </c>
      <c r="D167" s="36" t="s">
        <v>40</v>
      </c>
      <c r="E167" s="36" t="s">
        <v>40</v>
      </c>
      <c r="F167" s="13">
        <v>2300.0</v>
      </c>
      <c r="G167" s="13">
        <v>575.0</v>
      </c>
      <c r="H167" s="19">
        <v>1177.0</v>
      </c>
      <c r="I167" s="21" t="s">
        <v>90</v>
      </c>
      <c r="J167" s="21" t="s">
        <v>37</v>
      </c>
      <c r="K167" s="21"/>
      <c r="L167" s="21"/>
      <c r="M167" s="15" t="s">
        <v>130</v>
      </c>
      <c r="N167" s="19">
        <v>1.0</v>
      </c>
      <c r="O167" s="21" t="s">
        <v>39</v>
      </c>
      <c r="P167" s="15" t="s">
        <v>53</v>
      </c>
      <c r="Q167" s="13" t="s">
        <v>41</v>
      </c>
      <c r="R167" s="13" t="s">
        <v>43</v>
      </c>
      <c r="S167" s="13" t="s">
        <v>44</v>
      </c>
      <c r="T167" s="21" t="s">
        <v>68</v>
      </c>
    </row>
    <row r="168" ht="56.25" customHeight="1">
      <c r="A168" s="21" t="s">
        <v>1126</v>
      </c>
      <c r="B168" s="15" t="str">
        <f>image("https://i.imgur.com/x8rMOO8.png")</f>
        <v/>
      </c>
      <c r="C168" s="15" t="s">
        <v>40</v>
      </c>
      <c r="D168" s="36" t="s">
        <v>40</v>
      </c>
      <c r="E168" s="36" t="s">
        <v>40</v>
      </c>
      <c r="F168" s="13">
        <v>2600.0</v>
      </c>
      <c r="G168" s="13">
        <v>0.0</v>
      </c>
      <c r="H168" s="19"/>
      <c r="I168" s="21"/>
      <c r="J168" s="21"/>
      <c r="K168" s="21"/>
      <c r="L168" s="21"/>
      <c r="M168" s="15"/>
      <c r="N168" s="19"/>
      <c r="O168" s="21"/>
      <c r="P168" s="15"/>
      <c r="Q168" s="13"/>
      <c r="R168" s="13" t="s">
        <v>496</v>
      </c>
      <c r="S168" s="13" t="s">
        <v>497</v>
      </c>
      <c r="T168" s="21"/>
    </row>
    <row r="169" ht="56.25" customHeight="1">
      <c r="A169" s="21" t="s">
        <v>1130</v>
      </c>
      <c r="B169" s="15" t="str">
        <f>image("https://i.imgur.com/3m5K26P.png")</f>
        <v/>
      </c>
      <c r="C169" s="22" t="str">
        <f>HYPERLINK("https://imgur.com/a/yuVpyob","Yes")</f>
        <v>Yes</v>
      </c>
      <c r="D169" s="36" t="s">
        <v>53</v>
      </c>
      <c r="E169" s="36" t="s">
        <v>53</v>
      </c>
      <c r="F169" s="24" t="s">
        <v>51</v>
      </c>
      <c r="G169" s="13">
        <v>11700.0</v>
      </c>
      <c r="H169" s="19">
        <v>8031.0</v>
      </c>
      <c r="I169" s="21" t="s">
        <v>95</v>
      </c>
      <c r="J169" s="21" t="s">
        <v>90</v>
      </c>
      <c r="K169" s="21"/>
      <c r="L169" s="21"/>
      <c r="M169" s="15" t="s">
        <v>1133</v>
      </c>
      <c r="N169" s="19">
        <v>7.0</v>
      </c>
      <c r="O169" s="21" t="s">
        <v>39</v>
      </c>
      <c r="P169" s="15" t="s">
        <v>53</v>
      </c>
      <c r="Q169" s="13" t="s">
        <v>41</v>
      </c>
      <c r="R169" s="13" t="s">
        <v>54</v>
      </c>
      <c r="S169" s="13" t="s">
        <v>516</v>
      </c>
      <c r="T169" s="21"/>
    </row>
    <row r="170" ht="56.25" customHeight="1">
      <c r="A170" s="21" t="s">
        <v>1137</v>
      </c>
      <c r="B170" s="15" t="str">
        <f>image("https://i.imgur.com/avxlSlC.png")</f>
        <v/>
      </c>
      <c r="C170" s="22" t="str">
        <f>HYPERLINK("https://imgur.com/a/IYRA5tJ","Yes")</f>
        <v>Yes</v>
      </c>
      <c r="D170" s="36" t="s">
        <v>40</v>
      </c>
      <c r="E170" s="36" t="s">
        <v>40</v>
      </c>
      <c r="F170" s="13">
        <v>3500.0</v>
      </c>
      <c r="G170" s="13">
        <v>875.0</v>
      </c>
      <c r="H170" s="19">
        <v>4135.0</v>
      </c>
      <c r="I170" s="21" t="s">
        <v>86</v>
      </c>
      <c r="J170" s="21" t="s">
        <v>37</v>
      </c>
      <c r="K170" s="21"/>
      <c r="L170" s="21"/>
      <c r="M170" s="15" t="s">
        <v>130</v>
      </c>
      <c r="N170" s="19">
        <v>2.0</v>
      </c>
      <c r="O170" s="21" t="s">
        <v>39</v>
      </c>
      <c r="P170" s="15" t="s">
        <v>53</v>
      </c>
      <c r="Q170" s="13" t="s">
        <v>41</v>
      </c>
      <c r="R170" s="13" t="s">
        <v>43</v>
      </c>
      <c r="S170" s="13" t="s">
        <v>44</v>
      </c>
      <c r="T170" s="21" t="s">
        <v>63</v>
      </c>
    </row>
    <row r="171" ht="56.25" customHeight="1">
      <c r="A171" s="21" t="s">
        <v>1144</v>
      </c>
      <c r="B171" s="15" t="str">
        <f>image("https://i.imgur.com/QKGe75Y.png")</f>
        <v/>
      </c>
      <c r="C171" s="22" t="str">
        <f>HYPERLINK("https://imgur.com/a/Krap0qQ","No")</f>
        <v>No</v>
      </c>
      <c r="D171" s="36" t="s">
        <v>40</v>
      </c>
      <c r="E171" s="36" t="s">
        <v>40</v>
      </c>
      <c r="F171" s="24" t="s">
        <v>51</v>
      </c>
      <c r="G171" s="24">
        <v>450.0</v>
      </c>
      <c r="H171" s="19">
        <v>7838.0</v>
      </c>
      <c r="I171" s="21" t="s">
        <v>84</v>
      </c>
      <c r="J171" s="21" t="s">
        <v>37</v>
      </c>
      <c r="K171" s="21"/>
      <c r="L171" s="21"/>
      <c r="M171" s="15" t="s">
        <v>130</v>
      </c>
      <c r="N171" s="19"/>
      <c r="O171" s="21" t="s">
        <v>39</v>
      </c>
      <c r="P171" s="15" t="s">
        <v>53</v>
      </c>
      <c r="Q171" s="13" t="s">
        <v>41</v>
      </c>
      <c r="R171" s="13" t="s">
        <v>54</v>
      </c>
      <c r="S171" s="13" t="s">
        <v>85</v>
      </c>
      <c r="T171" s="21"/>
    </row>
    <row r="172" ht="56.25" customHeight="1">
      <c r="A172" s="21" t="s">
        <v>1148</v>
      </c>
      <c r="B172" s="15" t="str">
        <f>image("https://i.imgur.com/0en1EUC.png")</f>
        <v/>
      </c>
      <c r="C172" s="22" t="str">
        <f>HYPERLINK("https://imgur.com/a/kDfQkuT","Yes")</f>
        <v>Yes</v>
      </c>
      <c r="D172" s="36" t="s">
        <v>53</v>
      </c>
      <c r="E172" s="36" t="s">
        <v>53</v>
      </c>
      <c r="F172" s="24" t="s">
        <v>51</v>
      </c>
      <c r="G172" s="13">
        <v>9000.0</v>
      </c>
      <c r="H172" s="19">
        <v>3499.0</v>
      </c>
      <c r="I172" s="21" t="s">
        <v>745</v>
      </c>
      <c r="J172" s="21"/>
      <c r="K172" s="21"/>
      <c r="L172" s="21"/>
      <c r="M172" s="15" t="s">
        <v>327</v>
      </c>
      <c r="N172" s="19">
        <v>7.0</v>
      </c>
      <c r="O172" s="21" t="s">
        <v>39</v>
      </c>
      <c r="P172" s="15" t="s">
        <v>40</v>
      </c>
      <c r="Q172" s="13" t="s">
        <v>41</v>
      </c>
      <c r="R172" s="13" t="s">
        <v>54</v>
      </c>
      <c r="S172" s="13" t="s">
        <v>747</v>
      </c>
      <c r="T172" s="21" t="s">
        <v>749</v>
      </c>
    </row>
    <row r="173" ht="56.25" customHeight="1">
      <c r="A173" s="21" t="s">
        <v>1152</v>
      </c>
      <c r="B173" s="15" t="str">
        <f>image("https://i.imgur.com/3JawKxU.png")</f>
        <v/>
      </c>
      <c r="C173" s="22" t="str">
        <f>HYPERLINK("https://imgur.com/a/NJhEwaz","Yes")</f>
        <v>Yes</v>
      </c>
      <c r="D173" s="36" t="s">
        <v>53</v>
      </c>
      <c r="E173" s="36" t="s">
        <v>53</v>
      </c>
      <c r="F173" s="24" t="s">
        <v>51</v>
      </c>
      <c r="G173" s="13">
        <v>9000.0</v>
      </c>
      <c r="H173" s="19">
        <v>3502.0</v>
      </c>
      <c r="I173" s="21" t="s">
        <v>745</v>
      </c>
      <c r="J173" s="21"/>
      <c r="K173" s="21"/>
      <c r="L173" s="21"/>
      <c r="M173" s="15" t="s">
        <v>106</v>
      </c>
      <c r="N173" s="19">
        <v>8.0</v>
      </c>
      <c r="O173" s="21" t="s">
        <v>39</v>
      </c>
      <c r="P173" s="15" t="s">
        <v>53</v>
      </c>
      <c r="Q173" s="13" t="s">
        <v>41</v>
      </c>
      <c r="R173" s="13" t="s">
        <v>54</v>
      </c>
      <c r="S173" s="13" t="s">
        <v>747</v>
      </c>
      <c r="T173" s="21" t="s">
        <v>749</v>
      </c>
    </row>
    <row r="174" ht="56.25" customHeight="1">
      <c r="A174" s="21" t="s">
        <v>1157</v>
      </c>
      <c r="B174" s="15" t="str">
        <f>image("https://i.imgur.com/yYVVYo9.png")</f>
        <v/>
      </c>
      <c r="C174" s="22" t="str">
        <f>HYPERLINK("https://imgur.com/a/mNOoUjj","Yes")</f>
        <v>Yes</v>
      </c>
      <c r="D174" s="36" t="s">
        <v>53</v>
      </c>
      <c r="E174" s="36" t="s">
        <v>53</v>
      </c>
      <c r="F174" s="24" t="s">
        <v>51</v>
      </c>
      <c r="G174" s="13">
        <v>6200.0</v>
      </c>
      <c r="H174" s="19">
        <v>3503.0</v>
      </c>
      <c r="I174" s="21" t="s">
        <v>745</v>
      </c>
      <c r="J174" s="21"/>
      <c r="K174" s="21"/>
      <c r="L174" s="21"/>
      <c r="M174" s="15" t="s">
        <v>38</v>
      </c>
      <c r="N174" s="19">
        <v>7.0</v>
      </c>
      <c r="O174" s="21" t="s">
        <v>39</v>
      </c>
      <c r="P174" s="15" t="s">
        <v>53</v>
      </c>
      <c r="Q174" s="13" t="s">
        <v>41</v>
      </c>
      <c r="R174" s="13" t="s">
        <v>54</v>
      </c>
      <c r="S174" s="13" t="s">
        <v>747</v>
      </c>
      <c r="T174" s="21" t="s">
        <v>749</v>
      </c>
    </row>
    <row r="175" ht="56.25" customHeight="1">
      <c r="A175" s="21" t="s">
        <v>1160</v>
      </c>
      <c r="B175" s="15" t="str">
        <f>image("https://i.imgur.com/3gGGrPA.png")</f>
        <v/>
      </c>
      <c r="C175" s="22" t="str">
        <f>HYPERLINK("https://imgur.com/a/YzrDJ0X","Yes")</f>
        <v>Yes</v>
      </c>
      <c r="D175" s="36" t="s">
        <v>53</v>
      </c>
      <c r="E175" s="36" t="s">
        <v>53</v>
      </c>
      <c r="F175" s="24" t="s">
        <v>51</v>
      </c>
      <c r="G175" s="13">
        <v>7000.0</v>
      </c>
      <c r="H175" s="19">
        <v>3505.0</v>
      </c>
      <c r="I175" s="21" t="s">
        <v>745</v>
      </c>
      <c r="J175" s="21"/>
      <c r="K175" s="21"/>
      <c r="L175" s="21"/>
      <c r="M175" s="15" t="s">
        <v>130</v>
      </c>
      <c r="N175" s="19">
        <v>7.0</v>
      </c>
      <c r="O175" s="21" t="s">
        <v>39</v>
      </c>
      <c r="P175" s="15" t="s">
        <v>40</v>
      </c>
      <c r="Q175" s="13" t="s">
        <v>41</v>
      </c>
      <c r="R175" s="13" t="s">
        <v>54</v>
      </c>
      <c r="S175" s="13" t="s">
        <v>747</v>
      </c>
      <c r="T175" s="21" t="s">
        <v>749</v>
      </c>
    </row>
    <row r="176" ht="56.25" customHeight="1">
      <c r="A176" s="21" t="s">
        <v>1166</v>
      </c>
      <c r="B176" s="15" t="str">
        <f>image("https://i.imgur.com/6BPjjZn.png")</f>
        <v/>
      </c>
      <c r="C176" s="22" t="str">
        <f>HYPERLINK("https://imgur.com/a/6sEV97J","Yes")</f>
        <v>Yes</v>
      </c>
      <c r="D176" s="36" t="s">
        <v>53</v>
      </c>
      <c r="E176" s="36" t="s">
        <v>53</v>
      </c>
      <c r="F176" s="24" t="s">
        <v>51</v>
      </c>
      <c r="G176" s="13">
        <v>7400.0</v>
      </c>
      <c r="H176" s="19">
        <v>3498.0</v>
      </c>
      <c r="I176" s="21" t="s">
        <v>745</v>
      </c>
      <c r="J176" s="21"/>
      <c r="K176" s="21"/>
      <c r="L176" s="21"/>
      <c r="M176" s="15" t="s">
        <v>332</v>
      </c>
      <c r="N176" s="19">
        <v>7.0</v>
      </c>
      <c r="O176" s="21" t="s">
        <v>39</v>
      </c>
      <c r="P176" s="15" t="s">
        <v>40</v>
      </c>
      <c r="Q176" s="13" t="s">
        <v>41</v>
      </c>
      <c r="R176" s="13" t="s">
        <v>54</v>
      </c>
      <c r="S176" s="13" t="s">
        <v>747</v>
      </c>
      <c r="T176" s="21" t="s">
        <v>749</v>
      </c>
    </row>
    <row r="177" ht="56.25" customHeight="1">
      <c r="A177" s="21" t="s">
        <v>1169</v>
      </c>
      <c r="B177" s="15" t="str">
        <f>image("https://i.imgur.com/Fh8MC0R.png")</f>
        <v/>
      </c>
      <c r="C177" s="22" t="str">
        <f>HYPERLINK("https://imgur.com/a/sLrGCYZ","Yes")</f>
        <v>Yes</v>
      </c>
      <c r="D177" s="36" t="s">
        <v>53</v>
      </c>
      <c r="E177" s="36" t="s">
        <v>53</v>
      </c>
      <c r="F177" s="24" t="s">
        <v>51</v>
      </c>
      <c r="G177" s="13">
        <v>6200.0</v>
      </c>
      <c r="H177" s="19">
        <v>3500.0</v>
      </c>
      <c r="I177" s="21" t="s">
        <v>745</v>
      </c>
      <c r="J177" s="21"/>
      <c r="K177" s="21"/>
      <c r="L177" s="21"/>
      <c r="M177" s="15" t="s">
        <v>38</v>
      </c>
      <c r="N177" s="19">
        <v>7.0</v>
      </c>
      <c r="O177" s="21" t="s">
        <v>39</v>
      </c>
      <c r="P177" s="15" t="s">
        <v>40</v>
      </c>
      <c r="Q177" s="13" t="s">
        <v>41</v>
      </c>
      <c r="R177" s="13" t="s">
        <v>54</v>
      </c>
      <c r="S177" s="13" t="s">
        <v>747</v>
      </c>
      <c r="T177" s="21" t="s">
        <v>749</v>
      </c>
    </row>
    <row r="178" ht="56.25" customHeight="1">
      <c r="A178" s="21" t="s">
        <v>1173</v>
      </c>
      <c r="B178" s="15" t="str">
        <f>image("https://i.imgur.com/FN28bDe.png")</f>
        <v/>
      </c>
      <c r="C178" s="22" t="str">
        <f>HYPERLINK("https://imgur.com/a/A8SoiYm","Yes")</f>
        <v>Yes</v>
      </c>
      <c r="D178" s="36" t="s">
        <v>53</v>
      </c>
      <c r="E178" s="36" t="s">
        <v>53</v>
      </c>
      <c r="F178" s="24" t="s">
        <v>51</v>
      </c>
      <c r="G178" s="13">
        <v>6600.0</v>
      </c>
      <c r="H178" s="19">
        <v>3501.0</v>
      </c>
      <c r="I178" s="21" t="s">
        <v>745</v>
      </c>
      <c r="J178" s="21"/>
      <c r="K178" s="21"/>
      <c r="L178" s="21"/>
      <c r="M178" s="15" t="s">
        <v>506</v>
      </c>
      <c r="N178" s="19">
        <v>7.0</v>
      </c>
      <c r="O178" s="21" t="s">
        <v>39</v>
      </c>
      <c r="P178" s="15" t="s">
        <v>40</v>
      </c>
      <c r="Q178" s="13" t="s">
        <v>41</v>
      </c>
      <c r="R178" s="13" t="s">
        <v>54</v>
      </c>
      <c r="S178" s="13" t="s">
        <v>747</v>
      </c>
      <c r="T178" s="21" t="s">
        <v>749</v>
      </c>
    </row>
    <row r="179" ht="56.25" customHeight="1">
      <c r="A179" s="21" t="s">
        <v>1178</v>
      </c>
      <c r="B179" s="15" t="str">
        <f>image("https://i.imgur.com/LKdTydv.png")</f>
        <v/>
      </c>
      <c r="C179" s="22" t="str">
        <f>HYPERLINK("https://imgur.com/a/9HClUwo","Yes")</f>
        <v>Yes</v>
      </c>
      <c r="D179" s="36" t="s">
        <v>53</v>
      </c>
      <c r="E179" s="36" t="s">
        <v>53</v>
      </c>
      <c r="F179" s="24" t="s">
        <v>51</v>
      </c>
      <c r="G179" s="13">
        <v>8200.0</v>
      </c>
      <c r="H179" s="19">
        <v>3497.0</v>
      </c>
      <c r="I179" s="21" t="s">
        <v>745</v>
      </c>
      <c r="J179" s="21"/>
      <c r="K179" s="21"/>
      <c r="L179" s="21"/>
      <c r="M179" s="15" t="s">
        <v>106</v>
      </c>
      <c r="N179" s="19">
        <v>7.0</v>
      </c>
      <c r="O179" s="21" t="s">
        <v>39</v>
      </c>
      <c r="P179" s="15" t="s">
        <v>40</v>
      </c>
      <c r="Q179" s="13" t="s">
        <v>41</v>
      </c>
      <c r="R179" s="13" t="s">
        <v>54</v>
      </c>
      <c r="S179" s="13" t="s">
        <v>747</v>
      </c>
      <c r="T179" s="21" t="s">
        <v>749</v>
      </c>
    </row>
    <row r="180" ht="56.25" customHeight="1">
      <c r="A180" s="21" t="s">
        <v>1183</v>
      </c>
      <c r="B180" s="15" t="str">
        <f>image("https://i.imgur.com/xPdk1Pn.png")</f>
        <v/>
      </c>
      <c r="C180" s="22" t="str">
        <f>HYPERLINK("https://imgur.com/a/R2eimRg","Yes")</f>
        <v>Yes</v>
      </c>
      <c r="D180" s="36" t="s">
        <v>53</v>
      </c>
      <c r="E180" s="36" t="s">
        <v>53</v>
      </c>
      <c r="F180" s="24" t="s">
        <v>51</v>
      </c>
      <c r="G180" s="13">
        <v>8200.0</v>
      </c>
      <c r="H180" s="19">
        <v>3504.0</v>
      </c>
      <c r="I180" s="21" t="s">
        <v>745</v>
      </c>
      <c r="J180" s="21"/>
      <c r="K180" s="21"/>
      <c r="L180" s="21"/>
      <c r="M180" s="15" t="s">
        <v>106</v>
      </c>
      <c r="N180" s="19">
        <v>7.0</v>
      </c>
      <c r="O180" s="21" t="s">
        <v>39</v>
      </c>
      <c r="P180" s="15" t="s">
        <v>40</v>
      </c>
      <c r="Q180" s="13" t="s">
        <v>41</v>
      </c>
      <c r="R180" s="13" t="s">
        <v>54</v>
      </c>
      <c r="S180" s="13" t="s">
        <v>747</v>
      </c>
      <c r="T180" s="21" t="s">
        <v>749</v>
      </c>
    </row>
    <row r="181" ht="56.25" customHeight="1">
      <c r="A181" s="21" t="s">
        <v>1190</v>
      </c>
      <c r="B181" s="15" t="str">
        <f>image("https://i.imgur.com/kfKaUbQ.png")</f>
        <v/>
      </c>
      <c r="C181" s="22" t="str">
        <f>HYPERLINK("https://imgur.com/a/sLaTVZX","Yes")</f>
        <v>Yes</v>
      </c>
      <c r="D181" s="36" t="s">
        <v>40</v>
      </c>
      <c r="E181" s="36" t="s">
        <v>53</v>
      </c>
      <c r="F181" s="13">
        <v>1600.0</v>
      </c>
      <c r="G181" s="13">
        <v>400.0</v>
      </c>
      <c r="H181" s="19">
        <v>3230.0</v>
      </c>
      <c r="I181" s="21" t="s">
        <v>161</v>
      </c>
      <c r="J181" s="21"/>
      <c r="K181" s="21"/>
      <c r="L181" s="21"/>
      <c r="M181" s="15" t="s">
        <v>130</v>
      </c>
      <c r="N181" s="19">
        <v>1.0</v>
      </c>
      <c r="O181" s="21" t="s">
        <v>39</v>
      </c>
      <c r="P181" s="15" t="s">
        <v>53</v>
      </c>
      <c r="Q181" s="13" t="s">
        <v>41</v>
      </c>
      <c r="R181" s="13" t="s">
        <v>43</v>
      </c>
      <c r="S181" s="13" t="s">
        <v>44</v>
      </c>
      <c r="T181" s="21" t="s">
        <v>63</v>
      </c>
    </row>
    <row r="182" ht="56.25" customHeight="1">
      <c r="A182" s="21" t="s">
        <v>1195</v>
      </c>
      <c r="B182" s="15" t="str">
        <f>image("https://i.imgur.com/DsFua45.png")</f>
        <v/>
      </c>
      <c r="C182" s="22" t="str">
        <f>HYPERLINK("https://imgur.com/a/wkt4T8R","Yes")</f>
        <v>Yes</v>
      </c>
      <c r="D182" s="36" t="s">
        <v>40</v>
      </c>
      <c r="E182" s="36" t="s">
        <v>40</v>
      </c>
      <c r="F182" s="13">
        <v>1000.0</v>
      </c>
      <c r="G182" s="13">
        <v>250.0</v>
      </c>
      <c r="H182" s="19">
        <v>9767.0</v>
      </c>
      <c r="I182" s="21" t="s">
        <v>243</v>
      </c>
      <c r="J182" s="21" t="s">
        <v>90</v>
      </c>
      <c r="K182" s="21"/>
      <c r="L182" s="21"/>
      <c r="M182" s="15" t="s">
        <v>38</v>
      </c>
      <c r="N182" s="19">
        <v>1.0</v>
      </c>
      <c r="O182" s="21" t="s">
        <v>39</v>
      </c>
      <c r="P182" s="15" t="s">
        <v>53</v>
      </c>
      <c r="Q182" s="13" t="s">
        <v>41</v>
      </c>
      <c r="R182" s="13" t="s">
        <v>43</v>
      </c>
      <c r="S182" s="13" t="s">
        <v>44</v>
      </c>
      <c r="T182" s="21" t="s">
        <v>63</v>
      </c>
    </row>
    <row r="183" ht="56.25" customHeight="1">
      <c r="A183" s="21" t="s">
        <v>1200</v>
      </c>
      <c r="B183" s="15" t="str">
        <f>image("https://i.imgur.com/AoAvZIX.png")</f>
        <v/>
      </c>
      <c r="C183" s="22" t="str">
        <f>HYPERLINK("https://imgur.com/a/p2rl5Pg","No")</f>
        <v>No</v>
      </c>
      <c r="D183" s="36" t="s">
        <v>40</v>
      </c>
      <c r="E183" s="36" t="s">
        <v>40</v>
      </c>
      <c r="F183" s="13">
        <v>960.0</v>
      </c>
      <c r="G183" s="13">
        <v>240.0</v>
      </c>
      <c r="H183" s="19">
        <v>2555.0</v>
      </c>
      <c r="I183" s="21" t="s">
        <v>243</v>
      </c>
      <c r="J183" s="21"/>
      <c r="K183" s="21"/>
      <c r="L183" s="21"/>
      <c r="M183" s="15" t="s">
        <v>38</v>
      </c>
      <c r="N183" s="19"/>
      <c r="O183" s="21" t="s">
        <v>39</v>
      </c>
      <c r="P183" s="15" t="s">
        <v>53</v>
      </c>
      <c r="Q183" s="13" t="s">
        <v>41</v>
      </c>
      <c r="R183" s="13" t="s">
        <v>43</v>
      </c>
      <c r="S183" s="13" t="s">
        <v>44</v>
      </c>
      <c r="T183" s="21" t="s">
        <v>63</v>
      </c>
    </row>
    <row r="184" ht="56.25" customHeight="1">
      <c r="A184" s="21" t="s">
        <v>1204</v>
      </c>
      <c r="B184" s="15" t="str">
        <f>image("https://i.imgur.com/vjiEMp1.png")</f>
        <v/>
      </c>
      <c r="C184" s="22" t="str">
        <f>HYPERLINK("https://imgur.com/a/fgOuDF6","No")</f>
        <v>No</v>
      </c>
      <c r="D184" s="36" t="s">
        <v>40</v>
      </c>
      <c r="E184" s="36" t="s">
        <v>40</v>
      </c>
      <c r="F184" s="13">
        <v>1000.0</v>
      </c>
      <c r="G184" s="13">
        <v>250.0</v>
      </c>
      <c r="H184" s="19">
        <v>2556.0</v>
      </c>
      <c r="I184" s="21" t="s">
        <v>243</v>
      </c>
      <c r="J184" s="21"/>
      <c r="K184" s="21"/>
      <c r="L184" s="21"/>
      <c r="M184" s="15" t="s">
        <v>38</v>
      </c>
      <c r="N184" s="19"/>
      <c r="O184" s="21" t="s">
        <v>39</v>
      </c>
      <c r="P184" s="15" t="s">
        <v>53</v>
      </c>
      <c r="Q184" s="13" t="s">
        <v>41</v>
      </c>
      <c r="R184" s="13" t="s">
        <v>43</v>
      </c>
      <c r="S184" s="13" t="s">
        <v>44</v>
      </c>
      <c r="T184" s="21" t="s">
        <v>63</v>
      </c>
    </row>
    <row r="185" ht="56.25" customHeight="1">
      <c r="A185" s="21" t="s">
        <v>1208</v>
      </c>
      <c r="B185" s="15" t="str">
        <f>image("https://i.imgur.com/GiklOjS.png")</f>
        <v/>
      </c>
      <c r="C185" s="22" t="str">
        <f>HYPERLINK("https://imgur.com/a/KpFa77Q","Yes")</f>
        <v>Yes</v>
      </c>
      <c r="D185" s="36" t="s">
        <v>53</v>
      </c>
      <c r="E185" s="36" t="s">
        <v>53</v>
      </c>
      <c r="F185" s="24" t="s">
        <v>51</v>
      </c>
      <c r="G185" s="13">
        <v>4440.0</v>
      </c>
      <c r="H185" s="19">
        <v>3509.0</v>
      </c>
      <c r="I185" s="21" t="s">
        <v>95</v>
      </c>
      <c r="J185" s="21"/>
      <c r="K185" s="21"/>
      <c r="L185" s="21"/>
      <c r="M185" s="15" t="s">
        <v>130</v>
      </c>
      <c r="N185" s="19">
        <v>6.0</v>
      </c>
      <c r="O185" s="21" t="s">
        <v>39</v>
      </c>
      <c r="P185" s="15" t="s">
        <v>53</v>
      </c>
      <c r="Q185" s="13" t="s">
        <v>41</v>
      </c>
      <c r="R185" s="13" t="s">
        <v>54</v>
      </c>
      <c r="S185" s="13" t="s">
        <v>55</v>
      </c>
      <c r="T185" s="21"/>
    </row>
    <row r="186" ht="56.25" customHeight="1">
      <c r="A186" s="21" t="s">
        <v>1213</v>
      </c>
      <c r="B186" s="15" t="str">
        <f>image("https://i.imgur.com/rBcGGHM.png")</f>
        <v/>
      </c>
      <c r="C186" s="22" t="str">
        <f>HYPERLINK("https://imgur.com/a/eY7mkSI","Yes")</f>
        <v>Yes</v>
      </c>
      <c r="D186" s="36" t="s">
        <v>40</v>
      </c>
      <c r="E186" s="36" t="s">
        <v>40</v>
      </c>
      <c r="F186" s="13">
        <v>1900.0</v>
      </c>
      <c r="G186" s="13">
        <v>475.0</v>
      </c>
      <c r="H186" s="19">
        <v>1631.0</v>
      </c>
      <c r="I186" s="21" t="s">
        <v>95</v>
      </c>
      <c r="J186" s="21"/>
      <c r="K186" s="21"/>
      <c r="L186" s="21"/>
      <c r="M186" s="15" t="s">
        <v>38</v>
      </c>
      <c r="N186" s="19">
        <v>1.0</v>
      </c>
      <c r="O186" s="21" t="s">
        <v>39</v>
      </c>
      <c r="P186" s="15" t="s">
        <v>53</v>
      </c>
      <c r="Q186" s="13" t="s">
        <v>41</v>
      </c>
      <c r="R186" s="13" t="s">
        <v>43</v>
      </c>
      <c r="S186" s="13" t="s">
        <v>44</v>
      </c>
      <c r="T186" s="21" t="s">
        <v>63</v>
      </c>
    </row>
    <row r="187" ht="56.25" customHeight="1">
      <c r="A187" s="21" t="s">
        <v>1217</v>
      </c>
      <c r="B187" s="15" t="str">
        <f>image("https://i.imgur.com/pyJhIc1.png")</f>
        <v/>
      </c>
      <c r="C187" s="22" t="str">
        <f>HYPERLINK("https://imgur.com/a/2Yqb6Mt","Yes")</f>
        <v>Yes</v>
      </c>
      <c r="D187" s="36" t="s">
        <v>40</v>
      </c>
      <c r="E187" s="36" t="s">
        <v>40</v>
      </c>
      <c r="F187" s="13">
        <v>1400.0</v>
      </c>
      <c r="G187" s="13">
        <v>350.0</v>
      </c>
      <c r="H187" s="19">
        <v>1628.0</v>
      </c>
      <c r="I187" s="21" t="s">
        <v>95</v>
      </c>
      <c r="J187" s="21"/>
      <c r="K187" s="21"/>
      <c r="L187" s="21"/>
      <c r="M187" s="15" t="s">
        <v>38</v>
      </c>
      <c r="N187" s="19">
        <v>1.0</v>
      </c>
      <c r="O187" s="21" t="s">
        <v>39</v>
      </c>
      <c r="P187" s="15" t="s">
        <v>53</v>
      </c>
      <c r="Q187" s="13" t="s">
        <v>186</v>
      </c>
      <c r="R187" s="13" t="s">
        <v>43</v>
      </c>
      <c r="S187" s="13" t="s">
        <v>44</v>
      </c>
      <c r="T187" s="21" t="s">
        <v>63</v>
      </c>
    </row>
    <row r="188" ht="56.25" customHeight="1">
      <c r="A188" s="21" t="s">
        <v>1225</v>
      </c>
      <c r="B188" s="15" t="str">
        <f>image("https://i.imgur.com/Vo4SSef.png")</f>
        <v/>
      </c>
      <c r="C188" s="22" t="str">
        <f>HYPERLINK("https://imgur.com/a/Q6fWuYA","No")</f>
        <v>No</v>
      </c>
      <c r="D188" s="36" t="s">
        <v>53</v>
      </c>
      <c r="E188" s="36" t="s">
        <v>40</v>
      </c>
      <c r="F188" s="24" t="s">
        <v>51</v>
      </c>
      <c r="G188" s="13">
        <v>2250.0</v>
      </c>
      <c r="H188" s="19">
        <v>729.0</v>
      </c>
      <c r="I188" s="21" t="s">
        <v>95</v>
      </c>
      <c r="J188" s="21"/>
      <c r="K188" s="21"/>
      <c r="L188" s="21"/>
      <c r="M188" s="15" t="s">
        <v>38</v>
      </c>
      <c r="N188" s="19"/>
      <c r="O188" s="21" t="s">
        <v>39</v>
      </c>
      <c r="P188" s="15" t="s">
        <v>40</v>
      </c>
      <c r="Q188" s="13" t="s">
        <v>41</v>
      </c>
      <c r="R188" s="13" t="s">
        <v>54</v>
      </c>
      <c r="S188" s="13" t="s">
        <v>55</v>
      </c>
      <c r="T188" s="21"/>
    </row>
    <row r="189" ht="56.25" customHeight="1">
      <c r="A189" s="21" t="s">
        <v>1230</v>
      </c>
      <c r="B189" s="15" t="str">
        <f>image("https://i.imgur.com/0rZBIoD.png")</f>
        <v/>
      </c>
      <c r="C189" s="22" t="str">
        <f>HYPERLINK("https://imgur.com/a/uS6hjXp","Yes")</f>
        <v>Yes</v>
      </c>
      <c r="D189" s="36" t="s">
        <v>53</v>
      </c>
      <c r="E189" s="36" t="s">
        <v>53</v>
      </c>
      <c r="F189" s="24" t="s">
        <v>51</v>
      </c>
      <c r="G189" s="13">
        <v>3180.0</v>
      </c>
      <c r="H189" s="19">
        <v>8419.0</v>
      </c>
      <c r="I189" s="21" t="s">
        <v>95</v>
      </c>
      <c r="J189" s="21" t="s">
        <v>36</v>
      </c>
      <c r="K189" s="21"/>
      <c r="L189" s="21"/>
      <c r="M189" s="15" t="s">
        <v>130</v>
      </c>
      <c r="N189" s="19">
        <v>5.0</v>
      </c>
      <c r="O189" s="21" t="s">
        <v>39</v>
      </c>
      <c r="P189" s="15" t="s">
        <v>40</v>
      </c>
      <c r="Q189" s="13" t="s">
        <v>41</v>
      </c>
      <c r="R189" s="13" t="s">
        <v>54</v>
      </c>
      <c r="S189" s="13" t="s">
        <v>55</v>
      </c>
      <c r="T189" s="21"/>
    </row>
    <row r="190" ht="56.25" customHeight="1">
      <c r="A190" s="21" t="s">
        <v>1235</v>
      </c>
      <c r="B190" s="15" t="str">
        <f>image("https://i.imgur.com/WyMhusd.png")</f>
        <v/>
      </c>
      <c r="C190" s="22" t="str">
        <f>HYPERLINK("https://imgur.com/a/clvaq5A","Yes")</f>
        <v>Yes</v>
      </c>
      <c r="D190" s="36" t="s">
        <v>40</v>
      </c>
      <c r="E190" s="36" t="s">
        <v>40</v>
      </c>
      <c r="F190" s="13">
        <v>3500.0</v>
      </c>
      <c r="G190" s="13">
        <v>875.0</v>
      </c>
      <c r="H190" s="19">
        <v>3251.0</v>
      </c>
      <c r="I190" s="21" t="s">
        <v>86</v>
      </c>
      <c r="J190" s="21" t="s">
        <v>37</v>
      </c>
      <c r="K190" s="21"/>
      <c r="L190" s="21"/>
      <c r="M190" s="15" t="s">
        <v>38</v>
      </c>
      <c r="N190" s="19">
        <v>2.0</v>
      </c>
      <c r="O190" s="21" t="s">
        <v>39</v>
      </c>
      <c r="P190" s="15" t="s">
        <v>53</v>
      </c>
      <c r="Q190" s="13" t="s">
        <v>41</v>
      </c>
      <c r="R190" s="13" t="s">
        <v>43</v>
      </c>
      <c r="S190" s="13" t="s">
        <v>44</v>
      </c>
      <c r="T190" s="21" t="s">
        <v>63</v>
      </c>
    </row>
    <row r="191" ht="56.25" customHeight="1">
      <c r="A191" s="21" t="s">
        <v>1240</v>
      </c>
      <c r="B191" s="15" t="str">
        <f>image("https://i.imgur.com/jbACpnc.png")</f>
        <v/>
      </c>
      <c r="C191" s="22" t="str">
        <f>HYPERLINK("https://imgur.com/a/r8WUy0F","No")</f>
        <v>No</v>
      </c>
      <c r="D191" s="36" t="s">
        <v>53</v>
      </c>
      <c r="E191" s="36" t="s">
        <v>40</v>
      </c>
      <c r="F191" s="24" t="s">
        <v>51</v>
      </c>
      <c r="G191" s="13">
        <v>22200.0</v>
      </c>
      <c r="H191" s="19">
        <v>5960.0</v>
      </c>
      <c r="I191" s="21" t="s">
        <v>62</v>
      </c>
      <c r="J191" s="21"/>
      <c r="K191" s="21"/>
      <c r="L191" s="21"/>
      <c r="M191" s="15" t="s">
        <v>38</v>
      </c>
      <c r="N191" s="19"/>
      <c r="O191" s="21" t="s">
        <v>39</v>
      </c>
      <c r="P191" s="15" t="s">
        <v>53</v>
      </c>
      <c r="Q191" s="13" t="s">
        <v>41</v>
      </c>
      <c r="R191" s="13" t="s">
        <v>54</v>
      </c>
      <c r="S191" s="13" t="s">
        <v>55</v>
      </c>
      <c r="T191" s="21"/>
    </row>
    <row r="192" ht="56.25" customHeight="1">
      <c r="A192" s="21" t="s">
        <v>1244</v>
      </c>
      <c r="B192" s="15" t="str">
        <f>image("https://i.imgur.com/KXilPtS.png")</f>
        <v/>
      </c>
      <c r="C192" s="22" t="str">
        <f>HYPERLINK("https://imgur.com/a/BsW0mkG","Yes")</f>
        <v>Yes</v>
      </c>
      <c r="D192" s="36" t="s">
        <v>53</v>
      </c>
      <c r="E192" s="36" t="s">
        <v>53</v>
      </c>
      <c r="F192" s="24" t="s">
        <v>51</v>
      </c>
      <c r="G192" s="13">
        <v>6300.0</v>
      </c>
      <c r="H192" s="19">
        <v>1504.0</v>
      </c>
      <c r="I192" s="21" t="s">
        <v>36</v>
      </c>
      <c r="J192" s="21" t="s">
        <v>113</v>
      </c>
      <c r="K192" s="21"/>
      <c r="L192" s="21"/>
      <c r="M192" s="15" t="s">
        <v>1133</v>
      </c>
      <c r="N192" s="19">
        <v>8.0</v>
      </c>
      <c r="O192" s="21" t="s">
        <v>39</v>
      </c>
      <c r="P192" s="15" t="s">
        <v>40</v>
      </c>
      <c r="Q192" s="13" t="s">
        <v>41</v>
      </c>
      <c r="R192" s="13" t="s">
        <v>54</v>
      </c>
      <c r="S192" s="13" t="s">
        <v>55</v>
      </c>
      <c r="T192" s="21"/>
    </row>
    <row r="193" ht="56.25" customHeight="1">
      <c r="A193" s="21" t="s">
        <v>1248</v>
      </c>
      <c r="B193" s="15" t="str">
        <f>image("https://i.imgur.com/HRb1NXF.png")</f>
        <v/>
      </c>
      <c r="C193" s="15" t="s">
        <v>40</v>
      </c>
      <c r="D193" s="36" t="s">
        <v>40</v>
      </c>
      <c r="E193" s="36" t="s">
        <v>40</v>
      </c>
      <c r="F193" s="13">
        <v>1800.0</v>
      </c>
      <c r="G193" s="13">
        <v>450.0</v>
      </c>
      <c r="H193" s="19">
        <v>981.0</v>
      </c>
      <c r="I193" s="21" t="s">
        <v>161</v>
      </c>
      <c r="J193" s="21" t="s">
        <v>60</v>
      </c>
      <c r="K193" s="21"/>
      <c r="L193" s="21"/>
      <c r="M193" s="15" t="s">
        <v>38</v>
      </c>
      <c r="N193" s="19"/>
      <c r="O193" s="21" t="s">
        <v>39</v>
      </c>
      <c r="P193" s="15" t="s">
        <v>40</v>
      </c>
      <c r="Q193" s="13" t="s">
        <v>41</v>
      </c>
      <c r="R193" s="13" t="s">
        <v>43</v>
      </c>
      <c r="S193" s="13" t="s">
        <v>44</v>
      </c>
      <c r="T193" s="21" t="s">
        <v>63</v>
      </c>
    </row>
    <row r="194" ht="56.25" customHeight="1">
      <c r="A194" s="21" t="s">
        <v>1253</v>
      </c>
      <c r="B194" s="15" t="str">
        <f>image("https://i.imgur.com/EG62WCy.png")</f>
        <v/>
      </c>
      <c r="C194" s="22" t="str">
        <f>HYPERLINK("https://imgur.com/a/efEYKST","No")</f>
        <v>No</v>
      </c>
      <c r="D194" s="36" t="s">
        <v>53</v>
      </c>
      <c r="E194" s="36" t="s">
        <v>40</v>
      </c>
      <c r="F194" s="24" t="s">
        <v>51</v>
      </c>
      <c r="G194" s="13">
        <v>80000.0</v>
      </c>
      <c r="H194" s="19">
        <v>8825.0</v>
      </c>
      <c r="I194" s="21" t="s">
        <v>62</v>
      </c>
      <c r="J194" s="21" t="s">
        <v>346</v>
      </c>
      <c r="K194" s="21"/>
      <c r="L194" s="21"/>
      <c r="M194" s="15" t="s">
        <v>130</v>
      </c>
      <c r="N194" s="19"/>
      <c r="O194" s="21" t="s">
        <v>39</v>
      </c>
      <c r="P194" s="15" t="s">
        <v>40</v>
      </c>
      <c r="Q194" s="13" t="s">
        <v>41</v>
      </c>
      <c r="R194" s="13" t="s">
        <v>54</v>
      </c>
      <c r="S194" s="13" t="s">
        <v>55</v>
      </c>
      <c r="T194" s="21"/>
    </row>
    <row r="195" ht="56.25" customHeight="1">
      <c r="A195" s="21" t="s">
        <v>1258</v>
      </c>
      <c r="B195" s="15" t="str">
        <f>image("https://i.imgur.com/JdF1rHE.png")</f>
        <v/>
      </c>
      <c r="C195" s="22" t="str">
        <f>HYPERLINK("https://imgur.com/a/rjxXDSh","No")</f>
        <v>No</v>
      </c>
      <c r="D195" s="36" t="s">
        <v>53</v>
      </c>
      <c r="E195" s="36" t="s">
        <v>40</v>
      </c>
      <c r="F195" s="24" t="s">
        <v>51</v>
      </c>
      <c r="G195" s="13">
        <v>50000.0</v>
      </c>
      <c r="H195" s="19">
        <v>3473.0</v>
      </c>
      <c r="I195" s="21" t="s">
        <v>62</v>
      </c>
      <c r="J195" s="21"/>
      <c r="K195" s="21"/>
      <c r="L195" s="21"/>
      <c r="M195" s="15" t="s">
        <v>130</v>
      </c>
      <c r="N195" s="19"/>
      <c r="O195" s="21" t="s">
        <v>39</v>
      </c>
      <c r="P195" s="15" t="s">
        <v>53</v>
      </c>
      <c r="Q195" s="13" t="s">
        <v>41</v>
      </c>
      <c r="R195" s="13" t="s">
        <v>54</v>
      </c>
      <c r="S195" s="13" t="s">
        <v>55</v>
      </c>
      <c r="T195" s="21"/>
    </row>
    <row r="196" ht="56.25" customHeight="1">
      <c r="A196" s="21" t="s">
        <v>1262</v>
      </c>
      <c r="B196" s="15" t="str">
        <f>image("https://i.imgur.com/RYFWBy8.png")</f>
        <v/>
      </c>
      <c r="C196" s="22" t="str">
        <f>HYPERLINK("https://imgur.com/a/XDMoKyY","No")</f>
        <v>No</v>
      </c>
      <c r="D196" s="36" t="s">
        <v>53</v>
      </c>
      <c r="E196" s="36" t="s">
        <v>40</v>
      </c>
      <c r="F196" s="24" t="s">
        <v>51</v>
      </c>
      <c r="G196" s="13">
        <v>60000.0</v>
      </c>
      <c r="H196" s="19">
        <v>3472.0</v>
      </c>
      <c r="I196" s="21" t="s">
        <v>183</v>
      </c>
      <c r="J196" s="21" t="s">
        <v>62</v>
      </c>
      <c r="K196" s="21"/>
      <c r="L196" s="21"/>
      <c r="M196" s="15" t="s">
        <v>38</v>
      </c>
      <c r="N196" s="19"/>
      <c r="O196" s="21" t="s">
        <v>39</v>
      </c>
      <c r="P196" s="15" t="s">
        <v>53</v>
      </c>
      <c r="Q196" s="13" t="s">
        <v>41</v>
      </c>
      <c r="R196" s="13" t="s">
        <v>54</v>
      </c>
      <c r="S196" s="13" t="s">
        <v>55</v>
      </c>
      <c r="T196" s="21"/>
    </row>
    <row r="197" ht="56.25" customHeight="1">
      <c r="A197" s="21" t="s">
        <v>1266</v>
      </c>
      <c r="B197" s="15" t="str">
        <f>image("https://i.imgur.com/MEzrTmD.png")</f>
        <v/>
      </c>
      <c r="C197" s="22" t="str">
        <f>HYPERLINK("https://imgur.com/a/dIL7bFP","Yes")</f>
        <v>Yes</v>
      </c>
      <c r="D197" s="36" t="s">
        <v>40</v>
      </c>
      <c r="E197" s="36" t="s">
        <v>40</v>
      </c>
      <c r="F197" s="13">
        <v>54000.0</v>
      </c>
      <c r="G197" s="13">
        <v>13500.0</v>
      </c>
      <c r="H197" s="19">
        <v>1632.0</v>
      </c>
      <c r="I197" s="21" t="s">
        <v>156</v>
      </c>
      <c r="J197" s="21"/>
      <c r="K197" s="21"/>
      <c r="L197" s="21"/>
      <c r="M197" s="15" t="s">
        <v>38</v>
      </c>
      <c r="N197" s="19">
        <v>7.0</v>
      </c>
      <c r="O197" s="21" t="s">
        <v>39</v>
      </c>
      <c r="P197" s="15" t="s">
        <v>40</v>
      </c>
      <c r="Q197" s="13" t="s">
        <v>41</v>
      </c>
      <c r="R197" s="13" t="s">
        <v>43</v>
      </c>
      <c r="S197" s="13" t="s">
        <v>44</v>
      </c>
      <c r="T197" s="21" t="s">
        <v>65</v>
      </c>
    </row>
    <row r="198" ht="56.25" customHeight="1">
      <c r="A198" s="21" t="s">
        <v>1270</v>
      </c>
      <c r="B198" s="15" t="str">
        <f>image("https://i.imgur.com/AnfOJ5R.png")</f>
        <v/>
      </c>
      <c r="C198" s="22" t="str">
        <f>HYPERLINK("https://imgur.com/a/a4yMwmg","Yes")</f>
        <v>Yes</v>
      </c>
      <c r="D198" s="36" t="s">
        <v>53</v>
      </c>
      <c r="E198" s="36" t="s">
        <v>53</v>
      </c>
      <c r="F198" s="24" t="s">
        <v>51</v>
      </c>
      <c r="G198" s="13">
        <v>5100.0</v>
      </c>
      <c r="H198" s="19">
        <v>4075.0</v>
      </c>
      <c r="I198" s="21" t="s">
        <v>161</v>
      </c>
      <c r="J198" s="21"/>
      <c r="K198" s="21"/>
      <c r="L198" s="21"/>
      <c r="M198" s="15" t="s">
        <v>130</v>
      </c>
      <c r="N198" s="19">
        <v>7.0</v>
      </c>
      <c r="O198" s="21" t="s">
        <v>39</v>
      </c>
      <c r="P198" s="15" t="s">
        <v>53</v>
      </c>
      <c r="Q198" s="13" t="s">
        <v>41</v>
      </c>
      <c r="R198" s="13" t="s">
        <v>54</v>
      </c>
      <c r="S198" s="13" t="s">
        <v>55</v>
      </c>
      <c r="T198" s="21"/>
    </row>
    <row r="199" ht="56.25" customHeight="1">
      <c r="A199" s="21" t="s">
        <v>1273</v>
      </c>
      <c r="B199" s="15" t="str">
        <f>image("https://i.imgur.com/a4wrHRa.png")</f>
        <v/>
      </c>
      <c r="C199" s="22" t="str">
        <f>HYPERLINK("https://imgur.com/a/M2TlXhK","Yes")</f>
        <v>Yes</v>
      </c>
      <c r="D199" s="36" t="s">
        <v>40</v>
      </c>
      <c r="E199" s="36" t="s">
        <v>40</v>
      </c>
      <c r="F199" s="13">
        <v>260000.0</v>
      </c>
      <c r="G199" s="13">
        <v>65000.0</v>
      </c>
      <c r="H199" s="19">
        <v>1875.0</v>
      </c>
      <c r="I199" s="21" t="s">
        <v>52</v>
      </c>
      <c r="J199" s="21" t="s">
        <v>62</v>
      </c>
      <c r="K199" s="21"/>
      <c r="L199" s="21"/>
      <c r="M199" s="15" t="s">
        <v>106</v>
      </c>
      <c r="N199" s="19">
        <v>13.0</v>
      </c>
      <c r="O199" s="21" t="s">
        <v>39</v>
      </c>
      <c r="P199" s="15" t="s">
        <v>53</v>
      </c>
      <c r="Q199" s="13" t="s">
        <v>41</v>
      </c>
      <c r="R199" s="13" t="s">
        <v>43</v>
      </c>
      <c r="S199" s="13" t="s">
        <v>44</v>
      </c>
      <c r="T199" s="21" t="s">
        <v>65</v>
      </c>
    </row>
    <row r="200" ht="56.25" customHeight="1">
      <c r="A200" s="21" t="s">
        <v>1277</v>
      </c>
      <c r="B200" s="15" t="str">
        <f>image("https://i.imgur.com/IDiQbTo.png")</f>
        <v/>
      </c>
      <c r="C200" s="22" t="str">
        <f>HYPERLINK("https://imgur.com/a/u0Gs3H6","Yes")</f>
        <v>Yes</v>
      </c>
      <c r="D200" s="36" t="s">
        <v>53</v>
      </c>
      <c r="E200" s="36" t="s">
        <v>53</v>
      </c>
      <c r="F200" s="24" t="s">
        <v>51</v>
      </c>
      <c r="G200" s="13">
        <v>480.0</v>
      </c>
      <c r="H200" s="19">
        <v>530.0</v>
      </c>
      <c r="I200" s="21" t="s">
        <v>80</v>
      </c>
      <c r="J200" s="21"/>
      <c r="K200" s="21"/>
      <c r="L200" s="21"/>
      <c r="M200" s="15" t="s">
        <v>349</v>
      </c>
      <c r="N200" s="19">
        <v>1.0</v>
      </c>
      <c r="O200" s="21" t="s">
        <v>39</v>
      </c>
      <c r="P200" s="15" t="s">
        <v>40</v>
      </c>
      <c r="Q200" s="13" t="s">
        <v>41</v>
      </c>
      <c r="R200" s="13" t="s">
        <v>54</v>
      </c>
      <c r="S200" s="13" t="s">
        <v>55</v>
      </c>
      <c r="T200" s="21"/>
    </row>
    <row r="201" ht="56.25" customHeight="1">
      <c r="A201" s="21" t="s">
        <v>1281</v>
      </c>
      <c r="B201" s="15" t="str">
        <f>image("https://i.imgur.com/jGAn9ZH.png")</f>
        <v/>
      </c>
      <c r="C201" s="25" t="s">
        <v>40</v>
      </c>
      <c r="D201" s="36" t="s">
        <v>40</v>
      </c>
      <c r="E201" s="36" t="s">
        <v>40</v>
      </c>
      <c r="F201" s="24" t="s">
        <v>51</v>
      </c>
      <c r="G201" s="13">
        <v>45000.0</v>
      </c>
      <c r="H201" s="19">
        <v>7013.0</v>
      </c>
      <c r="I201" s="21"/>
      <c r="J201" s="21"/>
      <c r="K201" s="21"/>
      <c r="L201" s="21"/>
      <c r="M201" s="15" t="s">
        <v>130</v>
      </c>
      <c r="N201" s="19"/>
      <c r="O201" s="21" t="s">
        <v>39</v>
      </c>
      <c r="P201" s="15" t="s">
        <v>40</v>
      </c>
      <c r="Q201" s="13" t="s">
        <v>41</v>
      </c>
      <c r="R201" s="13" t="s">
        <v>54</v>
      </c>
      <c r="S201" s="13" t="s">
        <v>100</v>
      </c>
      <c r="T201" s="21" t="s">
        <v>101</v>
      </c>
    </row>
    <row r="202" ht="56.25" customHeight="1">
      <c r="A202" s="21" t="s">
        <v>1287</v>
      </c>
      <c r="B202" s="15" t="str">
        <f>image("https://i.imgur.com/cJNpoFs.png")</f>
        <v/>
      </c>
      <c r="C202" s="22" t="str">
        <f>HYPERLINK("https://imgur.com/a/LYNZqAR","No")</f>
        <v>No</v>
      </c>
      <c r="D202" s="36" t="s">
        <v>53</v>
      </c>
      <c r="E202" s="36" t="s">
        <v>40</v>
      </c>
      <c r="F202" s="24" t="s">
        <v>51</v>
      </c>
      <c r="G202" s="13">
        <v>600.0</v>
      </c>
      <c r="H202" s="19">
        <v>4269.0</v>
      </c>
      <c r="I202" s="21" t="s">
        <v>95</v>
      </c>
      <c r="J202" s="21"/>
      <c r="K202" s="21"/>
      <c r="L202" s="21"/>
      <c r="M202" s="15" t="s">
        <v>506</v>
      </c>
      <c r="N202" s="19"/>
      <c r="O202" s="21" t="s">
        <v>39</v>
      </c>
      <c r="P202" s="15" t="s">
        <v>53</v>
      </c>
      <c r="Q202" s="13" t="s">
        <v>41</v>
      </c>
      <c r="R202" s="13" t="s">
        <v>54</v>
      </c>
      <c r="S202" s="13" t="s">
        <v>55</v>
      </c>
      <c r="T202" s="21" t="s">
        <v>172</v>
      </c>
    </row>
    <row r="203" ht="56.25" customHeight="1">
      <c r="A203" s="21" t="s">
        <v>1291</v>
      </c>
      <c r="B203" s="15" t="str">
        <f>image("https://i.imgur.com/oLLvH52.png")</f>
        <v/>
      </c>
      <c r="C203" s="22" t="str">
        <f>HYPERLINK("https://imgur.com/a/uAyDrWf","Yes")</f>
        <v>Yes</v>
      </c>
      <c r="D203" s="36" t="s">
        <v>40</v>
      </c>
      <c r="E203" s="36" t="s">
        <v>53</v>
      </c>
      <c r="F203" s="13">
        <v>1300.0</v>
      </c>
      <c r="G203" s="13">
        <v>325.0</v>
      </c>
      <c r="H203" s="19">
        <v>1620.0</v>
      </c>
      <c r="I203" s="21" t="s">
        <v>338</v>
      </c>
      <c r="J203" s="21"/>
      <c r="K203" s="21"/>
      <c r="L203" s="21"/>
      <c r="M203" s="15" t="s">
        <v>130</v>
      </c>
      <c r="N203" s="19">
        <v>1.0</v>
      </c>
      <c r="O203" s="21" t="s">
        <v>39</v>
      </c>
      <c r="P203" s="15" t="s">
        <v>53</v>
      </c>
      <c r="Q203" s="13" t="s">
        <v>41</v>
      </c>
      <c r="R203" s="13" t="s">
        <v>43</v>
      </c>
      <c r="S203" s="13" t="s">
        <v>44</v>
      </c>
      <c r="T203" s="21" t="s">
        <v>202</v>
      </c>
    </row>
    <row r="204" ht="56.25" customHeight="1">
      <c r="A204" s="21" t="s">
        <v>1293</v>
      </c>
      <c r="B204" s="15" t="str">
        <f>image("https://i.imgur.com/7leaqYD.png")</f>
        <v/>
      </c>
      <c r="C204" s="22" t="str">
        <f>HYPERLINK("https://imgur.com/a/NLyfCf2","Yes")</f>
        <v>Yes</v>
      </c>
      <c r="D204" s="36" t="s">
        <v>40</v>
      </c>
      <c r="E204" s="36" t="s">
        <v>40</v>
      </c>
      <c r="F204" s="13">
        <v>1900.0</v>
      </c>
      <c r="G204" s="13">
        <v>475.0</v>
      </c>
      <c r="H204" s="19">
        <v>7229.0</v>
      </c>
      <c r="I204" s="21" t="s">
        <v>95</v>
      </c>
      <c r="J204" s="21"/>
      <c r="K204" s="21"/>
      <c r="L204" s="21"/>
      <c r="M204" s="15" t="s">
        <v>38</v>
      </c>
      <c r="N204" s="19">
        <v>1.0</v>
      </c>
      <c r="O204" s="21" t="s">
        <v>39</v>
      </c>
      <c r="P204" s="15" t="s">
        <v>40</v>
      </c>
      <c r="Q204" s="13" t="s">
        <v>41</v>
      </c>
      <c r="R204" s="13" t="s">
        <v>43</v>
      </c>
      <c r="S204" s="13" t="s">
        <v>44</v>
      </c>
      <c r="T204" s="21" t="s">
        <v>63</v>
      </c>
    </row>
    <row r="205" ht="56.25" customHeight="1">
      <c r="A205" s="21" t="s">
        <v>1299</v>
      </c>
      <c r="B205" s="15" t="str">
        <f>image("https://i.imgur.com/kOX6mnH.png")</f>
        <v/>
      </c>
      <c r="C205" s="22" t="str">
        <f>HYPERLINK("https://imgur.com/a/9wPnOt3","Yes")</f>
        <v>Yes</v>
      </c>
      <c r="D205" s="36" t="s">
        <v>40</v>
      </c>
      <c r="E205" s="36" t="s">
        <v>40</v>
      </c>
      <c r="F205" s="13">
        <v>130000.0</v>
      </c>
      <c r="G205" s="13">
        <v>32500.0</v>
      </c>
      <c r="H205" s="19">
        <v>987.0</v>
      </c>
      <c r="I205" s="21" t="s">
        <v>52</v>
      </c>
      <c r="J205" s="21"/>
      <c r="K205" s="21"/>
      <c r="L205" s="21"/>
      <c r="M205" s="15" t="s">
        <v>38</v>
      </c>
      <c r="N205" s="19">
        <v>7.0</v>
      </c>
      <c r="O205" s="21" t="s">
        <v>39</v>
      </c>
      <c r="P205" s="15" t="s">
        <v>53</v>
      </c>
      <c r="Q205" s="13" t="s">
        <v>41</v>
      </c>
      <c r="R205" s="13" t="s">
        <v>43</v>
      </c>
      <c r="S205" s="13" t="s">
        <v>44</v>
      </c>
      <c r="T205" s="21" t="s">
        <v>65</v>
      </c>
    </row>
    <row r="206" ht="56.25" customHeight="1">
      <c r="A206" s="21" t="s">
        <v>1305</v>
      </c>
      <c r="B206" s="15" t="str">
        <f>image("https://i.imgur.com/DOHMas0.png")</f>
        <v/>
      </c>
      <c r="C206" s="22" t="str">
        <f>HYPERLINK("https://imgur.com/a/rZw3yES","Yes")</f>
        <v>Yes</v>
      </c>
      <c r="D206" s="36" t="s">
        <v>53</v>
      </c>
      <c r="E206" s="36" t="s">
        <v>53</v>
      </c>
      <c r="F206" s="24" t="s">
        <v>51</v>
      </c>
      <c r="G206" s="13">
        <v>400.0</v>
      </c>
      <c r="H206" s="19">
        <v>3675.0</v>
      </c>
      <c r="I206" s="21" t="s">
        <v>95</v>
      </c>
      <c r="J206" s="21"/>
      <c r="K206" s="21"/>
      <c r="L206" s="21"/>
      <c r="M206" s="15" t="s">
        <v>130</v>
      </c>
      <c r="N206" s="19">
        <v>1.0</v>
      </c>
      <c r="O206" s="21" t="s">
        <v>39</v>
      </c>
      <c r="P206" s="15" t="s">
        <v>53</v>
      </c>
      <c r="Q206" s="13" t="s">
        <v>41</v>
      </c>
      <c r="R206" s="13" t="s">
        <v>54</v>
      </c>
      <c r="S206" s="13" t="s">
        <v>55</v>
      </c>
      <c r="T206" s="21"/>
    </row>
    <row r="207" ht="56.25" customHeight="1">
      <c r="A207" s="21" t="s">
        <v>1309</v>
      </c>
      <c r="B207" s="15" t="str">
        <f>image("https://i.imgur.com/QChIkri.png")</f>
        <v/>
      </c>
      <c r="C207" s="22" t="str">
        <f>HYPERLINK("https://imgur.com/a/NhTEltb","No")</f>
        <v>No</v>
      </c>
      <c r="D207" s="36" t="s">
        <v>53</v>
      </c>
      <c r="E207" s="36" t="s">
        <v>40</v>
      </c>
      <c r="F207" s="24" t="s">
        <v>51</v>
      </c>
      <c r="G207" s="13">
        <v>5470.0</v>
      </c>
      <c r="H207" s="19">
        <v>722.0</v>
      </c>
      <c r="I207" s="21" t="s">
        <v>161</v>
      </c>
      <c r="J207" s="21"/>
      <c r="K207" s="21"/>
      <c r="L207" s="21"/>
      <c r="M207" s="15" t="s">
        <v>106</v>
      </c>
      <c r="N207" s="19"/>
      <c r="O207" s="21" t="s">
        <v>39</v>
      </c>
      <c r="P207" s="15" t="s">
        <v>53</v>
      </c>
      <c r="Q207" s="13" t="s">
        <v>41</v>
      </c>
      <c r="R207" s="13" t="s">
        <v>54</v>
      </c>
      <c r="S207" s="13" t="s">
        <v>55</v>
      </c>
      <c r="T207" s="21"/>
    </row>
    <row r="208" ht="56.25" customHeight="1">
      <c r="A208" s="21" t="s">
        <v>1315</v>
      </c>
      <c r="B208" s="15" t="str">
        <f>image("https://i.imgur.com/YrKMXOU.png")</f>
        <v/>
      </c>
      <c r="C208" s="22" t="str">
        <f>HYPERLINK("https://imgur.com/a/huRMH5z","Yes")</f>
        <v>Yes</v>
      </c>
      <c r="D208" s="36" t="s">
        <v>53</v>
      </c>
      <c r="E208" s="36" t="s">
        <v>53</v>
      </c>
      <c r="F208" s="24" t="s">
        <v>51</v>
      </c>
      <c r="G208" s="13">
        <v>600.0</v>
      </c>
      <c r="H208" s="19">
        <v>531.0</v>
      </c>
      <c r="I208" s="21" t="s">
        <v>80</v>
      </c>
      <c r="J208" s="21"/>
      <c r="K208" s="21"/>
      <c r="L208" s="21"/>
      <c r="M208" s="15" t="s">
        <v>349</v>
      </c>
      <c r="N208" s="19">
        <v>1.0</v>
      </c>
      <c r="O208" s="21" t="s">
        <v>39</v>
      </c>
      <c r="P208" s="15" t="s">
        <v>40</v>
      </c>
      <c r="Q208" s="13" t="s">
        <v>41</v>
      </c>
      <c r="R208" s="13" t="s">
        <v>54</v>
      </c>
      <c r="S208" s="13" t="s">
        <v>55</v>
      </c>
      <c r="T208" s="21"/>
    </row>
    <row r="209" ht="56.25" customHeight="1">
      <c r="A209" s="21" t="s">
        <v>1319</v>
      </c>
      <c r="B209" s="15" t="str">
        <f>image("https://i.imgur.com/BGM9SdG.png")</f>
        <v/>
      </c>
      <c r="C209" s="22" t="str">
        <f>HYPERLINK("https://imgur.com/a/mrc6ikc","No")</f>
        <v>No</v>
      </c>
      <c r="D209" s="36" t="s">
        <v>40</v>
      </c>
      <c r="E209" s="36" t="s">
        <v>40</v>
      </c>
      <c r="F209" s="13">
        <v>82000.0</v>
      </c>
      <c r="G209" s="13">
        <v>20500.0</v>
      </c>
      <c r="H209" s="19">
        <v>790.0</v>
      </c>
      <c r="I209" s="21" t="s">
        <v>60</v>
      </c>
      <c r="J209" s="21" t="s">
        <v>62</v>
      </c>
      <c r="K209" s="21"/>
      <c r="L209" s="21"/>
      <c r="M209" s="15" t="s">
        <v>130</v>
      </c>
      <c r="N209" s="19"/>
      <c r="O209" s="21" t="s">
        <v>950</v>
      </c>
      <c r="P209" s="15" t="s">
        <v>53</v>
      </c>
      <c r="Q209" s="13" t="s">
        <v>41</v>
      </c>
      <c r="R209" s="13" t="s">
        <v>43</v>
      </c>
      <c r="S209" s="13" t="s">
        <v>44</v>
      </c>
      <c r="T209" s="21" t="s">
        <v>65</v>
      </c>
    </row>
    <row r="210" ht="56.25" customHeight="1">
      <c r="A210" s="21" t="s">
        <v>1324</v>
      </c>
      <c r="B210" s="15" t="str">
        <f>image("https://i.imgur.com/99gak2J.png")</f>
        <v/>
      </c>
      <c r="C210" s="22" t="str">
        <f>HYPERLINK("https://imgur.com/a/6KZK4mW","No")</f>
        <v>No</v>
      </c>
      <c r="D210" s="36" t="s">
        <v>40</v>
      </c>
      <c r="E210" s="36" t="s">
        <v>40</v>
      </c>
      <c r="F210" s="13">
        <v>10000.0</v>
      </c>
      <c r="G210" s="13">
        <v>2500.0</v>
      </c>
      <c r="H210" s="19">
        <v>793.0</v>
      </c>
      <c r="I210" s="21" t="s">
        <v>60</v>
      </c>
      <c r="J210" s="21"/>
      <c r="K210" s="21"/>
      <c r="L210" s="21"/>
      <c r="M210" s="15" t="s">
        <v>130</v>
      </c>
      <c r="N210" s="19"/>
      <c r="O210" s="21" t="s">
        <v>950</v>
      </c>
      <c r="P210" s="15" t="s">
        <v>53</v>
      </c>
      <c r="Q210" s="13" t="s">
        <v>41</v>
      </c>
      <c r="R210" s="13" t="s">
        <v>43</v>
      </c>
      <c r="S210" s="13" t="s">
        <v>44</v>
      </c>
      <c r="T210" s="21" t="s">
        <v>63</v>
      </c>
    </row>
    <row r="211" ht="56.25" customHeight="1">
      <c r="A211" s="21" t="s">
        <v>1330</v>
      </c>
      <c r="B211" s="15" t="str">
        <f>image("https://i.imgur.com/RebpBqx.png")</f>
        <v/>
      </c>
      <c r="C211" s="22" t="str">
        <f>HYPERLINK("https://imgur.com/a/VnBFWee","Yes")</f>
        <v>Yes</v>
      </c>
      <c r="D211" s="36" t="s">
        <v>40</v>
      </c>
      <c r="E211" s="36" t="s">
        <v>40</v>
      </c>
      <c r="F211" s="13">
        <v>1400.0</v>
      </c>
      <c r="G211" s="13">
        <v>350.0</v>
      </c>
      <c r="H211" s="19">
        <v>4113.0</v>
      </c>
      <c r="I211" s="21" t="s">
        <v>95</v>
      </c>
      <c r="J211" s="21"/>
      <c r="K211" s="21"/>
      <c r="L211" s="21"/>
      <c r="M211" s="15" t="s">
        <v>38</v>
      </c>
      <c r="N211" s="19">
        <v>1.0</v>
      </c>
      <c r="O211" s="21" t="s">
        <v>39</v>
      </c>
      <c r="P211" s="15" t="s">
        <v>40</v>
      </c>
      <c r="Q211" s="13" t="s">
        <v>41</v>
      </c>
      <c r="R211" s="13" t="s">
        <v>43</v>
      </c>
      <c r="S211" s="13" t="s">
        <v>44</v>
      </c>
      <c r="T211" s="21" t="s">
        <v>63</v>
      </c>
    </row>
    <row r="212" ht="56.25" customHeight="1">
      <c r="A212" s="21" t="s">
        <v>1336</v>
      </c>
      <c r="B212" s="15" t="str">
        <f>image("https://i.imgur.com/Ru8s7t2.png")</f>
        <v/>
      </c>
      <c r="C212" s="22" t="str">
        <f>HYPERLINK("https://imgur.com/a/TAuSDBh","Yes")</f>
        <v>Yes</v>
      </c>
      <c r="D212" s="36" t="s">
        <v>53</v>
      </c>
      <c r="E212" s="36" t="s">
        <v>53</v>
      </c>
      <c r="F212" s="24" t="s">
        <v>51</v>
      </c>
      <c r="G212" s="13">
        <v>2950.0</v>
      </c>
      <c r="H212" s="19">
        <v>4108.0</v>
      </c>
      <c r="I212" s="21" t="s">
        <v>212</v>
      </c>
      <c r="J212" s="21" t="s">
        <v>36</v>
      </c>
      <c r="K212" s="21"/>
      <c r="L212" s="21"/>
      <c r="M212" s="15" t="s">
        <v>38</v>
      </c>
      <c r="N212" s="19">
        <v>4.0</v>
      </c>
      <c r="O212" s="21" t="s">
        <v>39</v>
      </c>
      <c r="P212" s="15" t="s">
        <v>53</v>
      </c>
      <c r="Q212" s="13" t="s">
        <v>186</v>
      </c>
      <c r="R212" s="13" t="s">
        <v>54</v>
      </c>
      <c r="S212" s="13" t="s">
        <v>55</v>
      </c>
      <c r="T212" s="21" t="s">
        <v>418</v>
      </c>
    </row>
    <row r="213" ht="56.25" customHeight="1">
      <c r="A213" s="21" t="s">
        <v>1339</v>
      </c>
      <c r="B213" s="15" t="str">
        <f>image("https://i.imgur.com/Mz0uiIY.png")</f>
        <v/>
      </c>
      <c r="C213" s="22" t="str">
        <f>HYPERLINK("https://imgur.com/a/R8wdToh","Yes")</f>
        <v>Yes</v>
      </c>
      <c r="D213" s="36" t="s">
        <v>53</v>
      </c>
      <c r="E213" s="36" t="s">
        <v>53</v>
      </c>
      <c r="F213" s="24" t="s">
        <v>51</v>
      </c>
      <c r="G213" s="13">
        <v>4350.0</v>
      </c>
      <c r="H213" s="19">
        <v>4074.0</v>
      </c>
      <c r="I213" s="21" t="s">
        <v>212</v>
      </c>
      <c r="J213" s="21" t="s">
        <v>36</v>
      </c>
      <c r="K213" s="21"/>
      <c r="L213" s="21"/>
      <c r="M213" s="15" t="s">
        <v>130</v>
      </c>
      <c r="N213" s="19">
        <v>6.0</v>
      </c>
      <c r="O213" s="21" t="s">
        <v>39</v>
      </c>
      <c r="P213" s="15" t="s">
        <v>53</v>
      </c>
      <c r="Q213" s="13" t="s">
        <v>186</v>
      </c>
      <c r="R213" s="13" t="s">
        <v>54</v>
      </c>
      <c r="S213" s="13" t="s">
        <v>55</v>
      </c>
      <c r="T213" s="21" t="s">
        <v>418</v>
      </c>
    </row>
    <row r="214" ht="56.25" customHeight="1">
      <c r="A214" s="21" t="s">
        <v>1342</v>
      </c>
      <c r="B214" s="15" t="str">
        <f>image("https://i.imgur.com/RT4R66t.png")</f>
        <v/>
      </c>
      <c r="C214" s="22" t="str">
        <f>HYPERLINK("https://imgur.com/a/7D6aZZV","Yes")</f>
        <v>Yes</v>
      </c>
      <c r="D214" s="36" t="s">
        <v>53</v>
      </c>
      <c r="E214" s="36" t="s">
        <v>53</v>
      </c>
      <c r="F214" s="24" t="s">
        <v>51</v>
      </c>
      <c r="G214" s="13">
        <v>3150.0</v>
      </c>
      <c r="H214" s="19">
        <v>4131.0</v>
      </c>
      <c r="I214" s="21" t="s">
        <v>745</v>
      </c>
      <c r="J214" s="21" t="s">
        <v>36</v>
      </c>
      <c r="K214" s="21"/>
      <c r="L214" s="21"/>
      <c r="M214" s="15" t="s">
        <v>130</v>
      </c>
      <c r="N214" s="19">
        <v>5.0</v>
      </c>
      <c r="O214" s="21" t="s">
        <v>39</v>
      </c>
      <c r="P214" s="15" t="s">
        <v>53</v>
      </c>
      <c r="Q214" s="13" t="s">
        <v>186</v>
      </c>
      <c r="R214" s="13" t="s">
        <v>54</v>
      </c>
      <c r="S214" s="13" t="s">
        <v>55</v>
      </c>
      <c r="T214" s="21" t="s">
        <v>418</v>
      </c>
    </row>
    <row r="215" ht="56.25" customHeight="1">
      <c r="A215" s="21" t="s">
        <v>1344</v>
      </c>
      <c r="B215" s="15" t="str">
        <f>image("https://i.imgur.com/Sm7SbBt.png")</f>
        <v/>
      </c>
      <c r="C215" s="22" t="str">
        <f>HYPERLINK("https://imgur.com/a/teOCKZN","Yes")</f>
        <v>Yes</v>
      </c>
      <c r="D215" s="36" t="s">
        <v>53</v>
      </c>
      <c r="E215" s="36" t="s">
        <v>53</v>
      </c>
      <c r="F215" s="24" t="s">
        <v>51</v>
      </c>
      <c r="G215" s="13">
        <v>6700.0</v>
      </c>
      <c r="H215" s="19">
        <v>4066.0</v>
      </c>
      <c r="I215" s="21" t="s">
        <v>212</v>
      </c>
      <c r="J215" s="21" t="s">
        <v>36</v>
      </c>
      <c r="K215" s="21"/>
      <c r="L215" s="21"/>
      <c r="M215" s="15" t="s">
        <v>106</v>
      </c>
      <c r="N215" s="19">
        <v>7.0</v>
      </c>
      <c r="O215" s="21" t="s">
        <v>39</v>
      </c>
      <c r="P215" s="15" t="s">
        <v>53</v>
      </c>
      <c r="Q215" s="13" t="s">
        <v>186</v>
      </c>
      <c r="R215" s="13" t="s">
        <v>54</v>
      </c>
      <c r="S215" s="13" t="s">
        <v>55</v>
      </c>
      <c r="T215" s="21" t="s">
        <v>418</v>
      </c>
    </row>
    <row r="216" ht="56.25" customHeight="1">
      <c r="A216" s="21" t="s">
        <v>1347</v>
      </c>
      <c r="B216" s="15" t="str">
        <f>image("https://i.imgur.com/2gnfAsG.png")</f>
        <v/>
      </c>
      <c r="C216" s="22" t="str">
        <f>HYPERLINK("https://imgur.com/a/ndVNmad","Yes")</f>
        <v>Yes</v>
      </c>
      <c r="D216" s="36" t="s">
        <v>40</v>
      </c>
      <c r="E216" s="36" t="s">
        <v>40</v>
      </c>
      <c r="F216" s="13">
        <v>23000.0</v>
      </c>
      <c r="G216" s="13">
        <v>5750.0</v>
      </c>
      <c r="H216" s="19">
        <v>3973.0</v>
      </c>
      <c r="I216" s="21" t="s">
        <v>161</v>
      </c>
      <c r="J216" s="21"/>
      <c r="K216" s="21" t="s">
        <v>726</v>
      </c>
      <c r="L216" s="21"/>
      <c r="M216" s="15" t="s">
        <v>106</v>
      </c>
      <c r="N216" s="19">
        <v>7.0</v>
      </c>
      <c r="O216" s="21" t="s">
        <v>39</v>
      </c>
      <c r="P216" s="15" t="s">
        <v>53</v>
      </c>
      <c r="Q216" s="13" t="s">
        <v>41</v>
      </c>
      <c r="R216" s="13" t="s">
        <v>43</v>
      </c>
      <c r="S216" s="13" t="s">
        <v>44</v>
      </c>
      <c r="T216" s="21" t="s">
        <v>65</v>
      </c>
    </row>
    <row r="217" ht="56.25" customHeight="1">
      <c r="A217" s="21" t="s">
        <v>1349</v>
      </c>
      <c r="B217" s="15" t="str">
        <f>image("https://i.imgur.com/s4yYxqy.png")</f>
        <v/>
      </c>
      <c r="C217" s="22" t="str">
        <f>HYPERLINK("https://imgur.com/a/ZiF1qVA","Yes")</f>
        <v>Yes</v>
      </c>
      <c r="D217" s="36" t="s">
        <v>40</v>
      </c>
      <c r="E217" s="36" t="s">
        <v>40</v>
      </c>
      <c r="F217" s="13">
        <v>9300.0</v>
      </c>
      <c r="G217" s="13">
        <v>2325.0</v>
      </c>
      <c r="H217" s="19">
        <v>3972.0</v>
      </c>
      <c r="I217" s="21" t="s">
        <v>161</v>
      </c>
      <c r="J217" s="21"/>
      <c r="K217" s="21" t="s">
        <v>726</v>
      </c>
      <c r="L217" s="21"/>
      <c r="M217" s="15" t="s">
        <v>130</v>
      </c>
      <c r="N217" s="19">
        <v>4.0</v>
      </c>
      <c r="O217" s="21" t="s">
        <v>39</v>
      </c>
      <c r="P217" s="15" t="s">
        <v>53</v>
      </c>
      <c r="Q217" s="13" t="s">
        <v>41</v>
      </c>
      <c r="R217" s="13" t="s">
        <v>43</v>
      </c>
      <c r="S217" s="13" t="s">
        <v>44</v>
      </c>
      <c r="T217" s="21" t="s">
        <v>68</v>
      </c>
    </row>
    <row r="218" ht="56.25" customHeight="1">
      <c r="A218" s="21" t="s">
        <v>1354</v>
      </c>
      <c r="B218" s="15" t="str">
        <f>image("https://i.imgur.com/ktyIT1h.png")</f>
        <v/>
      </c>
      <c r="C218" s="22" t="str">
        <f>HYPERLINK("https://imgur.com/a/ZrC87Bl","Yes")</f>
        <v>Yes</v>
      </c>
      <c r="D218" s="36" t="s">
        <v>40</v>
      </c>
      <c r="E218" s="36" t="s">
        <v>40</v>
      </c>
      <c r="F218" s="13">
        <v>29000.0</v>
      </c>
      <c r="G218" s="13">
        <v>7250.0</v>
      </c>
      <c r="H218" s="19">
        <v>7797.0</v>
      </c>
      <c r="I218" s="21" t="s">
        <v>37</v>
      </c>
      <c r="J218" s="21" t="s">
        <v>161</v>
      </c>
      <c r="K218" s="21"/>
      <c r="L218" s="21" t="s">
        <v>1356</v>
      </c>
      <c r="M218" s="15" t="s">
        <v>38</v>
      </c>
      <c r="N218" s="19">
        <v>7.0</v>
      </c>
      <c r="O218" s="21" t="s">
        <v>39</v>
      </c>
      <c r="P218" s="15" t="s">
        <v>53</v>
      </c>
      <c r="Q218" s="13" t="s">
        <v>41</v>
      </c>
      <c r="R218" s="13" t="s">
        <v>43</v>
      </c>
      <c r="S218" s="13" t="s">
        <v>44</v>
      </c>
      <c r="T218" s="21" t="s">
        <v>65</v>
      </c>
    </row>
    <row r="219" ht="56.25" customHeight="1">
      <c r="A219" s="21" t="s">
        <v>1358</v>
      </c>
      <c r="B219" s="15" t="str">
        <f>image("https://i.imgur.com/hQb3dLv.png")</f>
        <v/>
      </c>
      <c r="C219" s="22" t="str">
        <f>HYPERLINK("https://imgur.com/a/glF5PB6","Yes")</f>
        <v>Yes</v>
      </c>
      <c r="D219" s="36" t="s">
        <v>40</v>
      </c>
      <c r="E219" s="36" t="s">
        <v>40</v>
      </c>
      <c r="F219" s="13">
        <v>73000.0</v>
      </c>
      <c r="G219" s="13">
        <v>18250.0</v>
      </c>
      <c r="H219" s="19">
        <v>7796.0</v>
      </c>
      <c r="I219" s="21" t="s">
        <v>37</v>
      </c>
      <c r="J219" s="21" t="s">
        <v>161</v>
      </c>
      <c r="K219" s="21"/>
      <c r="L219" s="21" t="s">
        <v>1356</v>
      </c>
      <c r="M219" s="15" t="s">
        <v>106</v>
      </c>
      <c r="N219" s="19">
        <v>7.0</v>
      </c>
      <c r="O219" s="21" t="s">
        <v>39</v>
      </c>
      <c r="P219" s="15" t="s">
        <v>53</v>
      </c>
      <c r="Q219" s="13" t="s">
        <v>41</v>
      </c>
      <c r="R219" s="13" t="s">
        <v>43</v>
      </c>
      <c r="S219" s="13" t="s">
        <v>44</v>
      </c>
      <c r="T219" s="21" t="s">
        <v>65</v>
      </c>
    </row>
    <row r="220" ht="56.25" customHeight="1">
      <c r="A220" s="21" t="s">
        <v>1360</v>
      </c>
      <c r="B220" s="15" t="str">
        <f>image("https://i.imgur.com/WzWq7um.png")</f>
        <v/>
      </c>
      <c r="C220" s="22" t="str">
        <f>HYPERLINK("https://imgur.com/a/GfPyikk","Yes")</f>
        <v>Yes</v>
      </c>
      <c r="D220" s="36" t="s">
        <v>40</v>
      </c>
      <c r="E220" s="36" t="s">
        <v>40</v>
      </c>
      <c r="F220" s="13">
        <v>3700.0</v>
      </c>
      <c r="G220" s="13">
        <v>925.0</v>
      </c>
      <c r="H220" s="19">
        <v>3974.0</v>
      </c>
      <c r="I220" s="21" t="s">
        <v>161</v>
      </c>
      <c r="J220" s="21"/>
      <c r="K220" s="21" t="s">
        <v>726</v>
      </c>
      <c r="L220" s="21"/>
      <c r="M220" s="15" t="s">
        <v>130</v>
      </c>
      <c r="N220" s="19">
        <v>2.0</v>
      </c>
      <c r="O220" s="21" t="s">
        <v>39</v>
      </c>
      <c r="P220" s="15" t="s">
        <v>40</v>
      </c>
      <c r="Q220" s="13" t="s">
        <v>41</v>
      </c>
      <c r="R220" s="13" t="s">
        <v>43</v>
      </c>
      <c r="S220" s="13" t="s">
        <v>44</v>
      </c>
      <c r="T220" s="21" t="s">
        <v>68</v>
      </c>
    </row>
    <row r="221" ht="56.25" customHeight="1">
      <c r="A221" s="21" t="s">
        <v>1362</v>
      </c>
      <c r="B221" s="15" t="str">
        <f>image("https://i.imgur.com/oIbpGGc.png")</f>
        <v/>
      </c>
      <c r="C221" s="22" t="str">
        <f>HYPERLINK("https://imgur.com/a/AQDykCh","Yes")</f>
        <v>Yes</v>
      </c>
      <c r="D221" s="36" t="s">
        <v>40</v>
      </c>
      <c r="E221" s="36" t="s">
        <v>40</v>
      </c>
      <c r="F221" s="13">
        <v>5000.0</v>
      </c>
      <c r="G221" s="13">
        <v>1250.0</v>
      </c>
      <c r="H221" s="19">
        <v>3971.0</v>
      </c>
      <c r="I221" s="21" t="s">
        <v>161</v>
      </c>
      <c r="J221" s="21"/>
      <c r="K221" s="21" t="s">
        <v>726</v>
      </c>
      <c r="L221" s="21"/>
      <c r="M221" s="15" t="s">
        <v>130</v>
      </c>
      <c r="N221" s="19">
        <v>2.0</v>
      </c>
      <c r="O221" s="21" t="s">
        <v>39</v>
      </c>
      <c r="P221" s="15" t="s">
        <v>40</v>
      </c>
      <c r="Q221" s="13" t="s">
        <v>41</v>
      </c>
      <c r="R221" s="13" t="s">
        <v>43</v>
      </c>
      <c r="S221" s="13" t="s">
        <v>44</v>
      </c>
      <c r="T221" s="21" t="s">
        <v>68</v>
      </c>
    </row>
    <row r="222" ht="56.25" customHeight="1">
      <c r="A222" s="21" t="s">
        <v>1364</v>
      </c>
      <c r="B222" s="15" t="str">
        <f>image("https://i.imgur.com/P8i7VRF.png")</f>
        <v/>
      </c>
      <c r="C222" s="22" t="str">
        <f>HYPERLINK("https://imgur.com/a/9958JJI","Yes")</f>
        <v>Yes</v>
      </c>
      <c r="D222" s="36" t="s">
        <v>40</v>
      </c>
      <c r="E222" s="36" t="s">
        <v>40</v>
      </c>
      <c r="F222" s="13">
        <v>1100.0</v>
      </c>
      <c r="G222" s="13">
        <v>275.0</v>
      </c>
      <c r="H222" s="19">
        <v>3962.0</v>
      </c>
      <c r="I222" s="21" t="s">
        <v>338</v>
      </c>
      <c r="J222" s="21"/>
      <c r="K222" s="21"/>
      <c r="L222" s="21"/>
      <c r="M222" s="15" t="s">
        <v>130</v>
      </c>
      <c r="N222" s="19">
        <v>1.0</v>
      </c>
      <c r="O222" s="21" t="s">
        <v>39</v>
      </c>
      <c r="P222" s="15" t="s">
        <v>53</v>
      </c>
      <c r="Q222" s="13" t="s">
        <v>41</v>
      </c>
      <c r="R222" s="13" t="s">
        <v>43</v>
      </c>
      <c r="S222" s="13" t="s">
        <v>44</v>
      </c>
      <c r="T222" s="21" t="s">
        <v>202</v>
      </c>
    </row>
    <row r="223" ht="56.25" customHeight="1">
      <c r="A223" s="21" t="s">
        <v>1367</v>
      </c>
      <c r="B223" s="15" t="str">
        <f>image("https://i.imgur.com/HZ88czu.png")</f>
        <v/>
      </c>
      <c r="C223" s="22" t="str">
        <f>HYPERLINK("https://imgur.com/a/g7uUCuY","Yes")</f>
        <v>Yes</v>
      </c>
      <c r="D223" s="36" t="s">
        <v>53</v>
      </c>
      <c r="E223" s="36" t="s">
        <v>53</v>
      </c>
      <c r="F223" s="24" t="s">
        <v>51</v>
      </c>
      <c r="G223" s="13">
        <v>9000.0</v>
      </c>
      <c r="H223" s="19">
        <v>9642.0</v>
      </c>
      <c r="I223" s="21" t="s">
        <v>60</v>
      </c>
      <c r="J223" s="21"/>
      <c r="K223" s="21"/>
      <c r="L223" s="21"/>
      <c r="M223" s="15" t="s">
        <v>38</v>
      </c>
      <c r="N223" s="19">
        <v>7.0</v>
      </c>
      <c r="O223" s="21" t="s">
        <v>39</v>
      </c>
      <c r="P223" s="15" t="s">
        <v>53</v>
      </c>
      <c r="Q223" s="13" t="s">
        <v>41</v>
      </c>
      <c r="R223" s="13" t="s">
        <v>54</v>
      </c>
      <c r="S223" s="13" t="s">
        <v>55</v>
      </c>
      <c r="T223" s="21"/>
    </row>
    <row r="224" ht="56.25" customHeight="1">
      <c r="A224" s="21" t="s">
        <v>1369</v>
      </c>
      <c r="B224" s="15" t="str">
        <f>image("https://i.imgur.com/UdyNvz6.png")</f>
        <v/>
      </c>
      <c r="C224" s="22" t="str">
        <f>HYPERLINK("https://imgur.com/a/zNCOBmM","Yes")</f>
        <v>Yes</v>
      </c>
      <c r="D224" s="36" t="s">
        <v>53</v>
      </c>
      <c r="E224" s="36" t="s">
        <v>53</v>
      </c>
      <c r="F224" s="24" t="s">
        <v>51</v>
      </c>
      <c r="G224" s="13">
        <v>15000.0</v>
      </c>
      <c r="H224" s="19">
        <v>2553.0</v>
      </c>
      <c r="I224" s="21" t="s">
        <v>243</v>
      </c>
      <c r="J224" s="21"/>
      <c r="K224" s="21"/>
      <c r="L224" s="21"/>
      <c r="M224" s="15" t="s">
        <v>130</v>
      </c>
      <c r="N224" s="19">
        <v>7.0</v>
      </c>
      <c r="O224" s="21" t="s">
        <v>39</v>
      </c>
      <c r="P224" s="15" t="s">
        <v>40</v>
      </c>
      <c r="Q224" s="13" t="s">
        <v>41</v>
      </c>
      <c r="R224" s="13" t="s">
        <v>54</v>
      </c>
      <c r="S224" s="13" t="s">
        <v>55</v>
      </c>
      <c r="T224" s="21"/>
    </row>
    <row r="225" ht="56.25" customHeight="1">
      <c r="A225" s="21" t="s">
        <v>1371</v>
      </c>
      <c r="B225" s="15" t="str">
        <f>image("https://i.imgur.com/JVd8D6Q.png")</f>
        <v/>
      </c>
      <c r="C225" s="22" t="str">
        <f>HYPERLINK("https://imgur.com/a/Ha2kV4s","Yes")</f>
        <v>Yes</v>
      </c>
      <c r="D225" s="36" t="s">
        <v>53</v>
      </c>
      <c r="E225" s="36" t="s">
        <v>53</v>
      </c>
      <c r="F225" s="24" t="s">
        <v>51</v>
      </c>
      <c r="G225" s="13">
        <v>6000.0</v>
      </c>
      <c r="H225" s="19">
        <v>1625.0</v>
      </c>
      <c r="I225" s="21" t="s">
        <v>95</v>
      </c>
      <c r="J225" s="21"/>
      <c r="K225" s="21"/>
      <c r="L225" s="21"/>
      <c r="M225" s="15" t="s">
        <v>130</v>
      </c>
      <c r="N225" s="19">
        <v>7.0</v>
      </c>
      <c r="O225" s="21" t="s">
        <v>39</v>
      </c>
      <c r="P225" s="15" t="s">
        <v>53</v>
      </c>
      <c r="Q225" s="13" t="s">
        <v>41</v>
      </c>
      <c r="R225" s="13" t="s">
        <v>54</v>
      </c>
      <c r="S225" s="13" t="s">
        <v>55</v>
      </c>
      <c r="T225" s="21"/>
    </row>
    <row r="226" ht="56.25" customHeight="1">
      <c r="A226" s="21" t="s">
        <v>1373</v>
      </c>
      <c r="B226" s="15" t="str">
        <f>image("https://i.imgur.com/RuwIm0e.png")</f>
        <v/>
      </c>
      <c r="C226" s="22" t="str">
        <f>HYPERLINK("https://imgur.com/a/dflRHPY","Yes")</f>
        <v>Yes</v>
      </c>
      <c r="D226" s="36" t="s">
        <v>53</v>
      </c>
      <c r="E226" s="36" t="s">
        <v>53</v>
      </c>
      <c r="F226" s="24" t="s">
        <v>51</v>
      </c>
      <c r="G226" s="13">
        <v>2250.0</v>
      </c>
      <c r="H226" s="19">
        <v>1626.0</v>
      </c>
      <c r="I226" s="21" t="s">
        <v>95</v>
      </c>
      <c r="J226" s="21"/>
      <c r="K226" s="21"/>
      <c r="L226" s="21"/>
      <c r="M226" s="15" t="s">
        <v>38</v>
      </c>
      <c r="N226" s="19">
        <v>3.0</v>
      </c>
      <c r="O226" s="21" t="s">
        <v>39</v>
      </c>
      <c r="P226" s="15" t="s">
        <v>53</v>
      </c>
      <c r="Q226" s="13" t="s">
        <v>41</v>
      </c>
      <c r="R226" s="13" t="s">
        <v>54</v>
      </c>
      <c r="S226" s="13" t="s">
        <v>55</v>
      </c>
      <c r="T226" s="21"/>
    </row>
    <row r="227" ht="56.25" customHeight="1">
      <c r="A227" s="21" t="s">
        <v>1376</v>
      </c>
      <c r="B227" s="15" t="str">
        <f>image("https://i.imgur.com/3QXt6qF.png")</f>
        <v/>
      </c>
      <c r="C227" s="22" t="str">
        <f>HYPERLINK("https://imgur.com/a/fHUB82E","Yes")</f>
        <v>Yes</v>
      </c>
      <c r="D227" s="36" t="s">
        <v>53</v>
      </c>
      <c r="E227" s="36" t="s">
        <v>53</v>
      </c>
      <c r="F227" s="24" t="s">
        <v>51</v>
      </c>
      <c r="G227" s="13">
        <v>3750.0</v>
      </c>
      <c r="H227" s="19">
        <v>1627.0</v>
      </c>
      <c r="I227" s="21" t="s">
        <v>95</v>
      </c>
      <c r="J227" s="21"/>
      <c r="K227" s="21"/>
      <c r="L227" s="21"/>
      <c r="M227" s="15" t="s">
        <v>38</v>
      </c>
      <c r="N227" s="19">
        <v>5.0</v>
      </c>
      <c r="O227" s="21" t="s">
        <v>39</v>
      </c>
      <c r="P227" s="15" t="s">
        <v>40</v>
      </c>
      <c r="Q227" s="13" t="s">
        <v>41</v>
      </c>
      <c r="R227" s="13" t="s">
        <v>54</v>
      </c>
      <c r="S227" s="13" t="s">
        <v>55</v>
      </c>
      <c r="T227" s="21"/>
    </row>
    <row r="228" ht="56.25" customHeight="1">
      <c r="A228" s="21" t="s">
        <v>1378</v>
      </c>
      <c r="B228" s="15" t="str">
        <f>image("https://i.imgur.com/3N5Yq3j.png")</f>
        <v/>
      </c>
      <c r="C228" s="22" t="str">
        <f>HYPERLINK("https://imgur.com/a/xOBkdG1","Yes")</f>
        <v>Yes</v>
      </c>
      <c r="D228" s="36" t="s">
        <v>53</v>
      </c>
      <c r="E228" s="36" t="s">
        <v>53</v>
      </c>
      <c r="F228" s="24" t="s">
        <v>51</v>
      </c>
      <c r="G228" s="13">
        <v>2250.0</v>
      </c>
      <c r="H228" s="19">
        <v>3561.0</v>
      </c>
      <c r="I228" s="21" t="s">
        <v>60</v>
      </c>
      <c r="J228" s="21"/>
      <c r="K228" s="21"/>
      <c r="L228" s="21"/>
      <c r="M228" s="15" t="s">
        <v>38</v>
      </c>
      <c r="N228" s="19">
        <v>4.0</v>
      </c>
      <c r="O228" s="21" t="s">
        <v>39</v>
      </c>
      <c r="P228" s="15" t="s">
        <v>40</v>
      </c>
      <c r="Q228" s="13" t="s">
        <v>41</v>
      </c>
      <c r="R228" s="13" t="s">
        <v>54</v>
      </c>
      <c r="S228" s="13" t="s">
        <v>55</v>
      </c>
      <c r="T228" s="21"/>
    </row>
    <row r="229" ht="56.25" customHeight="1">
      <c r="A229" s="21" t="s">
        <v>1380</v>
      </c>
      <c r="B229" s="15" t="str">
        <f>image("https://i.imgur.com/i62x006.png")</f>
        <v/>
      </c>
      <c r="C229" s="22" t="str">
        <f>HYPERLINK("https://imgur.com/a/x2Re5Xh","Yes")</f>
        <v>Yes</v>
      </c>
      <c r="D229" s="36" t="s">
        <v>53</v>
      </c>
      <c r="E229" s="36" t="s">
        <v>53</v>
      </c>
      <c r="F229" s="24" t="s">
        <v>51</v>
      </c>
      <c r="G229" s="13">
        <v>10500.0</v>
      </c>
      <c r="H229" s="19">
        <v>3563.0</v>
      </c>
      <c r="I229" s="21" t="s">
        <v>60</v>
      </c>
      <c r="J229" s="21"/>
      <c r="K229" s="21"/>
      <c r="L229" s="21"/>
      <c r="M229" s="15" t="s">
        <v>130</v>
      </c>
      <c r="N229" s="19">
        <v>7.0</v>
      </c>
      <c r="O229" s="21" t="s">
        <v>39</v>
      </c>
      <c r="P229" s="15" t="s">
        <v>40</v>
      </c>
      <c r="Q229" s="13" t="s">
        <v>41</v>
      </c>
      <c r="R229" s="13" t="s">
        <v>54</v>
      </c>
      <c r="S229" s="13" t="s">
        <v>55</v>
      </c>
      <c r="T229" s="21"/>
    </row>
    <row r="230" ht="56.25" customHeight="1">
      <c r="A230" s="21" t="s">
        <v>1382</v>
      </c>
      <c r="B230" s="15" t="str">
        <f>image("https://i.imgur.com/kNfE9vf.png")</f>
        <v/>
      </c>
      <c r="C230" s="22" t="str">
        <f>HYPERLINK("https://imgur.com/a/63By1ax","Yes")</f>
        <v>Yes</v>
      </c>
      <c r="D230" s="36" t="s">
        <v>53</v>
      </c>
      <c r="E230" s="36" t="s">
        <v>53</v>
      </c>
      <c r="F230" s="24" t="s">
        <v>51</v>
      </c>
      <c r="G230" s="13">
        <v>7500.0</v>
      </c>
      <c r="H230" s="19">
        <v>3560.0</v>
      </c>
      <c r="I230" s="21" t="s">
        <v>243</v>
      </c>
      <c r="J230" s="21"/>
      <c r="K230" s="21"/>
      <c r="L230" s="21"/>
      <c r="M230" s="15" t="s">
        <v>130</v>
      </c>
      <c r="N230" s="19">
        <v>7.0</v>
      </c>
      <c r="O230" s="21" t="s">
        <v>39</v>
      </c>
      <c r="P230" s="15" t="s">
        <v>40</v>
      </c>
      <c r="Q230" s="13" t="s">
        <v>41</v>
      </c>
      <c r="R230" s="13" t="s">
        <v>54</v>
      </c>
      <c r="S230" s="13" t="s">
        <v>55</v>
      </c>
      <c r="T230" s="21"/>
    </row>
    <row r="231" ht="56.25" customHeight="1">
      <c r="A231" s="21" t="s">
        <v>1385</v>
      </c>
      <c r="B231" s="15" t="str">
        <f>image("https://i.imgur.com/paGEQm6.png")</f>
        <v/>
      </c>
      <c r="C231" s="22" t="str">
        <f>HYPERLINK("https://imgur.com/a/54j4cyk","Yes")</f>
        <v>Yes</v>
      </c>
      <c r="D231" s="36" t="s">
        <v>40</v>
      </c>
      <c r="E231" s="36" t="s">
        <v>40</v>
      </c>
      <c r="F231" s="13">
        <v>2300.0</v>
      </c>
      <c r="G231" s="13">
        <v>575.0</v>
      </c>
      <c r="H231" s="19">
        <v>7531.0</v>
      </c>
      <c r="I231" s="21" t="s">
        <v>60</v>
      </c>
      <c r="J231" s="21"/>
      <c r="K231" s="21"/>
      <c r="L231" s="21"/>
      <c r="M231" s="15" t="s">
        <v>38</v>
      </c>
      <c r="N231" s="19">
        <v>1.0</v>
      </c>
      <c r="O231" s="21" t="s">
        <v>39</v>
      </c>
      <c r="P231" s="15" t="s">
        <v>40</v>
      </c>
      <c r="Q231" s="13" t="s">
        <v>41</v>
      </c>
      <c r="R231" s="13" t="s">
        <v>43</v>
      </c>
      <c r="S231" s="13" t="s">
        <v>44</v>
      </c>
      <c r="T231" s="21" t="s">
        <v>63</v>
      </c>
    </row>
    <row r="232" ht="56.25" customHeight="1">
      <c r="A232" s="21" t="s">
        <v>1388</v>
      </c>
      <c r="B232" s="15" t="str">
        <f>image("https://i.imgur.com/CATZk7b.png")</f>
        <v/>
      </c>
      <c r="C232" s="22" t="str">
        <f>HYPERLINK("https://imgur.com/a/XJksexj","Yes")</f>
        <v>Yes</v>
      </c>
      <c r="D232" s="36" t="s">
        <v>53</v>
      </c>
      <c r="E232" s="36" t="s">
        <v>53</v>
      </c>
      <c r="F232" s="24" t="s">
        <v>51</v>
      </c>
      <c r="G232" s="13">
        <v>9900.0</v>
      </c>
      <c r="H232" s="19">
        <v>3200.0</v>
      </c>
      <c r="I232" s="21" t="s">
        <v>60</v>
      </c>
      <c r="J232" s="21"/>
      <c r="K232" s="21"/>
      <c r="L232" s="21"/>
      <c r="M232" s="15" t="s">
        <v>130</v>
      </c>
      <c r="N232" s="19">
        <v>8.0</v>
      </c>
      <c r="O232" s="21" t="s">
        <v>39</v>
      </c>
      <c r="P232" s="15" t="s">
        <v>53</v>
      </c>
      <c r="Q232" s="13" t="s">
        <v>41</v>
      </c>
      <c r="R232" s="13" t="s">
        <v>54</v>
      </c>
      <c r="S232" s="13" t="s">
        <v>55</v>
      </c>
      <c r="T232" s="21"/>
    </row>
    <row r="233" ht="56.25" customHeight="1">
      <c r="A233" s="21" t="s">
        <v>1390</v>
      </c>
      <c r="B233" s="15" t="str">
        <f>image("https://i.imgur.com/jmYTF06.png")</f>
        <v/>
      </c>
      <c r="C233" s="22" t="str">
        <f>HYPERLINK("https://imgur.com/a/S5gP2lH","Yes")</f>
        <v>Yes</v>
      </c>
      <c r="D233" s="36" t="s">
        <v>53</v>
      </c>
      <c r="E233" s="36" t="s">
        <v>53</v>
      </c>
      <c r="F233" s="24" t="s">
        <v>51</v>
      </c>
      <c r="G233" s="13">
        <v>3720.0</v>
      </c>
      <c r="H233" s="19">
        <v>3195.0</v>
      </c>
      <c r="I233" s="21" t="s">
        <v>60</v>
      </c>
      <c r="J233" s="21"/>
      <c r="K233" s="21"/>
      <c r="L233" s="21"/>
      <c r="M233" s="15" t="s">
        <v>38</v>
      </c>
      <c r="N233" s="19">
        <v>5.0</v>
      </c>
      <c r="O233" s="21" t="s">
        <v>39</v>
      </c>
      <c r="P233" s="15" t="s">
        <v>40</v>
      </c>
      <c r="Q233" s="13" t="s">
        <v>41</v>
      </c>
      <c r="R233" s="13" t="s">
        <v>54</v>
      </c>
      <c r="S233" s="13" t="s">
        <v>55</v>
      </c>
      <c r="T233" s="21"/>
    </row>
    <row r="234" ht="56.25" customHeight="1">
      <c r="A234" s="21" t="s">
        <v>1392</v>
      </c>
      <c r="B234" s="15" t="str">
        <f>image("https://i.imgur.com/StSmIvz.png")</f>
        <v/>
      </c>
      <c r="C234" s="22" t="str">
        <f>HYPERLINK("https://imgur.com/a/tL7VYG7","Yes")</f>
        <v>Yes</v>
      </c>
      <c r="D234" s="36" t="s">
        <v>53</v>
      </c>
      <c r="E234" s="36" t="s">
        <v>53</v>
      </c>
      <c r="F234" s="24" t="s">
        <v>51</v>
      </c>
      <c r="G234" s="13">
        <v>1860.0</v>
      </c>
      <c r="H234" s="19">
        <v>3193.0</v>
      </c>
      <c r="I234" s="21" t="s">
        <v>60</v>
      </c>
      <c r="J234" s="21"/>
      <c r="K234" s="21"/>
      <c r="L234" s="21"/>
      <c r="M234" s="15" t="s">
        <v>38</v>
      </c>
      <c r="N234" s="19">
        <v>3.0</v>
      </c>
      <c r="O234" s="21" t="s">
        <v>39</v>
      </c>
      <c r="P234" s="15" t="s">
        <v>53</v>
      </c>
      <c r="Q234" s="13" t="s">
        <v>41</v>
      </c>
      <c r="R234" s="13" t="s">
        <v>54</v>
      </c>
      <c r="S234" s="13" t="s">
        <v>55</v>
      </c>
      <c r="T234" s="21"/>
    </row>
    <row r="235" ht="56.25" customHeight="1">
      <c r="A235" s="21" t="s">
        <v>1394</v>
      </c>
      <c r="B235" s="15" t="str">
        <f>image("https://i.imgur.com/JXrOJHz.png")</f>
        <v/>
      </c>
      <c r="C235" s="22" t="str">
        <f>HYPERLINK("https://imgur.com/a/hhb27Jp","Yes")</f>
        <v>Yes</v>
      </c>
      <c r="D235" s="36" t="s">
        <v>53</v>
      </c>
      <c r="E235" s="36" t="s">
        <v>53</v>
      </c>
      <c r="F235" s="24" t="s">
        <v>51</v>
      </c>
      <c r="G235" s="13">
        <v>9780.0</v>
      </c>
      <c r="H235" s="19">
        <v>3271.0</v>
      </c>
      <c r="I235" s="21" t="s">
        <v>86</v>
      </c>
      <c r="J235" s="21"/>
      <c r="K235" s="21"/>
      <c r="L235" s="21"/>
      <c r="M235" s="15" t="s">
        <v>130</v>
      </c>
      <c r="N235" s="19">
        <v>7.0</v>
      </c>
      <c r="O235" s="21" t="s">
        <v>39</v>
      </c>
      <c r="P235" s="15" t="s">
        <v>40</v>
      </c>
      <c r="Q235" s="13" t="s">
        <v>41</v>
      </c>
      <c r="R235" s="13" t="s">
        <v>54</v>
      </c>
      <c r="S235" s="13" t="s">
        <v>55</v>
      </c>
      <c r="T235" s="21"/>
    </row>
    <row r="236" ht="56.25" customHeight="1">
      <c r="A236" s="21" t="s">
        <v>1397</v>
      </c>
      <c r="B236" s="15" t="str">
        <f>image("https://i.imgur.com/cSkbvWM.png")</f>
        <v/>
      </c>
      <c r="C236" s="22" t="str">
        <f>HYPERLINK("https://imgur.com/a/MvNxSWL","Yes")</f>
        <v>Yes</v>
      </c>
      <c r="D236" s="36" t="s">
        <v>53</v>
      </c>
      <c r="E236" s="36" t="s">
        <v>53</v>
      </c>
      <c r="F236" s="24" t="s">
        <v>51</v>
      </c>
      <c r="G236" s="13">
        <v>8520.0</v>
      </c>
      <c r="H236" s="19">
        <v>3943.0</v>
      </c>
      <c r="I236" s="21" t="s">
        <v>243</v>
      </c>
      <c r="J236" s="21"/>
      <c r="K236" s="21"/>
      <c r="L236" s="21"/>
      <c r="M236" s="15" t="s">
        <v>130</v>
      </c>
      <c r="N236" s="19">
        <v>7.0</v>
      </c>
      <c r="O236" s="21" t="s">
        <v>39</v>
      </c>
      <c r="P236" s="15" t="s">
        <v>53</v>
      </c>
      <c r="Q236" s="13" t="s">
        <v>41</v>
      </c>
      <c r="R236" s="13" t="s">
        <v>54</v>
      </c>
      <c r="S236" s="13" t="s">
        <v>55</v>
      </c>
      <c r="T236" s="21"/>
    </row>
    <row r="237" ht="56.25" customHeight="1">
      <c r="A237" s="21" t="s">
        <v>1399</v>
      </c>
      <c r="B237" s="15" t="str">
        <f>image("https://i.imgur.com/CK7M7lL.png")</f>
        <v/>
      </c>
      <c r="C237" s="22" t="str">
        <f>HYPERLINK("https://imgur.com/a/E2VEYv7","Yes")</f>
        <v>Yes</v>
      </c>
      <c r="D237" s="36" t="s">
        <v>53</v>
      </c>
      <c r="E237" s="36" t="s">
        <v>53</v>
      </c>
      <c r="F237" s="24" t="s">
        <v>51</v>
      </c>
      <c r="G237" s="13">
        <v>3840.0</v>
      </c>
      <c r="H237" s="19">
        <v>3196.0</v>
      </c>
      <c r="I237" s="21" t="s">
        <v>60</v>
      </c>
      <c r="J237" s="21"/>
      <c r="K237" s="21"/>
      <c r="L237" s="21"/>
      <c r="M237" s="15" t="s">
        <v>38</v>
      </c>
      <c r="N237" s="19">
        <v>6.0</v>
      </c>
      <c r="O237" s="21" t="s">
        <v>39</v>
      </c>
      <c r="P237" s="15" t="s">
        <v>53</v>
      </c>
      <c r="Q237" s="13" t="s">
        <v>41</v>
      </c>
      <c r="R237" s="13" t="s">
        <v>54</v>
      </c>
      <c r="S237" s="13" t="s">
        <v>55</v>
      </c>
      <c r="T237" s="21"/>
    </row>
    <row r="238" ht="56.25" customHeight="1">
      <c r="A238" s="21" t="s">
        <v>1402</v>
      </c>
      <c r="B238" s="15" t="str">
        <f>image("https://i.imgur.com/zYTD4CI.png")</f>
        <v/>
      </c>
      <c r="C238" s="22" t="str">
        <f>HYPERLINK("https://imgur.com/a/zzr4mnq","Yes")</f>
        <v>Yes</v>
      </c>
      <c r="D238" s="36" t="s">
        <v>53</v>
      </c>
      <c r="E238" s="36" t="s">
        <v>53</v>
      </c>
      <c r="F238" s="24" t="s">
        <v>51</v>
      </c>
      <c r="G238" s="13">
        <v>7560.0</v>
      </c>
      <c r="H238" s="19">
        <v>3270.0</v>
      </c>
      <c r="I238" s="21" t="s">
        <v>86</v>
      </c>
      <c r="J238" s="21"/>
      <c r="K238" s="21"/>
      <c r="L238" s="21"/>
      <c r="M238" s="15" t="s">
        <v>130</v>
      </c>
      <c r="N238" s="19">
        <v>7.0</v>
      </c>
      <c r="O238" s="21" t="s">
        <v>39</v>
      </c>
      <c r="P238" s="15" t="s">
        <v>40</v>
      </c>
      <c r="Q238" s="13" t="s">
        <v>41</v>
      </c>
      <c r="R238" s="13" t="s">
        <v>54</v>
      </c>
      <c r="S238" s="13" t="s">
        <v>55</v>
      </c>
      <c r="T238" s="21"/>
    </row>
    <row r="239" ht="56.25" customHeight="1">
      <c r="A239" s="21" t="s">
        <v>1404</v>
      </c>
      <c r="B239" s="15" t="str">
        <f>image("https://i.imgur.com/xgKgivA.png")</f>
        <v/>
      </c>
      <c r="C239" s="22" t="str">
        <f>HYPERLINK("https://imgur.com/a/upihEFI","Yes")</f>
        <v>Yes</v>
      </c>
      <c r="D239" s="36" t="s">
        <v>53</v>
      </c>
      <c r="E239" s="36" t="s">
        <v>53</v>
      </c>
      <c r="F239" s="24" t="s">
        <v>51</v>
      </c>
      <c r="G239" s="13">
        <v>3720.0</v>
      </c>
      <c r="H239" s="19">
        <v>3194.0</v>
      </c>
      <c r="I239" s="21" t="s">
        <v>60</v>
      </c>
      <c r="J239" s="21"/>
      <c r="K239" s="21"/>
      <c r="L239" s="21"/>
      <c r="M239" s="15" t="s">
        <v>130</v>
      </c>
      <c r="N239" s="19">
        <v>5.0</v>
      </c>
      <c r="O239" s="21" t="s">
        <v>39</v>
      </c>
      <c r="P239" s="15" t="s">
        <v>40</v>
      </c>
      <c r="Q239" s="13" t="s">
        <v>41</v>
      </c>
      <c r="R239" s="13" t="s">
        <v>54</v>
      </c>
      <c r="S239" s="13" t="s">
        <v>55</v>
      </c>
      <c r="T239" s="21"/>
    </row>
    <row r="240" ht="56.25" customHeight="1">
      <c r="A240" s="21" t="s">
        <v>1408</v>
      </c>
      <c r="B240" s="15" t="str">
        <f>image("https://i.imgur.com/esrMEnn.png")</f>
        <v/>
      </c>
      <c r="C240" s="22" t="str">
        <f>HYPERLINK("https://imgur.com/a/uz20vXV","Yes")</f>
        <v>Yes</v>
      </c>
      <c r="D240" s="36" t="s">
        <v>53</v>
      </c>
      <c r="E240" s="36" t="s">
        <v>53</v>
      </c>
      <c r="F240" s="24" t="s">
        <v>51</v>
      </c>
      <c r="G240" s="13">
        <v>5940.0</v>
      </c>
      <c r="H240" s="19">
        <v>3191.0</v>
      </c>
      <c r="I240" s="21" t="s">
        <v>60</v>
      </c>
      <c r="J240" s="21"/>
      <c r="K240" s="21"/>
      <c r="L240" s="21"/>
      <c r="M240" s="15" t="s">
        <v>106</v>
      </c>
      <c r="N240" s="19">
        <v>7.0</v>
      </c>
      <c r="O240" s="21" t="s">
        <v>39</v>
      </c>
      <c r="P240" s="15" t="s">
        <v>40</v>
      </c>
      <c r="Q240" s="13" t="s">
        <v>41</v>
      </c>
      <c r="R240" s="13" t="s">
        <v>54</v>
      </c>
      <c r="S240" s="13" t="s">
        <v>55</v>
      </c>
      <c r="T240" s="21"/>
    </row>
    <row r="241" ht="56.25" customHeight="1">
      <c r="A241" s="21" t="s">
        <v>1410</v>
      </c>
      <c r="B241" s="15" t="str">
        <f>image("https://i.imgur.com/Gk8xhTk.png")</f>
        <v/>
      </c>
      <c r="C241" s="22" t="str">
        <f>HYPERLINK("https://imgur.com/a/xepCn5h","Yes")</f>
        <v>Yes</v>
      </c>
      <c r="D241" s="36" t="s">
        <v>53</v>
      </c>
      <c r="E241" s="36" t="s">
        <v>53</v>
      </c>
      <c r="F241" s="24" t="s">
        <v>51</v>
      </c>
      <c r="G241" s="13">
        <v>3750.0</v>
      </c>
      <c r="H241" s="19">
        <v>5931.0</v>
      </c>
      <c r="I241" s="21" t="s">
        <v>90</v>
      </c>
      <c r="J241" s="21" t="s">
        <v>346</v>
      </c>
      <c r="K241" s="21"/>
      <c r="L241" s="21"/>
      <c r="M241" s="15" t="s">
        <v>332</v>
      </c>
      <c r="N241" s="19">
        <v>5.0</v>
      </c>
      <c r="O241" s="21" t="s">
        <v>39</v>
      </c>
      <c r="P241" s="15" t="s">
        <v>40</v>
      </c>
      <c r="Q241" s="13" t="s">
        <v>41</v>
      </c>
      <c r="R241" s="13" t="s">
        <v>54</v>
      </c>
      <c r="S241" s="13" t="s">
        <v>55</v>
      </c>
      <c r="T241" s="21"/>
    </row>
    <row r="242" ht="56.25" customHeight="1">
      <c r="A242" s="21" t="s">
        <v>1412</v>
      </c>
      <c r="B242" s="15" t="str">
        <f>image("https://i.imgur.com/cD0n6Qv.png")</f>
        <v/>
      </c>
      <c r="C242" s="22" t="str">
        <f>HYPERLINK("https://imgur.com/a/rcaYyEj","Yes")</f>
        <v>Yes</v>
      </c>
      <c r="D242" s="36" t="s">
        <v>53</v>
      </c>
      <c r="E242" s="36" t="s">
        <v>53</v>
      </c>
      <c r="F242" s="24" t="s">
        <v>51</v>
      </c>
      <c r="G242" s="13">
        <v>3500.0</v>
      </c>
      <c r="H242" s="19">
        <v>2596.0</v>
      </c>
      <c r="I242" s="21" t="s">
        <v>36</v>
      </c>
      <c r="J242" s="21"/>
      <c r="K242" s="21"/>
      <c r="L242" s="21"/>
      <c r="M242" s="15" t="s">
        <v>38</v>
      </c>
      <c r="N242" s="19">
        <v>5.0</v>
      </c>
      <c r="O242" s="21" t="s">
        <v>39</v>
      </c>
      <c r="P242" s="15" t="s">
        <v>53</v>
      </c>
      <c r="Q242" s="13" t="s">
        <v>215</v>
      </c>
      <c r="R242" s="13" t="s">
        <v>54</v>
      </c>
      <c r="S242" s="13" t="s">
        <v>55</v>
      </c>
      <c r="T242" s="21"/>
    </row>
    <row r="243" ht="56.25" customHeight="1">
      <c r="A243" s="21" t="s">
        <v>1414</v>
      </c>
      <c r="B243" s="15" t="str">
        <f>image("https://i.imgur.com/2DOr5Go.png")</f>
        <v/>
      </c>
      <c r="C243" s="22" t="str">
        <f>HYPERLINK("https://imgur.com/a/Sth9Ugp","No")</f>
        <v>No</v>
      </c>
      <c r="D243" s="36" t="s">
        <v>40</v>
      </c>
      <c r="E243" s="36" t="s">
        <v>40</v>
      </c>
      <c r="F243" s="13">
        <v>5600.0</v>
      </c>
      <c r="G243" s="13">
        <v>1400.0</v>
      </c>
      <c r="H243" s="19">
        <v>791.0</v>
      </c>
      <c r="I243" s="21" t="s">
        <v>37</v>
      </c>
      <c r="J243" s="21" t="s">
        <v>90</v>
      </c>
      <c r="K243" s="21"/>
      <c r="L243" s="21"/>
      <c r="M243" s="15" t="s">
        <v>38</v>
      </c>
      <c r="N243" s="19"/>
      <c r="O243" s="21" t="s">
        <v>339</v>
      </c>
      <c r="P243" s="15" t="s">
        <v>53</v>
      </c>
      <c r="Q243" s="13" t="s">
        <v>41</v>
      </c>
      <c r="R243" s="13" t="s">
        <v>43</v>
      </c>
      <c r="S243" s="13" t="s">
        <v>44</v>
      </c>
      <c r="T243" s="21" t="s">
        <v>68</v>
      </c>
    </row>
    <row r="244" ht="56.25" customHeight="1">
      <c r="A244" s="21" t="s">
        <v>1416</v>
      </c>
      <c r="B244" s="15" t="str">
        <f>image("https://i.imgur.com/sKSQr1a.png")</f>
        <v/>
      </c>
      <c r="C244" s="22" t="str">
        <f>HYPERLINK("https://imgur.com/a/hQqbeGs","No")</f>
        <v>No</v>
      </c>
      <c r="D244" s="36" t="s">
        <v>53</v>
      </c>
      <c r="E244" s="36" t="s">
        <v>40</v>
      </c>
      <c r="F244" s="24" t="s">
        <v>51</v>
      </c>
      <c r="G244" s="13">
        <v>6270.0</v>
      </c>
      <c r="H244" s="19">
        <v>4008.0</v>
      </c>
      <c r="I244" s="21" t="s">
        <v>161</v>
      </c>
      <c r="J244" s="21" t="s">
        <v>183</v>
      </c>
      <c r="K244" s="21"/>
      <c r="L244" s="21"/>
      <c r="M244" s="15" t="s">
        <v>506</v>
      </c>
      <c r="N244" s="19"/>
      <c r="O244" s="21" t="s">
        <v>39</v>
      </c>
      <c r="P244" s="15" t="s">
        <v>53</v>
      </c>
      <c r="Q244" s="13" t="s">
        <v>41</v>
      </c>
      <c r="R244" s="13" t="s">
        <v>54</v>
      </c>
      <c r="S244" s="13" t="s">
        <v>55</v>
      </c>
      <c r="T244" s="21"/>
    </row>
    <row r="245" ht="56.25" customHeight="1">
      <c r="A245" s="21" t="s">
        <v>1419</v>
      </c>
      <c r="B245" s="15" t="str">
        <f>image("https://i.imgur.com/XBOUxoc.png")</f>
        <v/>
      </c>
      <c r="C245" s="22" t="str">
        <f>HYPERLINK("https://imgur.com/a/lttNGtW","Yes")</f>
        <v>Yes</v>
      </c>
      <c r="D245" s="36" t="s">
        <v>40</v>
      </c>
      <c r="E245" s="36" t="s">
        <v>53</v>
      </c>
      <c r="F245" s="13">
        <v>3200.0</v>
      </c>
      <c r="G245" s="13">
        <v>800.0</v>
      </c>
      <c r="H245" s="19">
        <v>7682.0</v>
      </c>
      <c r="I245" s="21" t="s">
        <v>161</v>
      </c>
      <c r="J245" s="21"/>
      <c r="K245" s="21"/>
      <c r="L245" s="21"/>
      <c r="M245" s="15" t="s">
        <v>130</v>
      </c>
      <c r="N245" s="19">
        <v>2.0</v>
      </c>
      <c r="O245" s="21" t="s">
        <v>39</v>
      </c>
      <c r="P245" s="15" t="s">
        <v>40</v>
      </c>
      <c r="Q245" s="13" t="s">
        <v>41</v>
      </c>
      <c r="R245" s="13" t="s">
        <v>43</v>
      </c>
      <c r="S245" s="13" t="s">
        <v>44</v>
      </c>
      <c r="T245" s="21" t="s">
        <v>68</v>
      </c>
    </row>
    <row r="246" ht="56.25" customHeight="1">
      <c r="A246" s="21" t="s">
        <v>1421</v>
      </c>
      <c r="B246" s="15" t="str">
        <f>image("https://i.imgur.com/t1heMZo.png")</f>
        <v/>
      </c>
      <c r="C246" s="22" t="str">
        <f>HYPERLINK("https://imgur.com/a/jwj5Ha7","Yes")</f>
        <v>Yes</v>
      </c>
      <c r="D246" s="36" t="s">
        <v>40</v>
      </c>
      <c r="E246" s="36" t="s">
        <v>40</v>
      </c>
      <c r="F246" s="13">
        <v>170000.0</v>
      </c>
      <c r="G246" s="13">
        <v>42500.0</v>
      </c>
      <c r="H246" s="19">
        <v>998.0</v>
      </c>
      <c r="I246" s="21" t="s">
        <v>86</v>
      </c>
      <c r="J246" s="21" t="s">
        <v>62</v>
      </c>
      <c r="K246" s="21"/>
      <c r="L246" s="21"/>
      <c r="M246" s="15" t="s">
        <v>106</v>
      </c>
      <c r="N246" s="19">
        <v>9.0</v>
      </c>
      <c r="O246" s="21" t="s">
        <v>39</v>
      </c>
      <c r="P246" s="15" t="s">
        <v>40</v>
      </c>
      <c r="Q246" s="13" t="s">
        <v>41</v>
      </c>
      <c r="R246" s="13" t="s">
        <v>43</v>
      </c>
      <c r="S246" s="13" t="s">
        <v>44</v>
      </c>
      <c r="T246" s="21" t="s">
        <v>65</v>
      </c>
    </row>
    <row r="247" ht="56.25" customHeight="1">
      <c r="A247" s="21" t="s">
        <v>1423</v>
      </c>
      <c r="B247" s="15" t="str">
        <f>image("https://i.imgur.com/RQt9gkW.png")</f>
        <v/>
      </c>
      <c r="C247" s="22" t="str">
        <f>HYPERLINK("https://imgur.com/a/1Bb3mMD","Yes")</f>
        <v>Yes</v>
      </c>
      <c r="D247" s="36" t="s">
        <v>40</v>
      </c>
      <c r="E247" s="36" t="s">
        <v>40</v>
      </c>
      <c r="F247" s="13">
        <v>1100.0</v>
      </c>
      <c r="G247" s="13">
        <v>275.0</v>
      </c>
      <c r="H247" s="19">
        <v>7803.0</v>
      </c>
      <c r="I247" s="21" t="s">
        <v>60</v>
      </c>
      <c r="J247" s="21"/>
      <c r="K247" s="21"/>
      <c r="L247" s="21"/>
      <c r="M247" s="15" t="s">
        <v>38</v>
      </c>
      <c r="N247" s="19">
        <v>1.0</v>
      </c>
      <c r="O247" s="21" t="s">
        <v>39</v>
      </c>
      <c r="P247" s="15" t="s">
        <v>40</v>
      </c>
      <c r="Q247" s="13" t="s">
        <v>41</v>
      </c>
      <c r="R247" s="13" t="s">
        <v>43</v>
      </c>
      <c r="S247" s="13" t="s">
        <v>44</v>
      </c>
      <c r="T247" s="21" t="s">
        <v>63</v>
      </c>
    </row>
    <row r="248" ht="56.25" customHeight="1">
      <c r="A248" s="21" t="s">
        <v>1426</v>
      </c>
      <c r="B248" s="15" t="str">
        <f>image("https://i.imgur.com/LcoHUrU.png")</f>
        <v/>
      </c>
      <c r="C248" s="22" t="str">
        <f>HYPERLINK("https://imgur.com/a/A0jeXcd","Yes")</f>
        <v>Yes</v>
      </c>
      <c r="D248" s="36" t="s">
        <v>40</v>
      </c>
      <c r="E248" s="36" t="s">
        <v>40</v>
      </c>
      <c r="F248" s="13">
        <v>3700.0</v>
      </c>
      <c r="G248" s="13">
        <v>925.0</v>
      </c>
      <c r="H248" s="19">
        <v>1849.0</v>
      </c>
      <c r="I248" s="21" t="s">
        <v>161</v>
      </c>
      <c r="J248" s="21"/>
      <c r="K248" s="21"/>
      <c r="L248" s="21"/>
      <c r="M248" s="15" t="s">
        <v>106</v>
      </c>
      <c r="N248" s="19">
        <v>2.0</v>
      </c>
      <c r="O248" s="21" t="s">
        <v>39</v>
      </c>
      <c r="P248" s="15" t="s">
        <v>40</v>
      </c>
      <c r="Q248" s="13" t="s">
        <v>41</v>
      </c>
      <c r="R248" s="13" t="s">
        <v>43</v>
      </c>
      <c r="S248" s="13" t="s">
        <v>44</v>
      </c>
      <c r="T248" s="21" t="s">
        <v>65</v>
      </c>
    </row>
    <row r="249" ht="56.25" customHeight="1">
      <c r="A249" s="21" t="s">
        <v>1429</v>
      </c>
      <c r="B249" s="15" t="str">
        <f>image("https://i.imgur.com/RKwZ9O2.png")</f>
        <v/>
      </c>
      <c r="C249" s="22" t="str">
        <f>HYPERLINK("https://imgur.com/a/0RpzGPZ","No")</f>
        <v>No</v>
      </c>
      <c r="D249" s="36" t="s">
        <v>53</v>
      </c>
      <c r="E249" s="36" t="s">
        <v>40</v>
      </c>
      <c r="F249" s="24" t="s">
        <v>51</v>
      </c>
      <c r="G249" s="13">
        <v>300.0</v>
      </c>
      <c r="H249" s="19">
        <v>3412.0</v>
      </c>
      <c r="I249" s="21" t="s">
        <v>243</v>
      </c>
      <c r="J249" s="21"/>
      <c r="K249" s="21"/>
      <c r="L249" s="21"/>
      <c r="M249" s="15" t="s">
        <v>106</v>
      </c>
      <c r="N249" s="19"/>
      <c r="O249" s="21" t="s">
        <v>39</v>
      </c>
      <c r="P249" s="15" t="s">
        <v>40</v>
      </c>
      <c r="Q249" s="13" t="s">
        <v>41</v>
      </c>
      <c r="R249" s="13" t="s">
        <v>54</v>
      </c>
      <c r="S249" s="13" t="s">
        <v>55</v>
      </c>
      <c r="T249" s="21"/>
    </row>
    <row r="250" ht="56.25" customHeight="1">
      <c r="A250" s="21" t="s">
        <v>1432</v>
      </c>
      <c r="B250" s="15" t="str">
        <f>image("https://i.imgur.com/twyyXSF.png")</f>
        <v/>
      </c>
      <c r="C250" s="22" t="str">
        <f>HYPERLINK("https://imgur.com/a/MMRgYlu","Yes")</f>
        <v>Yes</v>
      </c>
      <c r="D250" s="36" t="s">
        <v>40</v>
      </c>
      <c r="E250" s="36" t="s">
        <v>40</v>
      </c>
      <c r="F250" s="13">
        <v>760.0</v>
      </c>
      <c r="G250" s="13">
        <v>190.0</v>
      </c>
      <c r="H250" s="19">
        <v>1621.0</v>
      </c>
      <c r="I250" s="21" t="s">
        <v>84</v>
      </c>
      <c r="J250" s="21"/>
      <c r="K250" s="21"/>
      <c r="L250" s="21"/>
      <c r="M250" s="15" t="s">
        <v>38</v>
      </c>
      <c r="N250" s="19">
        <v>1.0</v>
      </c>
      <c r="O250" s="21" t="s">
        <v>39</v>
      </c>
      <c r="P250" s="15" t="s">
        <v>53</v>
      </c>
      <c r="Q250" s="13" t="s">
        <v>41</v>
      </c>
      <c r="R250" s="13" t="s">
        <v>43</v>
      </c>
      <c r="S250" s="13" t="s">
        <v>44</v>
      </c>
      <c r="T250" s="21" t="s">
        <v>202</v>
      </c>
    </row>
    <row r="251" ht="56.25" customHeight="1">
      <c r="A251" s="21" t="s">
        <v>1434</v>
      </c>
      <c r="B251" s="15" t="str">
        <f>image("https://i.imgur.com/5qtKYN2.png")</f>
        <v/>
      </c>
      <c r="C251" s="22" t="str">
        <f>HYPERLINK("https://imgur.com/a/dvK52au","Yes")</f>
        <v>Yes</v>
      </c>
      <c r="D251" s="36" t="s">
        <v>40</v>
      </c>
      <c r="E251" s="36" t="s">
        <v>40</v>
      </c>
      <c r="F251" s="13">
        <v>2900.0</v>
      </c>
      <c r="G251" s="13">
        <v>725.0</v>
      </c>
      <c r="H251" s="19">
        <v>338.0</v>
      </c>
      <c r="I251" s="21" t="s">
        <v>95</v>
      </c>
      <c r="J251" s="21"/>
      <c r="K251" s="21"/>
      <c r="L251" s="21"/>
      <c r="M251" s="15" t="s">
        <v>38</v>
      </c>
      <c r="N251" s="19">
        <v>1.0</v>
      </c>
      <c r="O251" s="21" t="s">
        <v>39</v>
      </c>
      <c r="P251" s="15" t="s">
        <v>40</v>
      </c>
      <c r="Q251" s="13" t="s">
        <v>41</v>
      </c>
      <c r="R251" s="13" t="s">
        <v>43</v>
      </c>
      <c r="S251" s="13" t="s">
        <v>44</v>
      </c>
      <c r="T251" s="21" t="s">
        <v>63</v>
      </c>
    </row>
    <row r="252" ht="56.25" customHeight="1">
      <c r="A252" s="21" t="s">
        <v>1436</v>
      </c>
      <c r="B252" s="15" t="str">
        <f>image("https://i.imgur.com/uNsUIXb.png")</f>
        <v/>
      </c>
      <c r="C252" s="22" t="str">
        <f>HYPERLINK("https://imgur.com/a/U20KqNw","Yes")</f>
        <v>Yes</v>
      </c>
      <c r="D252" s="36" t="s">
        <v>53</v>
      </c>
      <c r="E252" s="36" t="s">
        <v>53</v>
      </c>
      <c r="F252" s="24" t="s">
        <v>51</v>
      </c>
      <c r="G252" s="13">
        <v>1330.0</v>
      </c>
      <c r="H252" s="19">
        <v>7788.0</v>
      </c>
      <c r="I252" s="21" t="s">
        <v>95</v>
      </c>
      <c r="J252" s="21"/>
      <c r="K252" s="21"/>
      <c r="L252" s="21"/>
      <c r="M252" s="15" t="s">
        <v>38</v>
      </c>
      <c r="N252" s="19">
        <v>2.0</v>
      </c>
      <c r="O252" s="21" t="s">
        <v>39</v>
      </c>
      <c r="P252" s="15" t="s">
        <v>53</v>
      </c>
      <c r="Q252" s="13" t="s">
        <v>41</v>
      </c>
      <c r="R252" s="13" t="s">
        <v>54</v>
      </c>
      <c r="S252" s="13" t="s">
        <v>55</v>
      </c>
      <c r="T252" s="21" t="s">
        <v>1181</v>
      </c>
    </row>
    <row r="253" ht="56.25" customHeight="1">
      <c r="A253" s="21" t="s">
        <v>1439</v>
      </c>
      <c r="B253" s="15" t="str">
        <f>image("https://i.imgur.com/PJZlTjv.png")</f>
        <v/>
      </c>
      <c r="C253" s="22" t="str">
        <f>HYPERLINK("https://imgur.com/a/n2Xht6B","Yes")</f>
        <v>Yes</v>
      </c>
      <c r="D253" s="36" t="s">
        <v>53</v>
      </c>
      <c r="E253" s="36" t="s">
        <v>53</v>
      </c>
      <c r="F253" s="24" t="s">
        <v>51</v>
      </c>
      <c r="G253" s="13">
        <v>1560.0</v>
      </c>
      <c r="H253" s="19">
        <v>7390.0</v>
      </c>
      <c r="I253" s="21" t="s">
        <v>113</v>
      </c>
      <c r="J253" s="21" t="s">
        <v>36</v>
      </c>
      <c r="K253" s="21"/>
      <c r="L253" s="21"/>
      <c r="M253" s="15" t="s">
        <v>38</v>
      </c>
      <c r="N253" s="19">
        <v>3.0</v>
      </c>
      <c r="O253" s="21" t="s">
        <v>39</v>
      </c>
      <c r="P253" s="15" t="s">
        <v>53</v>
      </c>
      <c r="Q253" s="13" t="s">
        <v>41</v>
      </c>
      <c r="R253" s="13" t="s">
        <v>54</v>
      </c>
      <c r="S253" s="13" t="s">
        <v>55</v>
      </c>
      <c r="T253" s="21" t="s">
        <v>1442</v>
      </c>
    </row>
    <row r="254" ht="56.25" customHeight="1">
      <c r="A254" s="21" t="s">
        <v>1443</v>
      </c>
      <c r="B254" s="15" t="str">
        <f>image("https://i.imgur.com/5r08Hpc.png")</f>
        <v/>
      </c>
      <c r="C254" s="22" t="str">
        <f>HYPERLINK("https://imgur.com/a/6coGKKW","Yes")</f>
        <v>Yes</v>
      </c>
      <c r="D254" s="36" t="s">
        <v>40</v>
      </c>
      <c r="E254" s="36" t="s">
        <v>40</v>
      </c>
      <c r="F254" s="13">
        <v>3300.0</v>
      </c>
      <c r="G254" s="13">
        <v>825.0</v>
      </c>
      <c r="H254" s="19">
        <v>2013.0</v>
      </c>
      <c r="I254" s="21" t="s">
        <v>80</v>
      </c>
      <c r="J254" s="21"/>
      <c r="K254" s="21"/>
      <c r="L254" s="21" t="s">
        <v>992</v>
      </c>
      <c r="M254" s="15" t="s">
        <v>130</v>
      </c>
      <c r="N254" s="19">
        <v>2.0</v>
      </c>
      <c r="O254" s="21" t="s">
        <v>39</v>
      </c>
      <c r="P254" s="15" t="s">
        <v>53</v>
      </c>
      <c r="Q254" s="13" t="s">
        <v>41</v>
      </c>
      <c r="R254" s="13" t="s">
        <v>43</v>
      </c>
      <c r="S254" s="13" t="s">
        <v>44</v>
      </c>
      <c r="T254" s="21" t="s">
        <v>68</v>
      </c>
    </row>
    <row r="255" ht="56.25" customHeight="1">
      <c r="A255" s="21" t="s">
        <v>1446</v>
      </c>
      <c r="B255" s="15" t="str">
        <f>image("https://i.imgur.com/n7jhqeX.png")</f>
        <v/>
      </c>
      <c r="C255" s="22" t="str">
        <f>HYPERLINK("https://imgur.com/a/vMhtafv","Yes")</f>
        <v>Yes</v>
      </c>
      <c r="D255" s="36" t="s">
        <v>40</v>
      </c>
      <c r="E255" s="36" t="s">
        <v>40</v>
      </c>
      <c r="F255" s="13">
        <v>2500.0</v>
      </c>
      <c r="G255" s="13">
        <v>625.0</v>
      </c>
      <c r="H255" s="19">
        <v>2014.0</v>
      </c>
      <c r="I255" s="21" t="s">
        <v>80</v>
      </c>
      <c r="J255" s="21"/>
      <c r="K255" s="21"/>
      <c r="L255" s="21" t="s">
        <v>992</v>
      </c>
      <c r="M255" s="15" t="s">
        <v>130</v>
      </c>
      <c r="N255" s="19">
        <v>1.0</v>
      </c>
      <c r="O255" s="21" t="s">
        <v>39</v>
      </c>
      <c r="P255" s="15" t="s">
        <v>40</v>
      </c>
      <c r="Q255" s="13" t="s">
        <v>41</v>
      </c>
      <c r="R255" s="13" t="s">
        <v>43</v>
      </c>
      <c r="S255" s="13" t="s">
        <v>44</v>
      </c>
      <c r="T255" s="21" t="s">
        <v>68</v>
      </c>
    </row>
    <row r="256" ht="56.25" customHeight="1">
      <c r="A256" s="21" t="s">
        <v>1448</v>
      </c>
      <c r="B256" s="15" t="str">
        <f>image("https://i.imgur.com/BXpqCV9.png")</f>
        <v/>
      </c>
      <c r="C256" s="22" t="str">
        <f>HYPERLINK("https://imgur.com/a/TpjMftC","Yes")</f>
        <v>Yes</v>
      </c>
      <c r="D256" s="36" t="s">
        <v>40</v>
      </c>
      <c r="E256" s="36" t="s">
        <v>40</v>
      </c>
      <c r="F256" s="24" t="s">
        <v>51</v>
      </c>
      <c r="G256" s="13">
        <v>5000.0</v>
      </c>
      <c r="H256" s="19">
        <v>3345.0</v>
      </c>
      <c r="I256" s="21" t="s">
        <v>84</v>
      </c>
      <c r="J256" s="21"/>
      <c r="K256" s="21"/>
      <c r="L256" s="21"/>
      <c r="M256" s="15" t="s">
        <v>38</v>
      </c>
      <c r="N256" s="19">
        <v>7.0</v>
      </c>
      <c r="O256" s="21" t="s">
        <v>39</v>
      </c>
      <c r="P256" s="15" t="s">
        <v>40</v>
      </c>
      <c r="Q256" s="13" t="s">
        <v>41</v>
      </c>
      <c r="R256" s="13" t="s">
        <v>54</v>
      </c>
      <c r="S256" s="13" t="s">
        <v>516</v>
      </c>
      <c r="T256" s="21"/>
    </row>
    <row r="257" ht="56.25" customHeight="1">
      <c r="A257" s="21" t="s">
        <v>1452</v>
      </c>
      <c r="B257" s="15" t="str">
        <f>image("https://i.imgur.com/PuDGVxM.png")</f>
        <v/>
      </c>
      <c r="C257" s="22" t="str">
        <f>HYPERLINK("https://imgur.com/a/AfOdAvG","Yes")</f>
        <v>Yes</v>
      </c>
      <c r="D257" s="36" t="s">
        <v>40</v>
      </c>
      <c r="E257" s="36" t="s">
        <v>40</v>
      </c>
      <c r="F257" s="24" t="s">
        <v>51</v>
      </c>
      <c r="G257" s="13">
        <v>25000.0</v>
      </c>
      <c r="H257" s="19">
        <v>2335.0</v>
      </c>
      <c r="I257" s="21" t="s">
        <v>84</v>
      </c>
      <c r="J257" s="21" t="s">
        <v>95</v>
      </c>
      <c r="K257" s="21"/>
      <c r="L257" s="21"/>
      <c r="M257" s="15" t="s">
        <v>106</v>
      </c>
      <c r="N257" s="19">
        <v>7.0</v>
      </c>
      <c r="O257" s="21" t="s">
        <v>39</v>
      </c>
      <c r="P257" s="15" t="s">
        <v>53</v>
      </c>
      <c r="Q257" s="13" t="s">
        <v>41</v>
      </c>
      <c r="R257" s="13" t="s">
        <v>54</v>
      </c>
      <c r="S257" s="13" t="s">
        <v>516</v>
      </c>
      <c r="T257" s="21"/>
    </row>
    <row r="258" ht="56.25" customHeight="1">
      <c r="A258" s="21" t="s">
        <v>1455</v>
      </c>
      <c r="B258" s="15" t="str">
        <f>image("https://i.imgur.com/RiAkLD0.png")</f>
        <v/>
      </c>
      <c r="C258" s="22" t="str">
        <f>HYPERLINK("https://imgur.com/a/8wSWvED","Yes")</f>
        <v>Yes</v>
      </c>
      <c r="D258" s="36" t="s">
        <v>53</v>
      </c>
      <c r="E258" s="36" t="s">
        <v>53</v>
      </c>
      <c r="F258" s="24" t="s">
        <v>51</v>
      </c>
      <c r="G258" s="13">
        <v>3010.0</v>
      </c>
      <c r="H258" s="19">
        <v>7236.0</v>
      </c>
      <c r="I258" s="21" t="s">
        <v>36</v>
      </c>
      <c r="J258" s="21"/>
      <c r="K258" s="21"/>
      <c r="L258" s="21"/>
      <c r="M258" s="15" t="s">
        <v>38</v>
      </c>
      <c r="N258" s="19">
        <v>5.0</v>
      </c>
      <c r="O258" s="21" t="s">
        <v>1352</v>
      </c>
      <c r="P258" s="15" t="s">
        <v>53</v>
      </c>
      <c r="Q258" s="13" t="s">
        <v>41</v>
      </c>
      <c r="R258" s="13" t="s">
        <v>54</v>
      </c>
      <c r="S258" s="13" t="s">
        <v>55</v>
      </c>
      <c r="T258" s="21"/>
    </row>
    <row r="259" ht="56.25" customHeight="1">
      <c r="A259" s="21" t="s">
        <v>1456</v>
      </c>
      <c r="B259" s="15" t="str">
        <f>image("https://i.imgur.com/AlNRKSA.png")</f>
        <v/>
      </c>
      <c r="C259" s="22" t="str">
        <f>HYPERLINK("https://imgur.com/a/yKlUbZx","Yes")</f>
        <v>Yes</v>
      </c>
      <c r="D259" s="36" t="s">
        <v>40</v>
      </c>
      <c r="E259" s="15"/>
      <c r="F259" s="13">
        <v>7700.0</v>
      </c>
      <c r="G259" s="13">
        <v>1925.0</v>
      </c>
      <c r="H259" s="19">
        <v>3621.0</v>
      </c>
      <c r="I259" s="21" t="s">
        <v>113</v>
      </c>
      <c r="J259" s="21"/>
      <c r="K259" s="21"/>
      <c r="L259" s="21"/>
      <c r="M259" s="15" t="s">
        <v>130</v>
      </c>
      <c r="N259" s="19">
        <v>3.0</v>
      </c>
      <c r="O259" s="21" t="s">
        <v>39</v>
      </c>
      <c r="P259" s="15" t="s">
        <v>53</v>
      </c>
      <c r="Q259" s="13" t="s">
        <v>41</v>
      </c>
      <c r="R259" s="13" t="s">
        <v>43</v>
      </c>
      <c r="S259" s="13" t="s">
        <v>44</v>
      </c>
      <c r="T259" s="21" t="s">
        <v>68</v>
      </c>
    </row>
    <row r="260" ht="56.25" customHeight="1">
      <c r="A260" s="21" t="s">
        <v>1459</v>
      </c>
      <c r="B260" s="15" t="str">
        <f>image("https://i.imgur.com/Zi4mmBc.png")</f>
        <v/>
      </c>
      <c r="C260" s="22" t="str">
        <f>HYPERLINK("https://imgur.com/a/IMwPfDG","Yes")</f>
        <v>Yes</v>
      </c>
      <c r="D260" s="36" t="s">
        <v>53</v>
      </c>
      <c r="E260" s="36" t="s">
        <v>53</v>
      </c>
      <c r="F260" s="24" t="s">
        <v>51</v>
      </c>
      <c r="G260" s="13">
        <v>3600.0</v>
      </c>
      <c r="H260" s="19">
        <v>4041.0</v>
      </c>
      <c r="I260" s="21" t="s">
        <v>95</v>
      </c>
      <c r="J260" s="21" t="s">
        <v>60</v>
      </c>
      <c r="K260" s="21"/>
      <c r="L260" s="21"/>
      <c r="M260" s="15" t="s">
        <v>106</v>
      </c>
      <c r="N260" s="19">
        <v>6.0</v>
      </c>
      <c r="O260" s="21" t="s">
        <v>39</v>
      </c>
      <c r="P260" s="15" t="s">
        <v>53</v>
      </c>
      <c r="Q260" s="13" t="s">
        <v>41</v>
      </c>
      <c r="R260" s="13" t="s">
        <v>54</v>
      </c>
      <c r="S260" s="13" t="s">
        <v>55</v>
      </c>
      <c r="T260" s="21"/>
    </row>
    <row r="261" ht="56.25" customHeight="1">
      <c r="A261" s="21" t="s">
        <v>1461</v>
      </c>
      <c r="B261" s="15" t="str">
        <f>image("https://i.imgur.com/1Dlls7P.png")</f>
        <v/>
      </c>
      <c r="C261" s="22" t="str">
        <f>HYPERLINK("https://imgur.com/a/BUTGChk","Yes")</f>
        <v>Yes</v>
      </c>
      <c r="D261" s="36" t="s">
        <v>53</v>
      </c>
      <c r="E261" s="36" t="s">
        <v>53</v>
      </c>
      <c r="F261" s="24" t="s">
        <v>51</v>
      </c>
      <c r="G261" s="13">
        <v>600.0</v>
      </c>
      <c r="H261" s="19">
        <v>4042.0</v>
      </c>
      <c r="I261" s="21" t="s">
        <v>95</v>
      </c>
      <c r="J261" s="21"/>
      <c r="K261" s="21"/>
      <c r="L261" s="21"/>
      <c r="M261" s="15" t="s">
        <v>130</v>
      </c>
      <c r="N261" s="19">
        <v>1.0</v>
      </c>
      <c r="O261" s="21" t="s">
        <v>39</v>
      </c>
      <c r="P261" s="15" t="s">
        <v>53</v>
      </c>
      <c r="Q261" s="13" t="s">
        <v>41</v>
      </c>
      <c r="R261" s="13" t="s">
        <v>54</v>
      </c>
      <c r="S261" s="13" t="s">
        <v>55</v>
      </c>
      <c r="T261" s="21"/>
    </row>
    <row r="262" ht="56.25" customHeight="1">
      <c r="A262" s="21" t="s">
        <v>1464</v>
      </c>
      <c r="B262" s="15" t="str">
        <f>image("https://i.imgur.com/7RuBeaF.png")</f>
        <v/>
      </c>
      <c r="C262" s="22" t="str">
        <f>HYPERLINK("https://imgur.com/a/kub9hkB","Yes")</f>
        <v>Yes</v>
      </c>
      <c r="D262" s="36" t="s">
        <v>53</v>
      </c>
      <c r="E262" s="36" t="s">
        <v>53</v>
      </c>
      <c r="F262" s="24" t="s">
        <v>51</v>
      </c>
      <c r="G262" s="38">
        <v>1560.0</v>
      </c>
      <c r="H262" s="19">
        <v>4036.0</v>
      </c>
      <c r="I262" s="21" t="s">
        <v>95</v>
      </c>
      <c r="J262" s="21" t="s">
        <v>60</v>
      </c>
      <c r="K262" s="21"/>
      <c r="L262" s="21"/>
      <c r="M262" s="15" t="s">
        <v>130</v>
      </c>
      <c r="N262" s="19">
        <v>4.0</v>
      </c>
      <c r="O262" s="21" t="s">
        <v>39</v>
      </c>
      <c r="P262" s="15" t="s">
        <v>40</v>
      </c>
      <c r="Q262" s="13" t="s">
        <v>41</v>
      </c>
      <c r="R262" s="13" t="s">
        <v>54</v>
      </c>
      <c r="S262" s="13" t="s">
        <v>55</v>
      </c>
      <c r="T262" s="21"/>
    </row>
    <row r="263" ht="56.25" customHeight="1">
      <c r="A263" s="21" t="s">
        <v>1466</v>
      </c>
      <c r="B263" s="15" t="str">
        <f>image("https://i.imgur.com/INMcnUe.png")</f>
        <v/>
      </c>
      <c r="C263" s="22" t="str">
        <f>HYPERLINK("https://imgur.com/a/yp1hIfS","Yes")</f>
        <v>Yes</v>
      </c>
      <c r="D263" s="36" t="s">
        <v>53</v>
      </c>
      <c r="E263" s="36" t="s">
        <v>53</v>
      </c>
      <c r="F263" s="24" t="s">
        <v>51</v>
      </c>
      <c r="G263" s="13">
        <v>1800.0</v>
      </c>
      <c r="H263" s="19">
        <v>4040.0</v>
      </c>
      <c r="I263" s="21" t="s">
        <v>95</v>
      </c>
      <c r="J263" s="21" t="s">
        <v>60</v>
      </c>
      <c r="K263" s="21"/>
      <c r="L263" s="21"/>
      <c r="M263" s="15" t="s">
        <v>106</v>
      </c>
      <c r="N263" s="19">
        <v>4.0</v>
      </c>
      <c r="O263" s="21" t="s">
        <v>39</v>
      </c>
      <c r="P263" s="15" t="s">
        <v>40</v>
      </c>
      <c r="Q263" s="13" t="s">
        <v>41</v>
      </c>
      <c r="R263" s="13" t="s">
        <v>54</v>
      </c>
      <c r="S263" s="13" t="s">
        <v>55</v>
      </c>
      <c r="T263" s="21"/>
    </row>
    <row r="264" ht="56.25" customHeight="1">
      <c r="A264" s="21" t="s">
        <v>1469</v>
      </c>
      <c r="B264" s="15" t="str">
        <f>image("https://i.imgur.com/BbelTYB.png")</f>
        <v/>
      </c>
      <c r="C264" s="22" t="str">
        <f>HYPERLINK("https://imgur.com/a/eNdMNcG","Yes")</f>
        <v>Yes</v>
      </c>
      <c r="D264" s="36" t="s">
        <v>53</v>
      </c>
      <c r="E264" s="36" t="s">
        <v>53</v>
      </c>
      <c r="F264" s="24" t="s">
        <v>51</v>
      </c>
      <c r="G264" s="13">
        <v>1920.0</v>
      </c>
      <c r="H264" s="19">
        <v>4044.0</v>
      </c>
      <c r="I264" s="21" t="s">
        <v>95</v>
      </c>
      <c r="J264" s="21" t="s">
        <v>60</v>
      </c>
      <c r="K264" s="21"/>
      <c r="L264" s="21"/>
      <c r="M264" s="15" t="s">
        <v>130</v>
      </c>
      <c r="N264" s="19">
        <v>4.0</v>
      </c>
      <c r="O264" s="21" t="s">
        <v>39</v>
      </c>
      <c r="P264" s="15" t="s">
        <v>53</v>
      </c>
      <c r="Q264" s="13" t="s">
        <v>41</v>
      </c>
      <c r="R264" s="13" t="s">
        <v>54</v>
      </c>
      <c r="S264" s="13" t="s">
        <v>55</v>
      </c>
      <c r="T264" s="21"/>
    </row>
    <row r="265" ht="56.25" customHeight="1">
      <c r="A265" s="21" t="s">
        <v>1471</v>
      </c>
      <c r="B265" s="15" t="str">
        <f>image("https://i.imgur.com/Hwv9Gcr.png")</f>
        <v/>
      </c>
      <c r="C265" s="22" t="str">
        <f>HYPERLINK("https://imgur.com/a/itMZVRY","Yes")</f>
        <v>Yes</v>
      </c>
      <c r="D265" s="36" t="s">
        <v>53</v>
      </c>
      <c r="E265" s="36" t="s">
        <v>53</v>
      </c>
      <c r="F265" s="24" t="s">
        <v>51</v>
      </c>
      <c r="G265" s="13">
        <v>1440.0</v>
      </c>
      <c r="H265" s="19">
        <v>4035.0</v>
      </c>
      <c r="I265" s="21" t="s">
        <v>95</v>
      </c>
      <c r="J265" s="21"/>
      <c r="K265" s="21"/>
      <c r="L265" s="21"/>
      <c r="M265" s="15" t="s">
        <v>130</v>
      </c>
      <c r="N265" s="19">
        <v>3.0</v>
      </c>
      <c r="O265" s="21" t="s">
        <v>39</v>
      </c>
      <c r="P265" s="15" t="s">
        <v>53</v>
      </c>
      <c r="Q265" s="13" t="s">
        <v>41</v>
      </c>
      <c r="R265" s="13" t="s">
        <v>54</v>
      </c>
      <c r="S265" s="13" t="s">
        <v>55</v>
      </c>
      <c r="T265" s="21"/>
    </row>
    <row r="266" ht="56.25" customHeight="1">
      <c r="A266" s="21" t="s">
        <v>1474</v>
      </c>
      <c r="B266" s="15" t="str">
        <f>image("https://i.imgur.com/e62RvMw.png")</f>
        <v/>
      </c>
      <c r="C266" s="22" t="str">
        <f>HYPERLINK("https://imgur.com/a/2AYATc0","Yes")</f>
        <v>Yes</v>
      </c>
      <c r="D266" s="36" t="s">
        <v>53</v>
      </c>
      <c r="E266" s="36" t="s">
        <v>53</v>
      </c>
      <c r="F266" s="24" t="s">
        <v>51</v>
      </c>
      <c r="G266" s="13">
        <v>1800.0</v>
      </c>
      <c r="H266" s="19">
        <v>4043.0</v>
      </c>
      <c r="I266" s="21" t="s">
        <v>95</v>
      </c>
      <c r="J266" s="21" t="s">
        <v>60</v>
      </c>
      <c r="K266" s="21"/>
      <c r="L266" s="21"/>
      <c r="M266" s="15" t="s">
        <v>106</v>
      </c>
      <c r="N266" s="19">
        <v>4.0</v>
      </c>
      <c r="O266" s="21" t="s">
        <v>39</v>
      </c>
      <c r="P266" s="15" t="s">
        <v>40</v>
      </c>
      <c r="Q266" s="13" t="s">
        <v>41</v>
      </c>
      <c r="R266" s="13" t="s">
        <v>54</v>
      </c>
      <c r="S266" s="13" t="s">
        <v>55</v>
      </c>
      <c r="T266" s="21"/>
    </row>
    <row r="267" ht="56.25" customHeight="1">
      <c r="A267" s="21" t="s">
        <v>1476</v>
      </c>
      <c r="B267" s="15" t="str">
        <f>image("https://i.imgur.com/Ukin7S6.png")</f>
        <v/>
      </c>
      <c r="C267" s="22" t="str">
        <f>HYPERLINK("https://imgur.com/a/YiCdtjW","Yes")</f>
        <v>Yes</v>
      </c>
      <c r="D267" s="36" t="s">
        <v>53</v>
      </c>
      <c r="E267" s="36" t="s">
        <v>53</v>
      </c>
      <c r="F267" s="24" t="s">
        <v>51</v>
      </c>
      <c r="G267" s="13">
        <v>960.0</v>
      </c>
      <c r="H267" s="19">
        <v>4039.0</v>
      </c>
      <c r="I267" s="21" t="s">
        <v>95</v>
      </c>
      <c r="J267" s="21" t="s">
        <v>60</v>
      </c>
      <c r="K267" s="21"/>
      <c r="L267" s="21"/>
      <c r="M267" s="15" t="s">
        <v>38</v>
      </c>
      <c r="N267" s="19">
        <v>3.0</v>
      </c>
      <c r="O267" s="21" t="s">
        <v>39</v>
      </c>
      <c r="P267" s="15" t="s">
        <v>53</v>
      </c>
      <c r="Q267" s="13" t="s">
        <v>41</v>
      </c>
      <c r="R267" s="13" t="s">
        <v>54</v>
      </c>
      <c r="S267" s="13" t="s">
        <v>55</v>
      </c>
      <c r="T267" s="21"/>
    </row>
    <row r="268" ht="56.25" customHeight="1">
      <c r="A268" s="21" t="s">
        <v>1479</v>
      </c>
      <c r="B268" s="15" t="str">
        <f>image("https://i.imgur.com/sEyQD6g.png")</f>
        <v/>
      </c>
      <c r="C268" s="22" t="str">
        <f>HYPERLINK("https://imgur.com/a/YR6epvs","Yes")</f>
        <v>Yes</v>
      </c>
      <c r="D268" s="36" t="s">
        <v>53</v>
      </c>
      <c r="E268" s="36" t="s">
        <v>53</v>
      </c>
      <c r="F268" s="24" t="s">
        <v>51</v>
      </c>
      <c r="G268" s="13">
        <v>360.0</v>
      </c>
      <c r="H268" s="19">
        <v>5973.0</v>
      </c>
      <c r="I268" s="21" t="s">
        <v>95</v>
      </c>
      <c r="J268" s="21"/>
      <c r="K268" s="21"/>
      <c r="L268" s="21"/>
      <c r="M268" s="15" t="s">
        <v>38</v>
      </c>
      <c r="N268" s="19">
        <v>1.0</v>
      </c>
      <c r="O268" s="21" t="s">
        <v>39</v>
      </c>
      <c r="P268" s="15" t="s">
        <v>40</v>
      </c>
      <c r="Q268" s="13" t="s">
        <v>41</v>
      </c>
      <c r="R268" s="13" t="s">
        <v>54</v>
      </c>
      <c r="S268" s="13" t="s">
        <v>55</v>
      </c>
      <c r="T268" s="21"/>
    </row>
    <row r="269" ht="56.25" customHeight="1">
      <c r="A269" s="21" t="s">
        <v>1481</v>
      </c>
      <c r="B269" s="15" t="str">
        <f>image("https://i.imgur.com/gIvXwLO.png")</f>
        <v/>
      </c>
      <c r="C269" s="22" t="str">
        <f>HYPERLINK("https://imgur.com/a/A0LNYyo","Yes")</f>
        <v>Yes</v>
      </c>
      <c r="D269" s="36" t="s">
        <v>53</v>
      </c>
      <c r="E269" s="36" t="s">
        <v>53</v>
      </c>
      <c r="F269" s="24" t="s">
        <v>51</v>
      </c>
      <c r="G269" s="13">
        <v>480.0</v>
      </c>
      <c r="H269" s="19">
        <v>4038.0</v>
      </c>
      <c r="I269" s="21" t="s">
        <v>95</v>
      </c>
      <c r="J269" s="21"/>
      <c r="K269" s="21"/>
      <c r="L269" s="21"/>
      <c r="M269" s="15" t="s">
        <v>38</v>
      </c>
      <c r="N269" s="19">
        <v>1.0</v>
      </c>
      <c r="O269" s="21" t="s">
        <v>39</v>
      </c>
      <c r="P269" s="15" t="s">
        <v>53</v>
      </c>
      <c r="Q269" s="13" t="s">
        <v>41</v>
      </c>
      <c r="R269" s="13" t="s">
        <v>54</v>
      </c>
      <c r="S269" s="13" t="s">
        <v>55</v>
      </c>
      <c r="T269" s="21"/>
    </row>
    <row r="270" ht="56.25" customHeight="1">
      <c r="A270" s="21" t="s">
        <v>1483</v>
      </c>
      <c r="B270" s="15" t="str">
        <f>image("https://i.imgur.com/bWMeDV6.png")</f>
        <v/>
      </c>
      <c r="C270" s="22" t="str">
        <f>HYPERLINK("https://imgur.com/a/VRKZoU8","Yes")</f>
        <v>Yes</v>
      </c>
      <c r="D270" s="36" t="s">
        <v>40</v>
      </c>
      <c r="E270" s="36" t="s">
        <v>40</v>
      </c>
      <c r="F270" s="13">
        <v>7800.0</v>
      </c>
      <c r="G270" s="13">
        <v>1950.0</v>
      </c>
      <c r="H270" s="19">
        <v>4080.0</v>
      </c>
      <c r="I270" s="21" t="s">
        <v>183</v>
      </c>
      <c r="J270" s="21"/>
      <c r="K270" s="21"/>
      <c r="L270" s="21"/>
      <c r="M270" s="15" t="s">
        <v>130</v>
      </c>
      <c r="N270" s="19">
        <v>3.0</v>
      </c>
      <c r="O270" s="21" t="s">
        <v>39</v>
      </c>
      <c r="P270" s="15" t="s">
        <v>53</v>
      </c>
      <c r="Q270" s="13" t="s">
        <v>41</v>
      </c>
      <c r="R270" s="13" t="s">
        <v>43</v>
      </c>
      <c r="S270" s="13" t="s">
        <v>44</v>
      </c>
      <c r="T270" s="21" t="s">
        <v>68</v>
      </c>
    </row>
    <row r="271" ht="56.25" customHeight="1">
      <c r="A271" s="21" t="s">
        <v>1485</v>
      </c>
      <c r="B271" s="15" t="str">
        <f>image("https://i.imgur.com/ZYIZMV7.png")</f>
        <v/>
      </c>
      <c r="C271" s="22" t="str">
        <f>HYPERLINK("https://imgur.com/a/8MR0BOQ","Yes")</f>
        <v>Yes</v>
      </c>
      <c r="D271" s="36" t="s">
        <v>40</v>
      </c>
      <c r="E271" s="36" t="s">
        <v>40</v>
      </c>
      <c r="F271" s="13">
        <v>13000.0</v>
      </c>
      <c r="G271" s="13">
        <v>3250.0</v>
      </c>
      <c r="H271" s="19">
        <v>7681.0</v>
      </c>
      <c r="I271" s="21" t="s">
        <v>161</v>
      </c>
      <c r="J271" s="21"/>
      <c r="K271" s="21"/>
      <c r="L271" s="21"/>
      <c r="M271" s="15" t="s">
        <v>106</v>
      </c>
      <c r="N271" s="19">
        <v>5.0</v>
      </c>
      <c r="O271" s="21" t="s">
        <v>39</v>
      </c>
      <c r="P271" s="15" t="s">
        <v>53</v>
      </c>
      <c r="Q271" s="13" t="s">
        <v>41</v>
      </c>
      <c r="R271" s="13" t="s">
        <v>43</v>
      </c>
      <c r="S271" s="13" t="s">
        <v>44</v>
      </c>
      <c r="T271" s="21" t="s">
        <v>65</v>
      </c>
    </row>
    <row r="272" ht="56.25" customHeight="1">
      <c r="A272" s="21" t="s">
        <v>1489</v>
      </c>
      <c r="B272" s="15" t="str">
        <f>image("https://i.imgur.com/cShCouB.png")</f>
        <v/>
      </c>
      <c r="C272" s="22" t="str">
        <f>HYPERLINK("https://imgur.com/a/0CyRkDh","Yes")</f>
        <v>Yes</v>
      </c>
      <c r="D272" s="36" t="s">
        <v>40</v>
      </c>
      <c r="E272" s="36" t="s">
        <v>40</v>
      </c>
      <c r="F272" s="13">
        <v>870.0</v>
      </c>
      <c r="G272" s="24">
        <v>217.0</v>
      </c>
      <c r="H272" s="19">
        <v>1029.0</v>
      </c>
      <c r="I272" s="21" t="s">
        <v>161</v>
      </c>
      <c r="J272" s="21"/>
      <c r="K272" s="21"/>
      <c r="L272" s="21" t="s">
        <v>1491</v>
      </c>
      <c r="M272" s="15" t="s">
        <v>349</v>
      </c>
      <c r="N272" s="19">
        <v>1.0</v>
      </c>
      <c r="O272" s="21" t="s">
        <v>39</v>
      </c>
      <c r="P272" s="15" t="s">
        <v>40</v>
      </c>
      <c r="Q272" s="13" t="s">
        <v>41</v>
      </c>
      <c r="R272" s="13" t="s">
        <v>43</v>
      </c>
      <c r="S272" s="13" t="s">
        <v>44</v>
      </c>
      <c r="T272" s="21" t="s">
        <v>63</v>
      </c>
    </row>
    <row r="273" ht="56.25" customHeight="1">
      <c r="A273" s="21" t="s">
        <v>1492</v>
      </c>
      <c r="B273" s="15" t="str">
        <f>image("https://i.imgur.com/Yb8ML4b.png")</f>
        <v/>
      </c>
      <c r="C273" s="22" t="str">
        <f>HYPERLINK("https://imgur.com/a/4DybgWZ","No")</f>
        <v>No</v>
      </c>
      <c r="D273" s="36" t="s">
        <v>53</v>
      </c>
      <c r="E273" s="36" t="s">
        <v>40</v>
      </c>
      <c r="F273" s="24" t="s">
        <v>51</v>
      </c>
      <c r="G273" s="13">
        <v>16250.0</v>
      </c>
      <c r="H273" s="19">
        <v>1440.0</v>
      </c>
      <c r="I273" s="21" t="s">
        <v>269</v>
      </c>
      <c r="J273" s="21"/>
      <c r="K273" s="21"/>
      <c r="L273" s="21"/>
      <c r="M273" s="15" t="s">
        <v>106</v>
      </c>
      <c r="N273" s="19"/>
      <c r="O273" s="21" t="s">
        <v>39</v>
      </c>
      <c r="P273" s="15" t="s">
        <v>40</v>
      </c>
      <c r="Q273" s="13" t="s">
        <v>41</v>
      </c>
      <c r="R273" s="13" t="s">
        <v>54</v>
      </c>
      <c r="S273" s="13" t="s">
        <v>55</v>
      </c>
      <c r="T273" s="21"/>
    </row>
    <row r="274" ht="56.25" customHeight="1">
      <c r="A274" s="21" t="s">
        <v>1495</v>
      </c>
      <c r="B274" s="15" t="str">
        <f>image("https://i.imgur.com/7sT2QPj.png")</f>
        <v/>
      </c>
      <c r="C274" s="22" t="str">
        <f>HYPERLINK("https://imgur.com/a/AZVw1kT","No")</f>
        <v>No</v>
      </c>
      <c r="D274" s="36" t="s">
        <v>53</v>
      </c>
      <c r="E274" s="36" t="s">
        <v>40</v>
      </c>
      <c r="F274" s="24" t="s">
        <v>51</v>
      </c>
      <c r="G274" s="13">
        <v>12580.0</v>
      </c>
      <c r="H274" s="19">
        <v>1442.0</v>
      </c>
      <c r="I274" s="21" t="s">
        <v>269</v>
      </c>
      <c r="J274" s="21"/>
      <c r="K274" s="21"/>
      <c r="L274" s="21"/>
      <c r="M274" s="15" t="s">
        <v>106</v>
      </c>
      <c r="N274" s="19"/>
      <c r="O274" s="21" t="s">
        <v>39</v>
      </c>
      <c r="P274" s="15" t="s">
        <v>40</v>
      </c>
      <c r="Q274" s="13" t="s">
        <v>41</v>
      </c>
      <c r="R274" s="13" t="s">
        <v>54</v>
      </c>
      <c r="S274" s="13" t="s">
        <v>55</v>
      </c>
      <c r="T274" s="21"/>
    </row>
    <row r="275" ht="56.25" customHeight="1">
      <c r="A275" s="21" t="s">
        <v>1497</v>
      </c>
      <c r="B275" s="15" t="str">
        <f>image("https://i.imgur.com/e2Hi7aJ.png")</f>
        <v/>
      </c>
      <c r="C275" s="22" t="str">
        <f>HYPERLINK("https://imgur.com/a/D1VzCYW","Yes")</f>
        <v>Yes</v>
      </c>
      <c r="D275" s="36" t="s">
        <v>40</v>
      </c>
      <c r="E275" s="15"/>
      <c r="F275" s="13">
        <v>2300.0</v>
      </c>
      <c r="G275" s="13">
        <v>575.0</v>
      </c>
      <c r="H275" s="19">
        <v>1500.0</v>
      </c>
      <c r="I275" s="21" t="s">
        <v>36</v>
      </c>
      <c r="J275" s="21" t="s">
        <v>113</v>
      </c>
      <c r="K275" s="21"/>
      <c r="L275" s="21"/>
      <c r="M275" s="15" t="s">
        <v>38</v>
      </c>
      <c r="N275" s="19">
        <v>1.0</v>
      </c>
      <c r="O275" s="21" t="s">
        <v>39</v>
      </c>
      <c r="P275" s="15" t="s">
        <v>40</v>
      </c>
      <c r="Q275" s="13" t="s">
        <v>41</v>
      </c>
      <c r="R275" s="13" t="s">
        <v>43</v>
      </c>
      <c r="S275" s="13" t="s">
        <v>44</v>
      </c>
      <c r="T275" s="21" t="s">
        <v>63</v>
      </c>
    </row>
    <row r="276" ht="56.25" customHeight="1">
      <c r="A276" s="21" t="s">
        <v>1499</v>
      </c>
      <c r="B276" s="15" t="str">
        <f>image("https://i.imgur.com/W7TJpXD.png")</f>
        <v/>
      </c>
      <c r="C276" s="22" t="str">
        <f>HYPERLINK("https://imgur.com/a/URz788K","No")</f>
        <v>No</v>
      </c>
      <c r="D276" s="36" t="s">
        <v>40</v>
      </c>
      <c r="E276" s="36" t="s">
        <v>40</v>
      </c>
      <c r="F276" s="13">
        <v>3500.0</v>
      </c>
      <c r="G276" s="13">
        <v>875.0</v>
      </c>
      <c r="H276" s="19">
        <v>9699.0</v>
      </c>
      <c r="I276" s="21" t="s">
        <v>36</v>
      </c>
      <c r="J276" s="21" t="s">
        <v>113</v>
      </c>
      <c r="K276" s="21"/>
      <c r="L276" s="21"/>
      <c r="M276" s="15" t="s">
        <v>38</v>
      </c>
      <c r="N276" s="19"/>
      <c r="O276" s="21" t="s">
        <v>39</v>
      </c>
      <c r="P276" s="15" t="s">
        <v>40</v>
      </c>
      <c r="Q276" s="13" t="s">
        <v>41</v>
      </c>
      <c r="R276" s="13" t="s">
        <v>43</v>
      </c>
      <c r="S276" s="13" t="s">
        <v>44</v>
      </c>
      <c r="T276" s="21" t="s">
        <v>63</v>
      </c>
    </row>
    <row r="277" ht="56.25" customHeight="1">
      <c r="A277" s="21" t="s">
        <v>1502</v>
      </c>
      <c r="B277" s="15" t="str">
        <f>image("https://i.imgur.com/ePLsGp1.png")</f>
        <v/>
      </c>
      <c r="C277" s="22" t="str">
        <f>HYPERLINK("https://imgur.com/a/b1iupZn","Yes")</f>
        <v>Yes</v>
      </c>
      <c r="D277" s="36" t="s">
        <v>53</v>
      </c>
      <c r="E277" s="36" t="s">
        <v>53</v>
      </c>
      <c r="F277" s="24" t="s">
        <v>51</v>
      </c>
      <c r="G277" s="13">
        <v>2250.0</v>
      </c>
      <c r="H277" s="19">
        <v>144.0</v>
      </c>
      <c r="I277" s="21" t="s">
        <v>95</v>
      </c>
      <c r="J277" s="21"/>
      <c r="K277" s="21"/>
      <c r="L277" s="21"/>
      <c r="M277" s="15" t="s">
        <v>38</v>
      </c>
      <c r="N277" s="19">
        <v>3.0</v>
      </c>
      <c r="O277" s="21" t="s">
        <v>39</v>
      </c>
      <c r="P277" s="15" t="s">
        <v>53</v>
      </c>
      <c r="Q277" s="13" t="s">
        <v>41</v>
      </c>
      <c r="R277" s="13" t="s">
        <v>54</v>
      </c>
      <c r="S277" s="13" t="s">
        <v>516</v>
      </c>
      <c r="T277" s="21"/>
    </row>
    <row r="278" ht="56.25" customHeight="1">
      <c r="A278" s="21" t="s">
        <v>1504</v>
      </c>
      <c r="B278" s="15" t="str">
        <f>image("https://i.imgur.com/6h61hfC.png")</f>
        <v/>
      </c>
      <c r="C278" s="22" t="str">
        <f>HYPERLINK("https://imgur.com/a/jQsZqVH","No")</f>
        <v>No</v>
      </c>
      <c r="D278" s="36" t="s">
        <v>53</v>
      </c>
      <c r="E278" s="36" t="s">
        <v>40</v>
      </c>
      <c r="F278" s="24" t="s">
        <v>51</v>
      </c>
      <c r="G278" s="13">
        <v>2700.0</v>
      </c>
      <c r="H278" s="19">
        <v>7408.0</v>
      </c>
      <c r="I278" s="21" t="s">
        <v>161</v>
      </c>
      <c r="J278" s="21" t="s">
        <v>95</v>
      </c>
      <c r="K278" s="21"/>
      <c r="L278" s="21"/>
      <c r="M278" s="15" t="s">
        <v>130</v>
      </c>
      <c r="N278" s="19"/>
      <c r="O278" s="21" t="s">
        <v>39</v>
      </c>
      <c r="P278" s="15" t="s">
        <v>40</v>
      </c>
      <c r="Q278" s="13" t="s">
        <v>41</v>
      </c>
      <c r="R278" s="13" t="s">
        <v>54</v>
      </c>
      <c r="S278" s="13" t="s">
        <v>55</v>
      </c>
      <c r="T278" s="21" t="s">
        <v>1442</v>
      </c>
    </row>
    <row r="279" ht="56.25" customHeight="1">
      <c r="A279" s="21" t="s">
        <v>1506</v>
      </c>
      <c r="B279" s="15" t="str">
        <f>image("https://i.imgur.com/0bgAEVi.png")</f>
        <v/>
      </c>
      <c r="C279" s="22" t="str">
        <f>HYPERLINK("https://imgur.com/a/lyZT5IQ","No")</f>
        <v>No</v>
      </c>
      <c r="D279" s="36" t="s">
        <v>40</v>
      </c>
      <c r="E279" s="36" t="s">
        <v>40</v>
      </c>
      <c r="F279" s="13">
        <v>4300.0</v>
      </c>
      <c r="G279" s="13">
        <v>1075.0</v>
      </c>
      <c r="H279" s="19">
        <v>4121.0</v>
      </c>
      <c r="I279" s="21" t="s">
        <v>52</v>
      </c>
      <c r="J279" s="21" t="s">
        <v>80</v>
      </c>
      <c r="K279" s="21"/>
      <c r="L279" s="21"/>
      <c r="M279" s="15" t="s">
        <v>130</v>
      </c>
      <c r="N279" s="19"/>
      <c r="O279" s="21" t="s">
        <v>39</v>
      </c>
      <c r="P279" s="15" t="s">
        <v>53</v>
      </c>
      <c r="Q279" s="13" t="s">
        <v>41</v>
      </c>
      <c r="R279" s="13" t="s">
        <v>43</v>
      </c>
      <c r="S279" s="13" t="s">
        <v>44</v>
      </c>
      <c r="T279" s="21" t="s">
        <v>68</v>
      </c>
    </row>
    <row r="280" ht="56.25" customHeight="1">
      <c r="A280" s="21" t="s">
        <v>1508</v>
      </c>
      <c r="B280" s="15" t="str">
        <f>image("https://i.imgur.com/TCOUZtq.png")</f>
        <v/>
      </c>
      <c r="C280" s="15" t="s">
        <v>40</v>
      </c>
      <c r="D280" s="36" t="s">
        <v>40</v>
      </c>
      <c r="E280" s="36" t="s">
        <v>40</v>
      </c>
      <c r="F280" s="13">
        <v>3200.0</v>
      </c>
      <c r="G280" s="13">
        <v>800.0</v>
      </c>
      <c r="H280" s="19"/>
      <c r="I280" s="21"/>
      <c r="J280" s="21"/>
      <c r="K280" s="21"/>
      <c r="L280" s="21"/>
      <c r="M280" s="15"/>
      <c r="N280" s="19"/>
      <c r="O280" s="21"/>
      <c r="P280" s="15"/>
      <c r="Q280" s="13"/>
      <c r="R280" s="13" t="s">
        <v>496</v>
      </c>
      <c r="S280" s="13" t="s">
        <v>497</v>
      </c>
      <c r="T280" s="21"/>
    </row>
    <row r="281" ht="56.25" customHeight="1">
      <c r="A281" s="21" t="s">
        <v>1510</v>
      </c>
      <c r="B281" s="15" t="str">
        <f>image("https://i.imgur.com/6sggj01.png")</f>
        <v/>
      </c>
      <c r="C281" s="22" t="str">
        <f>HYPERLINK("https://imgur.com/a/anxAsxH","No")</f>
        <v>No</v>
      </c>
      <c r="D281" s="36" t="s">
        <v>53</v>
      </c>
      <c r="E281" s="36" t="s">
        <v>40</v>
      </c>
      <c r="F281" s="24" t="s">
        <v>51</v>
      </c>
      <c r="G281" s="13">
        <v>240.0</v>
      </c>
      <c r="H281" s="19">
        <v>3411.0</v>
      </c>
      <c r="I281" s="21" t="s">
        <v>243</v>
      </c>
      <c r="J281" s="21"/>
      <c r="K281" s="21"/>
      <c r="L281" s="21"/>
      <c r="M281" s="15" t="s">
        <v>130</v>
      </c>
      <c r="N281" s="19"/>
      <c r="O281" s="21" t="s">
        <v>39</v>
      </c>
      <c r="P281" s="15" t="s">
        <v>40</v>
      </c>
      <c r="Q281" s="13" t="s">
        <v>41</v>
      </c>
      <c r="R281" s="13" t="s">
        <v>54</v>
      </c>
      <c r="S281" s="13" t="s">
        <v>55</v>
      </c>
      <c r="T281" s="21"/>
    </row>
    <row r="282" ht="56.25" customHeight="1">
      <c r="A282" s="21" t="s">
        <v>1512</v>
      </c>
      <c r="B282" s="15" t="str">
        <f>image("https://i.imgur.com/Bych7g5.png")</f>
        <v/>
      </c>
      <c r="C282" s="22" t="str">
        <f>HYPERLINK("https://imgur.com/a/Ghyo5RA","Yes")</f>
        <v>Yes</v>
      </c>
      <c r="D282" s="36" t="s">
        <v>40</v>
      </c>
      <c r="E282" s="36" t="s">
        <v>40</v>
      </c>
      <c r="F282" s="13">
        <v>1800.0</v>
      </c>
      <c r="G282" s="13">
        <v>450.0</v>
      </c>
      <c r="H282" s="19">
        <v>1866.0</v>
      </c>
      <c r="I282" s="21" t="s">
        <v>37</v>
      </c>
      <c r="J282" s="21"/>
      <c r="K282" s="21"/>
      <c r="L282" s="21"/>
      <c r="M282" s="15" t="s">
        <v>38</v>
      </c>
      <c r="N282" s="19">
        <v>1.0</v>
      </c>
      <c r="O282" s="21" t="s">
        <v>39</v>
      </c>
      <c r="P282" s="15" t="s">
        <v>40</v>
      </c>
      <c r="Q282" s="13" t="s">
        <v>41</v>
      </c>
      <c r="R282" s="13" t="s">
        <v>43</v>
      </c>
      <c r="S282" s="13" t="s">
        <v>44</v>
      </c>
      <c r="T282" s="21" t="s">
        <v>63</v>
      </c>
    </row>
    <row r="283" ht="56.25" customHeight="1">
      <c r="A283" s="21" t="s">
        <v>1514</v>
      </c>
      <c r="B283" s="15" t="str">
        <f>image("https://i.imgur.com/U75649d.png")</f>
        <v/>
      </c>
      <c r="C283" s="22" t="str">
        <f>HYPERLINK("https://imgur.com/a/dgCSNLp","No")</f>
        <v>No</v>
      </c>
      <c r="D283" s="36" t="s">
        <v>40</v>
      </c>
      <c r="E283" s="36" t="s">
        <v>40</v>
      </c>
      <c r="F283" s="13">
        <v>1000.0</v>
      </c>
      <c r="G283" s="13">
        <v>250.0</v>
      </c>
      <c r="H283" s="19">
        <v>9503.0</v>
      </c>
      <c r="I283" s="21" t="s">
        <v>52</v>
      </c>
      <c r="J283" s="21" t="s">
        <v>212</v>
      </c>
      <c r="K283" s="21"/>
      <c r="L283" s="21"/>
      <c r="M283" s="15" t="s">
        <v>38</v>
      </c>
      <c r="N283" s="19"/>
      <c r="O283" s="21" t="s">
        <v>39</v>
      </c>
      <c r="P283" s="15" t="s">
        <v>40</v>
      </c>
      <c r="Q283" s="13" t="s">
        <v>41</v>
      </c>
      <c r="R283" s="13" t="s">
        <v>43</v>
      </c>
      <c r="S283" s="13" t="s">
        <v>44</v>
      </c>
      <c r="T283" s="21" t="s">
        <v>68</v>
      </c>
    </row>
    <row r="284" ht="56.25" customHeight="1">
      <c r="A284" s="21" t="s">
        <v>1516</v>
      </c>
      <c r="B284" s="15" t="str">
        <f>image("https://i.imgur.com/uB4qX16.png")</f>
        <v/>
      </c>
      <c r="C284" s="22" t="str">
        <f>HYPERLINK("https://imgur.com/a/hBDlHIr","Yes")</f>
        <v>Yes</v>
      </c>
      <c r="D284" s="36" t="s">
        <v>53</v>
      </c>
      <c r="E284" s="36" t="s">
        <v>53</v>
      </c>
      <c r="F284" s="24" t="s">
        <v>51</v>
      </c>
      <c r="G284" s="13">
        <v>2580.0</v>
      </c>
      <c r="H284" s="19">
        <v>3122.0</v>
      </c>
      <c r="I284" s="21" t="s">
        <v>243</v>
      </c>
      <c r="J284" s="21"/>
      <c r="K284" s="21"/>
      <c r="L284" s="21"/>
      <c r="M284" s="15" t="s">
        <v>38</v>
      </c>
      <c r="N284" s="19">
        <v>4.0</v>
      </c>
      <c r="O284" s="21" t="s">
        <v>39</v>
      </c>
      <c r="P284" s="15" t="s">
        <v>53</v>
      </c>
      <c r="Q284" s="13" t="s">
        <v>41</v>
      </c>
      <c r="R284" s="13" t="s">
        <v>54</v>
      </c>
      <c r="S284" s="13" t="s">
        <v>55</v>
      </c>
      <c r="T284" s="21"/>
    </row>
    <row r="285" ht="56.25" customHeight="1">
      <c r="A285" s="21" t="s">
        <v>1518</v>
      </c>
      <c r="B285" s="15" t="str">
        <f>image("https://i.imgur.com/wICHIaL.png")</f>
        <v/>
      </c>
      <c r="C285" s="22" t="str">
        <f>HYPERLINK("https://imgur.com/a/Y7GUght","Yes")</f>
        <v>Yes</v>
      </c>
      <c r="D285" s="36" t="s">
        <v>40</v>
      </c>
      <c r="E285" s="36" t="s">
        <v>40</v>
      </c>
      <c r="F285" s="13">
        <v>1300.0</v>
      </c>
      <c r="G285" s="13">
        <v>325.0</v>
      </c>
      <c r="H285" s="19">
        <v>9766.0</v>
      </c>
      <c r="I285" s="21" t="s">
        <v>90</v>
      </c>
      <c r="J285" s="21"/>
      <c r="K285" s="21"/>
      <c r="L285" s="21"/>
      <c r="M285" s="15" t="s">
        <v>38</v>
      </c>
      <c r="N285" s="19">
        <v>1.0</v>
      </c>
      <c r="O285" s="21" t="s">
        <v>39</v>
      </c>
      <c r="P285" s="15" t="s">
        <v>53</v>
      </c>
      <c r="Q285" s="13" t="s">
        <v>41</v>
      </c>
      <c r="R285" s="13" t="s">
        <v>43</v>
      </c>
      <c r="S285" s="13" t="s">
        <v>44</v>
      </c>
      <c r="T285" s="21" t="s">
        <v>68</v>
      </c>
    </row>
    <row r="286" ht="56.25" customHeight="1">
      <c r="A286" s="21" t="s">
        <v>1520</v>
      </c>
      <c r="B286" s="15" t="str">
        <f>image("https://i.imgur.com/BAW6TCn.png")</f>
        <v/>
      </c>
      <c r="C286" s="22" t="str">
        <f>HYPERLINK("https://imgur.com/a/jCrYtBL","No")</f>
        <v>No</v>
      </c>
      <c r="D286" s="36" t="s">
        <v>40</v>
      </c>
      <c r="E286" s="36" t="s">
        <v>40</v>
      </c>
      <c r="F286" s="24" t="s">
        <v>51</v>
      </c>
      <c r="G286" s="13">
        <v>1900.0</v>
      </c>
      <c r="H286" s="19">
        <v>698.0</v>
      </c>
      <c r="I286" s="21" t="s">
        <v>284</v>
      </c>
      <c r="J286" s="21"/>
      <c r="K286" s="21"/>
      <c r="L286" s="21"/>
      <c r="M286" s="15" t="s">
        <v>106</v>
      </c>
      <c r="N286" s="19"/>
      <c r="O286" s="21" t="s">
        <v>39</v>
      </c>
      <c r="P286" s="15" t="s">
        <v>40</v>
      </c>
      <c r="Q286" s="13" t="s">
        <v>41</v>
      </c>
      <c r="R286" s="13" t="s">
        <v>54</v>
      </c>
      <c r="S286" s="13" t="s">
        <v>574</v>
      </c>
      <c r="T286" s="21"/>
    </row>
    <row r="287" ht="56.25" customHeight="1">
      <c r="A287" s="21" t="s">
        <v>1522</v>
      </c>
      <c r="B287" s="15" t="str">
        <f>image("https://i.imgur.com/RvWLFea.png")</f>
        <v/>
      </c>
      <c r="C287" s="22" t="str">
        <f>HYPERLINK("https://imgur.com/a/BgjG8Bm","Yes")</f>
        <v>Yes</v>
      </c>
      <c r="D287" s="36" t="s">
        <v>40</v>
      </c>
      <c r="E287" s="36" t="s">
        <v>40</v>
      </c>
      <c r="F287" s="13">
        <v>2200.0</v>
      </c>
      <c r="G287" s="13">
        <v>550.0</v>
      </c>
      <c r="H287" s="19">
        <v>832.0</v>
      </c>
      <c r="I287" s="21" t="s">
        <v>61</v>
      </c>
      <c r="J287" s="21"/>
      <c r="K287" s="21"/>
      <c r="L287" s="21"/>
      <c r="M287" s="15" t="s">
        <v>38</v>
      </c>
      <c r="N287" s="19">
        <v>1.0</v>
      </c>
      <c r="O287" s="21" t="s">
        <v>39</v>
      </c>
      <c r="P287" s="15" t="s">
        <v>53</v>
      </c>
      <c r="Q287" s="13" t="s">
        <v>41</v>
      </c>
      <c r="R287" s="13" t="s">
        <v>43</v>
      </c>
      <c r="S287" s="13" t="s">
        <v>44</v>
      </c>
      <c r="T287" s="21" t="s">
        <v>68</v>
      </c>
    </row>
    <row r="288" ht="56.25" customHeight="1">
      <c r="A288" s="21" t="s">
        <v>1523</v>
      </c>
      <c r="B288" s="15" t="str">
        <f>image("https://i.imgur.com/UFEHvsq.png")</f>
        <v/>
      </c>
      <c r="C288" s="22" t="str">
        <f>HYPERLINK("https://imgur.com/a/2FU8S7d","Yes")</f>
        <v>Yes</v>
      </c>
      <c r="D288" s="36" t="s">
        <v>40</v>
      </c>
      <c r="E288" s="36" t="s">
        <v>40</v>
      </c>
      <c r="F288" s="24" t="s">
        <v>51</v>
      </c>
      <c r="G288" s="13">
        <v>25000.0</v>
      </c>
      <c r="H288" s="19">
        <v>4722.0</v>
      </c>
      <c r="I288" s="21" t="s">
        <v>113</v>
      </c>
      <c r="J288" s="21" t="s">
        <v>346</v>
      </c>
      <c r="K288" s="21"/>
      <c r="L288" s="21"/>
      <c r="M288" s="15" t="s">
        <v>1133</v>
      </c>
      <c r="N288" s="19">
        <v>7.0</v>
      </c>
      <c r="O288" s="21" t="s">
        <v>39</v>
      </c>
      <c r="P288" s="15" t="s">
        <v>53</v>
      </c>
      <c r="Q288" s="13" t="s">
        <v>41</v>
      </c>
      <c r="R288" s="13" t="s">
        <v>54</v>
      </c>
      <c r="S288" s="13" t="s">
        <v>516</v>
      </c>
      <c r="T288" s="21"/>
    </row>
    <row r="289" ht="56.25" customHeight="1">
      <c r="A289" s="21" t="s">
        <v>1525</v>
      </c>
      <c r="B289" s="15" t="str">
        <f>image("https://i.imgur.com/KR223O6.png")</f>
        <v/>
      </c>
      <c r="C289" s="22" t="str">
        <f>HYPERLINK("https://imgur.com/a/L8RCnFa","Yes")</f>
        <v>Yes</v>
      </c>
      <c r="D289" s="36" t="s">
        <v>40</v>
      </c>
      <c r="E289" s="36" t="s">
        <v>40</v>
      </c>
      <c r="F289" s="13">
        <v>1700.0</v>
      </c>
      <c r="G289" s="13">
        <v>425.0</v>
      </c>
      <c r="H289" s="19">
        <v>4129.0</v>
      </c>
      <c r="I289" s="21" t="s">
        <v>60</v>
      </c>
      <c r="J289" s="21"/>
      <c r="K289" s="21"/>
      <c r="L289" s="21"/>
      <c r="M289" s="15" t="s">
        <v>38</v>
      </c>
      <c r="N289" s="19">
        <v>1.0</v>
      </c>
      <c r="O289" s="21" t="s">
        <v>39</v>
      </c>
      <c r="P289" s="15" t="s">
        <v>40</v>
      </c>
      <c r="Q289" s="13" t="s">
        <v>41</v>
      </c>
      <c r="R289" s="13" t="s">
        <v>43</v>
      </c>
      <c r="S289" s="13" t="s">
        <v>44</v>
      </c>
      <c r="T289" s="21" t="s">
        <v>63</v>
      </c>
    </row>
    <row r="290" ht="56.25" customHeight="1">
      <c r="A290" s="21" t="s">
        <v>1526</v>
      </c>
      <c r="B290" s="15" t="str">
        <f>image("https://i.imgur.com/yHZXp2v.png")</f>
        <v/>
      </c>
      <c r="C290" s="22" t="str">
        <f>HYPERLINK("https://imgur.com/a/3kmt8nM","No")</f>
        <v>No</v>
      </c>
      <c r="D290" s="36" t="s">
        <v>53</v>
      </c>
      <c r="E290" s="36" t="s">
        <v>40</v>
      </c>
      <c r="F290" s="24" t="s">
        <v>51</v>
      </c>
      <c r="G290" s="13">
        <v>12500.0</v>
      </c>
      <c r="H290" s="19">
        <v>1054.0</v>
      </c>
      <c r="I290" s="21" t="s">
        <v>269</v>
      </c>
      <c r="J290" s="21"/>
      <c r="K290" s="21"/>
      <c r="L290" s="21"/>
      <c r="M290" s="15" t="s">
        <v>106</v>
      </c>
      <c r="N290" s="19"/>
      <c r="O290" s="21" t="s">
        <v>39</v>
      </c>
      <c r="P290" s="15" t="s">
        <v>53</v>
      </c>
      <c r="Q290" s="13" t="s">
        <v>41</v>
      </c>
      <c r="R290" s="13" t="s">
        <v>54</v>
      </c>
      <c r="S290" s="13" t="s">
        <v>55</v>
      </c>
      <c r="T290" s="21"/>
    </row>
    <row r="291" ht="56.25" customHeight="1">
      <c r="A291" s="21" t="s">
        <v>1528</v>
      </c>
      <c r="B291" s="15" t="str">
        <f>image("https://i.imgur.com/eY9JnZR.png")</f>
        <v/>
      </c>
      <c r="C291" s="22" t="str">
        <f>HYPERLINK("https://imgur.com/a/EVO6jL7","No")</f>
        <v>No</v>
      </c>
      <c r="D291" s="36" t="s">
        <v>53</v>
      </c>
      <c r="E291" s="36" t="s">
        <v>40</v>
      </c>
      <c r="F291" s="24" t="s">
        <v>51</v>
      </c>
      <c r="G291" s="13">
        <v>2550.0</v>
      </c>
      <c r="H291" s="19">
        <v>12208.0</v>
      </c>
      <c r="I291" s="21" t="s">
        <v>161</v>
      </c>
      <c r="J291" s="21" t="s">
        <v>95</v>
      </c>
      <c r="K291" s="21"/>
      <c r="L291" s="21"/>
      <c r="M291" s="15" t="s">
        <v>38</v>
      </c>
      <c r="N291" s="19"/>
      <c r="O291" s="21" t="s">
        <v>39</v>
      </c>
      <c r="P291" s="15" t="s">
        <v>40</v>
      </c>
      <c r="Q291" s="13" t="s">
        <v>41</v>
      </c>
      <c r="R291" s="13" t="s">
        <v>54</v>
      </c>
      <c r="S291" s="13" t="s">
        <v>55</v>
      </c>
      <c r="T291" s="21"/>
    </row>
    <row r="292" ht="56.25" customHeight="1">
      <c r="A292" s="21" t="s">
        <v>1530</v>
      </c>
      <c r="B292" s="15" t="str">
        <f>image("https://i.imgur.com/ujTytvs.png")</f>
        <v/>
      </c>
      <c r="C292" s="22" t="str">
        <f>HYPERLINK("https://imgur.com/a/73iTmbi","Yes")</f>
        <v>Yes</v>
      </c>
      <c r="D292" s="36" t="s">
        <v>40</v>
      </c>
      <c r="E292" s="36" t="s">
        <v>40</v>
      </c>
      <c r="F292" s="13">
        <v>5100.0</v>
      </c>
      <c r="G292" s="13">
        <v>1275.0</v>
      </c>
      <c r="H292" s="19">
        <v>2614.0</v>
      </c>
      <c r="I292" s="21" t="s">
        <v>156</v>
      </c>
      <c r="J292" s="21" t="s">
        <v>95</v>
      </c>
      <c r="K292" s="21"/>
      <c r="L292" s="21"/>
      <c r="M292" s="15" t="s">
        <v>130</v>
      </c>
      <c r="N292" s="19">
        <v>2.0</v>
      </c>
      <c r="O292" s="21" t="s">
        <v>39</v>
      </c>
      <c r="P292" s="15" t="s">
        <v>40</v>
      </c>
      <c r="Q292" s="13" t="s">
        <v>41</v>
      </c>
      <c r="R292" s="13" t="s">
        <v>43</v>
      </c>
      <c r="S292" s="13" t="s">
        <v>44</v>
      </c>
      <c r="T292" s="21" t="s">
        <v>63</v>
      </c>
    </row>
    <row r="293" ht="56.25" customHeight="1">
      <c r="A293" s="21" t="s">
        <v>1533</v>
      </c>
      <c r="B293" s="15" t="str">
        <f>image("https://i.imgur.com/GUuBrR1.png")</f>
        <v/>
      </c>
      <c r="C293" s="22" t="str">
        <f>HYPERLINK("https://imgur.com/a/uRlfjeL","Yes")</f>
        <v>Yes</v>
      </c>
      <c r="D293" s="36" t="s">
        <v>53</v>
      </c>
      <c r="E293" s="36" t="s">
        <v>53</v>
      </c>
      <c r="F293" s="24" t="s">
        <v>51</v>
      </c>
      <c r="G293" s="13">
        <v>1080.0</v>
      </c>
      <c r="H293" s="19">
        <v>532.0</v>
      </c>
      <c r="I293" s="21" t="s">
        <v>80</v>
      </c>
      <c r="J293" s="21"/>
      <c r="K293" s="21"/>
      <c r="L293" s="21"/>
      <c r="M293" s="15" t="s">
        <v>130</v>
      </c>
      <c r="N293" s="19">
        <v>2.0</v>
      </c>
      <c r="O293" s="21" t="s">
        <v>39</v>
      </c>
      <c r="P293" s="15" t="s">
        <v>40</v>
      </c>
      <c r="Q293" s="13" t="s">
        <v>41</v>
      </c>
      <c r="R293" s="13" t="s">
        <v>54</v>
      </c>
      <c r="S293" s="13" t="s">
        <v>55</v>
      </c>
      <c r="T293" s="21"/>
    </row>
    <row r="294" ht="56.25" customHeight="1">
      <c r="A294" s="21" t="s">
        <v>1536</v>
      </c>
      <c r="B294" s="15" t="str">
        <f>image("https://i.imgur.com/YA0iqXa.png")</f>
        <v/>
      </c>
      <c r="C294" s="22" t="str">
        <f>HYPERLINK("https://imgur.com/a/tjyeFk7","Yes")</f>
        <v>Yes</v>
      </c>
      <c r="D294" s="36" t="s">
        <v>40</v>
      </c>
      <c r="E294" s="36" t="s">
        <v>40</v>
      </c>
      <c r="F294" s="13">
        <v>3000.0</v>
      </c>
      <c r="G294" s="13">
        <v>750.0</v>
      </c>
      <c r="H294" s="19">
        <v>335.0</v>
      </c>
      <c r="I294" s="21" t="s">
        <v>95</v>
      </c>
      <c r="J294" s="21" t="s">
        <v>36</v>
      </c>
      <c r="K294" s="21"/>
      <c r="L294" s="21" t="s">
        <v>1538</v>
      </c>
      <c r="M294" s="15" t="s">
        <v>38</v>
      </c>
      <c r="N294" s="19">
        <v>1.0</v>
      </c>
      <c r="O294" s="21" t="s">
        <v>39</v>
      </c>
      <c r="P294" s="15" t="s">
        <v>40</v>
      </c>
      <c r="Q294" s="13" t="s">
        <v>41</v>
      </c>
      <c r="R294" s="13" t="s">
        <v>43</v>
      </c>
      <c r="S294" s="13" t="s">
        <v>44</v>
      </c>
      <c r="T294" s="21" t="s">
        <v>63</v>
      </c>
    </row>
    <row r="295" ht="56.25" customHeight="1">
      <c r="A295" s="21" t="s">
        <v>1539</v>
      </c>
      <c r="B295" s="15" t="str">
        <f>image("https://i.imgur.com/ybh2Bqv.png")</f>
        <v/>
      </c>
      <c r="C295" s="22" t="str">
        <f>HYPERLINK("https://imgur.com/a/rTSfOTB","Yes")</f>
        <v>Yes</v>
      </c>
      <c r="D295" s="36" t="s">
        <v>40</v>
      </c>
      <c r="E295" s="36" t="s">
        <v>40</v>
      </c>
      <c r="F295" s="13">
        <v>3000.0</v>
      </c>
      <c r="G295" s="13">
        <v>750.0</v>
      </c>
      <c r="H295" s="19">
        <v>336.0</v>
      </c>
      <c r="I295" s="21" t="s">
        <v>95</v>
      </c>
      <c r="J295" s="21" t="s">
        <v>36</v>
      </c>
      <c r="K295" s="21"/>
      <c r="L295" s="21" t="s">
        <v>1538</v>
      </c>
      <c r="M295" s="15" t="s">
        <v>38</v>
      </c>
      <c r="N295" s="19">
        <v>1.0</v>
      </c>
      <c r="O295" s="21" t="s">
        <v>39</v>
      </c>
      <c r="P295" s="15" t="s">
        <v>40</v>
      </c>
      <c r="Q295" s="13" t="s">
        <v>41</v>
      </c>
      <c r="R295" s="13" t="s">
        <v>43</v>
      </c>
      <c r="S295" s="13" t="s">
        <v>44</v>
      </c>
      <c r="T295" s="21" t="s">
        <v>63</v>
      </c>
    </row>
    <row r="296" ht="56.25" customHeight="1">
      <c r="A296" s="21" t="s">
        <v>1541</v>
      </c>
      <c r="B296" s="15" t="str">
        <f>image("https://i.imgur.com/mBctFu4.png")</f>
        <v/>
      </c>
      <c r="C296" s="22" t="str">
        <f>HYPERLINK("https://imgur.com/a/6YG9Lgu","Yes")</f>
        <v>Yes</v>
      </c>
      <c r="D296" s="36" t="s">
        <v>53</v>
      </c>
      <c r="E296" s="36" t="s">
        <v>53</v>
      </c>
      <c r="F296" s="24" t="s">
        <v>51</v>
      </c>
      <c r="G296" s="13">
        <v>440.0</v>
      </c>
      <c r="H296" s="19">
        <v>7232.0</v>
      </c>
      <c r="I296" s="21" t="s">
        <v>36</v>
      </c>
      <c r="J296" s="21"/>
      <c r="K296" s="21"/>
      <c r="L296" s="21"/>
      <c r="M296" s="15" t="s">
        <v>38</v>
      </c>
      <c r="N296" s="19">
        <v>1.0</v>
      </c>
      <c r="O296" s="21" t="s">
        <v>39</v>
      </c>
      <c r="P296" s="15" t="s">
        <v>53</v>
      </c>
      <c r="Q296" s="13" t="s">
        <v>41</v>
      </c>
      <c r="R296" s="13" t="s">
        <v>54</v>
      </c>
      <c r="S296" s="13" t="s">
        <v>55</v>
      </c>
      <c r="T296" s="21"/>
    </row>
    <row r="297" ht="56.25" customHeight="1">
      <c r="A297" s="21" t="s">
        <v>1543</v>
      </c>
      <c r="B297" s="15" t="str">
        <f>image("https://i.imgur.com/7ELfM3k.png")</f>
        <v/>
      </c>
      <c r="C297" s="22" t="str">
        <f>HYPERLINK("https://imgur.com/a/2C8u3WP","Yes")</f>
        <v>Yes</v>
      </c>
      <c r="D297" s="36" t="s">
        <v>53</v>
      </c>
      <c r="E297" s="36" t="s">
        <v>53</v>
      </c>
      <c r="F297" s="24" t="s">
        <v>51</v>
      </c>
      <c r="G297" s="13">
        <v>1600.0</v>
      </c>
      <c r="H297" s="19">
        <v>805.0</v>
      </c>
      <c r="I297" s="21" t="s">
        <v>95</v>
      </c>
      <c r="J297" s="21"/>
      <c r="K297" s="21"/>
      <c r="L297" s="21"/>
      <c r="M297" s="15" t="s">
        <v>38</v>
      </c>
      <c r="N297" s="19">
        <v>3.0</v>
      </c>
      <c r="O297" s="21" t="s">
        <v>39</v>
      </c>
      <c r="P297" s="15" t="s">
        <v>53</v>
      </c>
      <c r="Q297" s="13" t="s">
        <v>186</v>
      </c>
      <c r="R297" s="13" t="s">
        <v>54</v>
      </c>
      <c r="S297" s="13" t="s">
        <v>55</v>
      </c>
      <c r="T297" s="21" t="s">
        <v>1544</v>
      </c>
    </row>
    <row r="298" ht="56.25" customHeight="1">
      <c r="A298" s="21" t="s">
        <v>1545</v>
      </c>
      <c r="B298" s="15" t="str">
        <f>image("https://i.imgur.com/mXpmqIS.png")</f>
        <v/>
      </c>
      <c r="C298" s="22" t="str">
        <f>HYPERLINK("https://imgur.com/a/1tgS8Gf","Yes")</f>
        <v>Yes</v>
      </c>
      <c r="D298" s="36" t="s">
        <v>53</v>
      </c>
      <c r="E298" s="36" t="s">
        <v>53</v>
      </c>
      <c r="F298" s="24" t="s">
        <v>51</v>
      </c>
      <c r="G298" s="13">
        <v>1680.0</v>
      </c>
      <c r="H298" s="19">
        <v>3808.0</v>
      </c>
      <c r="I298" s="21" t="s">
        <v>90</v>
      </c>
      <c r="J298" s="21" t="s">
        <v>95</v>
      </c>
      <c r="K298" s="21"/>
      <c r="L298" s="21"/>
      <c r="M298" s="15" t="s">
        <v>38</v>
      </c>
      <c r="N298" s="19">
        <v>3.0</v>
      </c>
      <c r="O298" s="21" t="s">
        <v>39</v>
      </c>
      <c r="P298" s="15" t="s">
        <v>40</v>
      </c>
      <c r="Q298" s="13" t="s">
        <v>41</v>
      </c>
      <c r="R298" s="13" t="s">
        <v>54</v>
      </c>
      <c r="S298" s="13" t="s">
        <v>55</v>
      </c>
      <c r="T298" s="21" t="s">
        <v>1544</v>
      </c>
    </row>
    <row r="299" ht="56.25" customHeight="1">
      <c r="A299" s="21" t="s">
        <v>1547</v>
      </c>
      <c r="B299" s="15" t="str">
        <f>image("https://i.imgur.com/9iF7dtV.png")</f>
        <v/>
      </c>
      <c r="C299" s="22" t="str">
        <f>HYPERLINK("https://imgur.com/a/uugYCgr","Yes")</f>
        <v>Yes</v>
      </c>
      <c r="D299" s="36" t="s">
        <v>53</v>
      </c>
      <c r="E299" s="36" t="s">
        <v>53</v>
      </c>
      <c r="F299" s="24" t="s">
        <v>51</v>
      </c>
      <c r="G299" s="13">
        <v>800.0</v>
      </c>
      <c r="H299" s="19">
        <v>4708.0</v>
      </c>
      <c r="I299" s="21" t="s">
        <v>95</v>
      </c>
      <c r="J299" s="21"/>
      <c r="K299" s="21"/>
      <c r="L299" s="21"/>
      <c r="M299" s="15" t="s">
        <v>38</v>
      </c>
      <c r="N299" s="19">
        <v>2.0</v>
      </c>
      <c r="O299" s="21" t="s">
        <v>39</v>
      </c>
      <c r="P299" s="15" t="s">
        <v>53</v>
      </c>
      <c r="Q299" s="13" t="s">
        <v>41</v>
      </c>
      <c r="R299" s="13" t="s">
        <v>54</v>
      </c>
      <c r="S299" s="13" t="s">
        <v>55</v>
      </c>
      <c r="T299" s="21" t="s">
        <v>1544</v>
      </c>
    </row>
    <row r="300" ht="56.25" customHeight="1">
      <c r="A300" s="21" t="s">
        <v>1549</v>
      </c>
      <c r="B300" s="15" t="str">
        <f>image("https://i.imgur.com/ybvh02W.png")</f>
        <v/>
      </c>
      <c r="C300" s="22" t="str">
        <f>HYPERLINK("https://imgur.com/a/Hqacj5Y","Yes")</f>
        <v>Yes</v>
      </c>
      <c r="D300" s="36" t="s">
        <v>53</v>
      </c>
      <c r="E300" s="36" t="s">
        <v>53</v>
      </c>
      <c r="F300" s="24" t="s">
        <v>51</v>
      </c>
      <c r="G300" s="13">
        <v>1200.0</v>
      </c>
      <c r="H300" s="19">
        <v>3805.0</v>
      </c>
      <c r="I300" s="21" t="s">
        <v>95</v>
      </c>
      <c r="J300" s="21"/>
      <c r="K300" s="21"/>
      <c r="L300" s="21"/>
      <c r="M300" s="15" t="s">
        <v>106</v>
      </c>
      <c r="N300" s="19">
        <v>2.0</v>
      </c>
      <c r="O300" s="21" t="s">
        <v>39</v>
      </c>
      <c r="P300" s="15" t="s">
        <v>40</v>
      </c>
      <c r="Q300" s="13" t="s">
        <v>41</v>
      </c>
      <c r="R300" s="13" t="s">
        <v>54</v>
      </c>
      <c r="S300" s="13" t="s">
        <v>55</v>
      </c>
      <c r="T300" s="21" t="s">
        <v>1544</v>
      </c>
    </row>
    <row r="301" ht="56.25" customHeight="1">
      <c r="A301" s="21" t="s">
        <v>1551</v>
      </c>
      <c r="B301" s="15" t="str">
        <f>image("https://i.imgur.com/D46kf4y.png")</f>
        <v/>
      </c>
      <c r="C301" s="22" t="str">
        <f>HYPERLINK("https://imgur.com/a/sxmbJ4C","Yes")</f>
        <v>Yes</v>
      </c>
      <c r="D301" s="36" t="s">
        <v>53</v>
      </c>
      <c r="E301" s="36" t="s">
        <v>53</v>
      </c>
      <c r="F301" s="24" t="s">
        <v>51</v>
      </c>
      <c r="G301" s="13">
        <v>1800.0</v>
      </c>
      <c r="H301" s="19">
        <v>3806.0</v>
      </c>
      <c r="I301" s="21" t="s">
        <v>95</v>
      </c>
      <c r="J301" s="21"/>
      <c r="K301" s="21"/>
      <c r="L301" s="21"/>
      <c r="M301" s="15" t="s">
        <v>130</v>
      </c>
      <c r="N301" s="19">
        <v>3.0</v>
      </c>
      <c r="O301" s="21" t="s">
        <v>39</v>
      </c>
      <c r="P301" s="15" t="s">
        <v>40</v>
      </c>
      <c r="Q301" s="13" t="s">
        <v>41</v>
      </c>
      <c r="R301" s="13" t="s">
        <v>54</v>
      </c>
      <c r="S301" s="13" t="s">
        <v>55</v>
      </c>
      <c r="T301" s="21" t="s">
        <v>1544</v>
      </c>
    </row>
    <row r="302" ht="56.25" customHeight="1">
      <c r="A302" s="21" t="s">
        <v>1553</v>
      </c>
      <c r="B302" s="15" t="str">
        <f>image("https://i.imgur.com/m0UwKPD.png")</f>
        <v/>
      </c>
      <c r="C302" s="22" t="str">
        <f>HYPERLINK("https://imgur.com/a/Srniuos","Yes")</f>
        <v>Yes</v>
      </c>
      <c r="D302" s="36" t="s">
        <v>53</v>
      </c>
      <c r="E302" s="36" t="s">
        <v>53</v>
      </c>
      <c r="F302" s="24" t="s">
        <v>51</v>
      </c>
      <c r="G302" s="13">
        <v>1520.0</v>
      </c>
      <c r="H302" s="19">
        <v>808.0</v>
      </c>
      <c r="I302" s="21" t="s">
        <v>95</v>
      </c>
      <c r="J302" s="21"/>
      <c r="K302" s="21"/>
      <c r="L302" s="21"/>
      <c r="M302" s="15" t="s">
        <v>106</v>
      </c>
      <c r="N302" s="19">
        <v>3.0</v>
      </c>
      <c r="O302" s="21" t="s">
        <v>39</v>
      </c>
      <c r="P302" s="15" t="s">
        <v>40</v>
      </c>
      <c r="Q302" s="13" t="s">
        <v>41</v>
      </c>
      <c r="R302" s="13" t="s">
        <v>54</v>
      </c>
      <c r="S302" s="13" t="s">
        <v>55</v>
      </c>
      <c r="T302" s="21" t="s">
        <v>1544</v>
      </c>
    </row>
    <row r="303" ht="56.25" customHeight="1">
      <c r="A303" s="21" t="s">
        <v>1556</v>
      </c>
      <c r="B303" s="15" t="str">
        <f>image("https://i.imgur.com/m57fpTf.png")</f>
        <v/>
      </c>
      <c r="C303" s="22" t="str">
        <f>HYPERLINK("https://imgur.com/a/qyJdkJ8","Yes")</f>
        <v>Yes</v>
      </c>
      <c r="D303" s="36" t="s">
        <v>53</v>
      </c>
      <c r="E303" s="36" t="s">
        <v>53</v>
      </c>
      <c r="F303" s="24" t="s">
        <v>51</v>
      </c>
      <c r="G303" s="13">
        <v>960.0</v>
      </c>
      <c r="H303" s="19">
        <v>1058.0</v>
      </c>
      <c r="I303" s="21" t="s">
        <v>52</v>
      </c>
      <c r="J303" s="21"/>
      <c r="K303" s="21"/>
      <c r="L303" s="21"/>
      <c r="M303" s="15" t="s">
        <v>38</v>
      </c>
      <c r="N303" s="19">
        <v>2.0</v>
      </c>
      <c r="O303" s="21" t="s">
        <v>39</v>
      </c>
      <c r="P303" s="15" t="s">
        <v>40</v>
      </c>
      <c r="Q303" s="13" t="s">
        <v>41</v>
      </c>
      <c r="R303" s="13" t="s">
        <v>54</v>
      </c>
      <c r="S303" s="13" t="s">
        <v>55</v>
      </c>
      <c r="T303" s="21"/>
    </row>
    <row r="304" ht="56.25" customHeight="1">
      <c r="A304" s="21" t="s">
        <v>1559</v>
      </c>
      <c r="B304" s="15" t="str">
        <f>image("https://i.imgur.com/raioopz.png")</f>
        <v/>
      </c>
      <c r="C304" s="22" t="str">
        <f>HYPERLINK("https://imgur.com/a/pgQ8k24","Yes")</f>
        <v>Yes</v>
      </c>
      <c r="D304" s="36" t="s">
        <v>53</v>
      </c>
      <c r="E304" s="36" t="s">
        <v>53</v>
      </c>
      <c r="F304" s="24" t="s">
        <v>51</v>
      </c>
      <c r="G304" s="13">
        <v>2220.0</v>
      </c>
      <c r="H304" s="19">
        <v>2586.0</v>
      </c>
      <c r="I304" s="21" t="s">
        <v>95</v>
      </c>
      <c r="J304" s="21"/>
      <c r="K304" s="21"/>
      <c r="L304" s="21"/>
      <c r="M304" s="15" t="s">
        <v>38</v>
      </c>
      <c r="N304" s="19">
        <v>3.0</v>
      </c>
      <c r="O304" s="21" t="s">
        <v>39</v>
      </c>
      <c r="P304" s="15" t="s">
        <v>53</v>
      </c>
      <c r="Q304" s="13" t="s">
        <v>41</v>
      </c>
      <c r="R304" s="13" t="s">
        <v>54</v>
      </c>
      <c r="S304" s="13" t="s">
        <v>55</v>
      </c>
      <c r="T304" s="21"/>
    </row>
    <row r="305" ht="56.25" customHeight="1">
      <c r="A305" s="21" t="s">
        <v>1561</v>
      </c>
      <c r="B305" s="15" t="str">
        <f>image("https://i.imgur.com/UOcWRip.png")</f>
        <v/>
      </c>
      <c r="C305" s="22" t="str">
        <f>HYPERLINK("https://imgur.com/a/gTMSqAF","Yes")</f>
        <v>Yes</v>
      </c>
      <c r="D305" s="36" t="s">
        <v>53</v>
      </c>
      <c r="E305" s="36" t="s">
        <v>53</v>
      </c>
      <c r="F305" s="24" t="s">
        <v>51</v>
      </c>
      <c r="G305" s="13">
        <v>3330.0</v>
      </c>
      <c r="H305" s="19">
        <v>3396.0</v>
      </c>
      <c r="I305" s="21" t="s">
        <v>95</v>
      </c>
      <c r="J305" s="21"/>
      <c r="K305" s="21"/>
      <c r="L305" s="21"/>
      <c r="M305" s="15" t="s">
        <v>106</v>
      </c>
      <c r="N305" s="19">
        <v>5.0</v>
      </c>
      <c r="O305" s="21" t="s">
        <v>39</v>
      </c>
      <c r="P305" s="15" t="s">
        <v>40</v>
      </c>
      <c r="Q305" s="13" t="s">
        <v>41</v>
      </c>
      <c r="R305" s="13" t="s">
        <v>54</v>
      </c>
      <c r="S305" s="13" t="s">
        <v>55</v>
      </c>
      <c r="T305" s="21"/>
    </row>
    <row r="306" ht="56.25" customHeight="1">
      <c r="A306" s="21" t="s">
        <v>1562</v>
      </c>
      <c r="B306" s="15" t="str">
        <f>image("https://i.imgur.com/emTlkPR.png")</f>
        <v/>
      </c>
      <c r="C306" s="22" t="str">
        <f>HYPERLINK("https://imgur.com/a/t3e8qtl","Yes")</f>
        <v>Yes</v>
      </c>
      <c r="D306" s="36" t="s">
        <v>53</v>
      </c>
      <c r="E306" s="36" t="s">
        <v>53</v>
      </c>
      <c r="F306" s="24" t="s">
        <v>51</v>
      </c>
      <c r="G306" s="13">
        <v>1980.0</v>
      </c>
      <c r="H306" s="19">
        <v>12332.0</v>
      </c>
      <c r="I306" s="21" t="s">
        <v>95</v>
      </c>
      <c r="J306" s="21"/>
      <c r="K306" s="21"/>
      <c r="L306" s="21"/>
      <c r="M306" s="15" t="s">
        <v>38</v>
      </c>
      <c r="N306" s="19">
        <v>3.0</v>
      </c>
      <c r="O306" s="21" t="s">
        <v>39</v>
      </c>
      <c r="P306" s="15" t="s">
        <v>40</v>
      </c>
      <c r="Q306" s="13" t="s">
        <v>41</v>
      </c>
      <c r="R306" s="13" t="s">
        <v>54</v>
      </c>
      <c r="S306" s="13" t="s">
        <v>55</v>
      </c>
      <c r="T306" s="21"/>
    </row>
    <row r="307" ht="56.25" customHeight="1">
      <c r="A307" s="21" t="s">
        <v>1564</v>
      </c>
      <c r="B307" s="15" t="str">
        <f>image("https://i.imgur.com/18UQiVF.png")</f>
        <v/>
      </c>
      <c r="C307" s="22" t="str">
        <f>HYPERLINK("https://imgur.com/a/OR2V1pn","Yes")</f>
        <v>Yes</v>
      </c>
      <c r="D307" s="36" t="s">
        <v>40</v>
      </c>
      <c r="E307" s="36" t="s">
        <v>40</v>
      </c>
      <c r="F307" s="13">
        <v>6100.0</v>
      </c>
      <c r="G307" s="13">
        <v>1525.0</v>
      </c>
      <c r="H307" s="19">
        <v>7152.0</v>
      </c>
      <c r="I307" s="21" t="s">
        <v>156</v>
      </c>
      <c r="J307" s="21"/>
      <c r="K307" s="21"/>
      <c r="L307" s="21"/>
      <c r="M307" s="15" t="s">
        <v>106</v>
      </c>
      <c r="N307" s="19">
        <v>3.0</v>
      </c>
      <c r="O307" s="21" t="s">
        <v>39</v>
      </c>
      <c r="P307" s="15" t="s">
        <v>53</v>
      </c>
      <c r="Q307" s="13" t="s">
        <v>41</v>
      </c>
      <c r="R307" s="13" t="s">
        <v>43</v>
      </c>
      <c r="S307" s="13" t="s">
        <v>44</v>
      </c>
      <c r="T307" s="21" t="s">
        <v>65</v>
      </c>
    </row>
    <row r="308" ht="56.25" customHeight="1">
      <c r="A308" s="21" t="s">
        <v>1566</v>
      </c>
      <c r="B308" s="15" t="str">
        <f>image("https://i.imgur.com/XpE9Hoc.png")</f>
        <v/>
      </c>
      <c r="C308" s="25" t="s">
        <v>40</v>
      </c>
      <c r="D308" s="36" t="s">
        <v>40</v>
      </c>
      <c r="E308" s="36" t="s">
        <v>40</v>
      </c>
      <c r="F308" s="24" t="s">
        <v>51</v>
      </c>
      <c r="G308" s="13">
        <v>27000.0</v>
      </c>
      <c r="H308" s="19">
        <v>7011.0</v>
      </c>
      <c r="I308" s="21"/>
      <c r="J308" s="21"/>
      <c r="K308" s="21"/>
      <c r="L308" s="21"/>
      <c r="M308" s="15" t="s">
        <v>130</v>
      </c>
      <c r="N308" s="19"/>
      <c r="O308" s="21" t="s">
        <v>39</v>
      </c>
      <c r="P308" s="15" t="s">
        <v>40</v>
      </c>
      <c r="Q308" s="13" t="s">
        <v>41</v>
      </c>
      <c r="R308" s="13" t="s">
        <v>54</v>
      </c>
      <c r="S308" s="13" t="s">
        <v>100</v>
      </c>
      <c r="T308" s="21" t="s">
        <v>101</v>
      </c>
    </row>
    <row r="309" ht="56.25" customHeight="1">
      <c r="A309" s="21" t="s">
        <v>1568</v>
      </c>
      <c r="B309" s="15" t="str">
        <f>image("https://i.imgur.com/B1PSnw8.png")</f>
        <v/>
      </c>
      <c r="C309" s="25" t="s">
        <v>40</v>
      </c>
      <c r="D309" s="36" t="s">
        <v>40</v>
      </c>
      <c r="E309" s="36" t="s">
        <v>40</v>
      </c>
      <c r="F309" s="24" t="s">
        <v>51</v>
      </c>
      <c r="G309" s="13">
        <v>12000.0</v>
      </c>
      <c r="H309" s="19">
        <v>6984.0</v>
      </c>
      <c r="I309" s="21"/>
      <c r="J309" s="21"/>
      <c r="K309" s="21"/>
      <c r="L309" s="21"/>
      <c r="M309" s="15" t="s">
        <v>130</v>
      </c>
      <c r="N309" s="19"/>
      <c r="O309" s="21" t="s">
        <v>39</v>
      </c>
      <c r="P309" s="15" t="s">
        <v>40</v>
      </c>
      <c r="Q309" s="13" t="s">
        <v>41</v>
      </c>
      <c r="R309" s="13" t="s">
        <v>54</v>
      </c>
      <c r="S309" s="13" t="s">
        <v>100</v>
      </c>
      <c r="T309" s="21" t="s">
        <v>101</v>
      </c>
    </row>
    <row r="310" ht="56.25" customHeight="1">
      <c r="A310" s="21" t="s">
        <v>1570</v>
      </c>
      <c r="B310" s="15" t="str">
        <f>image("https://i.imgur.com/kHVS5wc.png")</f>
        <v/>
      </c>
      <c r="C310" s="22" t="str">
        <f>HYPERLINK("https://imgur.com/a/zSsMZKU","Yes")</f>
        <v>Yes</v>
      </c>
      <c r="D310" s="36" t="s">
        <v>40</v>
      </c>
      <c r="E310" s="36" t="s">
        <v>40</v>
      </c>
      <c r="F310" s="13">
        <v>3600.0</v>
      </c>
      <c r="G310" s="13">
        <v>900.0</v>
      </c>
      <c r="H310" s="19">
        <v>840.0</v>
      </c>
      <c r="I310" s="21" t="s">
        <v>61</v>
      </c>
      <c r="J310" s="21"/>
      <c r="K310" s="21"/>
      <c r="L310" s="21"/>
      <c r="M310" s="15" t="s">
        <v>130</v>
      </c>
      <c r="N310" s="19">
        <v>2.0</v>
      </c>
      <c r="O310" s="21" t="s">
        <v>39</v>
      </c>
      <c r="P310" s="15" t="s">
        <v>40</v>
      </c>
      <c r="Q310" s="13" t="s">
        <v>41</v>
      </c>
      <c r="R310" s="13" t="s">
        <v>43</v>
      </c>
      <c r="S310" s="13" t="s">
        <v>44</v>
      </c>
      <c r="T310" s="21" t="s">
        <v>68</v>
      </c>
    </row>
    <row r="311" ht="56.25" customHeight="1">
      <c r="A311" s="21" t="s">
        <v>1572</v>
      </c>
      <c r="B311" s="15" t="str">
        <f>image("https://i.imgur.com/tguGaCP.png")</f>
        <v/>
      </c>
      <c r="C311" s="22" t="str">
        <f>HYPERLINK("https://imgur.com/a/Bj78os5","Yes")</f>
        <v>Yes</v>
      </c>
      <c r="D311" s="36" t="s">
        <v>40</v>
      </c>
      <c r="E311" s="36" t="s">
        <v>40</v>
      </c>
      <c r="F311" s="13">
        <v>650.0</v>
      </c>
      <c r="G311" s="24">
        <v>162.0</v>
      </c>
      <c r="H311" s="19">
        <v>1567.0</v>
      </c>
      <c r="I311" s="21" t="s">
        <v>243</v>
      </c>
      <c r="J311" s="21"/>
      <c r="K311" s="21"/>
      <c r="L311" s="21"/>
      <c r="M311" s="15" t="s">
        <v>38</v>
      </c>
      <c r="N311" s="19">
        <v>1.0</v>
      </c>
      <c r="O311" s="21" t="s">
        <v>39</v>
      </c>
      <c r="P311" s="15" t="s">
        <v>40</v>
      </c>
      <c r="Q311" s="13" t="s">
        <v>41</v>
      </c>
      <c r="R311" s="13" t="s">
        <v>43</v>
      </c>
      <c r="S311" s="13" t="s">
        <v>44</v>
      </c>
      <c r="T311" s="21" t="s">
        <v>202</v>
      </c>
    </row>
    <row r="312" ht="56.25" customHeight="1">
      <c r="A312" s="21" t="s">
        <v>1575</v>
      </c>
      <c r="B312" s="15" t="str">
        <f>image("https://i.imgur.com/aCQLHPD.png")</f>
        <v/>
      </c>
      <c r="C312" s="22" t="str">
        <f>HYPERLINK("https://imgur.com/a/q9pfABr","Yes")</f>
        <v>Yes</v>
      </c>
      <c r="D312" s="36" t="s">
        <v>53</v>
      </c>
      <c r="E312" s="36" t="s">
        <v>53</v>
      </c>
      <c r="F312" s="24" t="s">
        <v>51</v>
      </c>
      <c r="G312" s="13">
        <v>655.0</v>
      </c>
      <c r="H312" s="19">
        <v>3819.0</v>
      </c>
      <c r="I312" s="21" t="s">
        <v>183</v>
      </c>
      <c r="J312" s="21"/>
      <c r="K312" s="21"/>
      <c r="L312" s="21"/>
      <c r="M312" s="15" t="s">
        <v>38</v>
      </c>
      <c r="N312" s="19">
        <v>1.0</v>
      </c>
      <c r="O312" s="21" t="s">
        <v>39</v>
      </c>
      <c r="P312" s="15" t="s">
        <v>53</v>
      </c>
      <c r="Q312" s="13" t="s">
        <v>41</v>
      </c>
      <c r="R312" s="13" t="s">
        <v>54</v>
      </c>
      <c r="S312" s="13" t="s">
        <v>55</v>
      </c>
      <c r="T312" s="21"/>
    </row>
    <row r="313" ht="56.25" customHeight="1">
      <c r="A313" s="21" t="s">
        <v>1577</v>
      </c>
      <c r="B313" s="15" t="str">
        <f>image("https://i.imgur.com/EG5NtmS.png",1)</f>
        <v/>
      </c>
      <c r="C313" s="15" t="s">
        <v>40</v>
      </c>
      <c r="D313" s="36" t="s">
        <v>40</v>
      </c>
      <c r="E313" s="36" t="s">
        <v>40</v>
      </c>
      <c r="F313" s="13">
        <v>3000.0</v>
      </c>
      <c r="G313" s="13">
        <v>75.0</v>
      </c>
      <c r="H313" s="19"/>
      <c r="I313" s="21"/>
      <c r="J313" s="21"/>
      <c r="K313" s="21"/>
      <c r="L313" s="21"/>
      <c r="M313" s="15"/>
      <c r="N313" s="19"/>
      <c r="O313" s="21"/>
      <c r="P313" s="15"/>
      <c r="Q313" s="13"/>
      <c r="R313" s="13" t="s">
        <v>496</v>
      </c>
      <c r="S313" s="13" t="s">
        <v>497</v>
      </c>
      <c r="T313" s="21"/>
    </row>
    <row r="314" ht="56.25" customHeight="1">
      <c r="A314" s="21" t="s">
        <v>1579</v>
      </c>
      <c r="B314" s="15" t="str">
        <f>image("https://i.imgur.com/9nHmxKq.png")</f>
        <v/>
      </c>
      <c r="C314" s="22" t="str">
        <f>HYPERLINK("https://imgur.com/a/sgbb2lz","Yes")</f>
        <v>Yes</v>
      </c>
      <c r="D314" s="36" t="s">
        <v>40</v>
      </c>
      <c r="E314" s="36" t="s">
        <v>40</v>
      </c>
      <c r="F314" s="13">
        <v>2200.0</v>
      </c>
      <c r="G314" s="13">
        <v>550.0</v>
      </c>
      <c r="H314" s="19">
        <v>1127.0</v>
      </c>
      <c r="I314" s="21" t="s">
        <v>60</v>
      </c>
      <c r="J314" s="21"/>
      <c r="K314" s="21"/>
      <c r="L314" s="21"/>
      <c r="M314" s="15" t="s">
        <v>130</v>
      </c>
      <c r="N314" s="19">
        <v>1.0</v>
      </c>
      <c r="O314" s="21" t="s">
        <v>39</v>
      </c>
      <c r="P314" s="15" t="s">
        <v>53</v>
      </c>
      <c r="Q314" s="13" t="s">
        <v>41</v>
      </c>
      <c r="R314" s="13" t="s">
        <v>43</v>
      </c>
      <c r="S314" s="13" t="s">
        <v>44</v>
      </c>
      <c r="T314" s="21" t="s">
        <v>63</v>
      </c>
    </row>
    <row r="315" ht="56.25" customHeight="1">
      <c r="A315" s="21" t="s">
        <v>1581</v>
      </c>
      <c r="B315" s="15" t="str">
        <f>image("https://i.imgur.com/y61TZBz.png")</f>
        <v/>
      </c>
      <c r="C315" s="22" t="str">
        <f>HYPERLINK("https://imgur.com/a/1kfYRT1","No")</f>
        <v>No</v>
      </c>
      <c r="D315" s="36" t="s">
        <v>40</v>
      </c>
      <c r="E315" s="36" t="s">
        <v>40</v>
      </c>
      <c r="F315" s="13">
        <v>140000.0</v>
      </c>
      <c r="G315" s="13">
        <v>35000.0</v>
      </c>
      <c r="H315" s="19">
        <v>3615.0</v>
      </c>
      <c r="I315" s="21" t="s">
        <v>86</v>
      </c>
      <c r="J315" s="21" t="s">
        <v>37</v>
      </c>
      <c r="K315" s="21"/>
      <c r="L315" s="21"/>
      <c r="M315" s="15" t="s">
        <v>130</v>
      </c>
      <c r="N315" s="19"/>
      <c r="O315" s="21" t="s">
        <v>39</v>
      </c>
      <c r="P315" s="15" t="s">
        <v>53</v>
      </c>
      <c r="Q315" s="13" t="s">
        <v>41</v>
      </c>
      <c r="R315" s="13" t="s">
        <v>43</v>
      </c>
      <c r="S315" s="13" t="s">
        <v>44</v>
      </c>
      <c r="T315" s="21" t="s">
        <v>65</v>
      </c>
    </row>
    <row r="316" ht="56.25" customHeight="1">
      <c r="A316" s="21" t="s">
        <v>1583</v>
      </c>
      <c r="B316" s="15" t="str">
        <f>image("https://i.imgur.com/bRZSA49.png")</f>
        <v/>
      </c>
      <c r="C316" s="22" t="str">
        <f>HYPERLINK("https://imgur.com/a/6VlnyFG","Yes")</f>
        <v>Yes</v>
      </c>
      <c r="D316" s="36" t="s">
        <v>53</v>
      </c>
      <c r="E316" s="36" t="s">
        <v>53</v>
      </c>
      <c r="F316" s="24" t="s">
        <v>51</v>
      </c>
      <c r="G316" s="13">
        <v>2480.0</v>
      </c>
      <c r="H316" s="19">
        <v>3975.0</v>
      </c>
      <c r="I316" s="21" t="s">
        <v>36</v>
      </c>
      <c r="J316" s="21"/>
      <c r="K316" s="21"/>
      <c r="L316" s="21"/>
      <c r="M316" s="15" t="s">
        <v>38</v>
      </c>
      <c r="N316" s="19">
        <v>4.0</v>
      </c>
      <c r="O316" s="21" t="s">
        <v>39</v>
      </c>
      <c r="P316" s="15" t="s">
        <v>40</v>
      </c>
      <c r="Q316" s="13" t="s">
        <v>41</v>
      </c>
      <c r="R316" s="13" t="s">
        <v>54</v>
      </c>
      <c r="S316" s="13" t="s">
        <v>55</v>
      </c>
      <c r="T316" s="21"/>
    </row>
    <row r="317" ht="56.25" customHeight="1">
      <c r="A317" s="21" t="s">
        <v>1585</v>
      </c>
      <c r="B317" s="15" t="str">
        <f>image("https://i.imgur.com/FgKJhEG.png")</f>
        <v/>
      </c>
      <c r="C317" s="22" t="str">
        <f>HYPERLINK("https://imgur.com/a/a42YlE0","No")</f>
        <v>No</v>
      </c>
      <c r="D317" s="36" t="s">
        <v>40</v>
      </c>
      <c r="E317" s="36" t="s">
        <v>40</v>
      </c>
      <c r="F317" s="13">
        <v>2200.0</v>
      </c>
      <c r="G317" s="13">
        <v>550.0</v>
      </c>
      <c r="H317" s="19">
        <v>1131.0</v>
      </c>
      <c r="I317" s="21" t="s">
        <v>90</v>
      </c>
      <c r="J317" s="21" t="s">
        <v>95</v>
      </c>
      <c r="K317" s="21"/>
      <c r="L317" s="21"/>
      <c r="M317" s="15" t="s">
        <v>38</v>
      </c>
      <c r="N317" s="19"/>
      <c r="O317" s="21" t="s">
        <v>39</v>
      </c>
      <c r="P317" s="15" t="s">
        <v>53</v>
      </c>
      <c r="Q317" s="13" t="s">
        <v>41</v>
      </c>
      <c r="R317" s="13" t="s">
        <v>43</v>
      </c>
      <c r="S317" s="13" t="s">
        <v>44</v>
      </c>
      <c r="T317" s="21" t="s">
        <v>63</v>
      </c>
    </row>
    <row r="318" ht="56.25" customHeight="1">
      <c r="A318" s="21" t="s">
        <v>1587</v>
      </c>
      <c r="B318" s="15" t="str">
        <f>image("https://i.imgur.com/KreGMeT.png")</f>
        <v/>
      </c>
      <c r="C318" s="22" t="str">
        <f>HYPERLINK("https://imgur.com/a/co9zuzo","Yes")</f>
        <v>Yes</v>
      </c>
      <c r="D318" s="36" t="s">
        <v>53</v>
      </c>
      <c r="E318" s="36" t="s">
        <v>53</v>
      </c>
      <c r="F318" s="24" t="s">
        <v>51</v>
      </c>
      <c r="G318" s="13">
        <v>4350.0</v>
      </c>
      <c r="H318" s="19">
        <v>1111.0</v>
      </c>
      <c r="I318" s="21" t="s">
        <v>95</v>
      </c>
      <c r="J318" s="21" t="s">
        <v>161</v>
      </c>
      <c r="K318" s="21"/>
      <c r="L318" s="21"/>
      <c r="M318" s="15" t="s">
        <v>1133</v>
      </c>
      <c r="N318" s="19">
        <v>6.0</v>
      </c>
      <c r="O318" s="21" t="s">
        <v>39</v>
      </c>
      <c r="P318" s="15" t="s">
        <v>53</v>
      </c>
      <c r="Q318" s="13" t="s">
        <v>186</v>
      </c>
      <c r="R318" s="13" t="s">
        <v>54</v>
      </c>
      <c r="S318" s="13" t="s">
        <v>516</v>
      </c>
      <c r="T318" s="21"/>
    </row>
    <row r="319" ht="56.25" customHeight="1">
      <c r="A319" s="21" t="s">
        <v>1590</v>
      </c>
      <c r="B319" s="15" t="str">
        <f>image("https://i.imgur.com/fxiSumk.png")</f>
        <v/>
      </c>
      <c r="C319" s="22" t="str">
        <f>HYPERLINK("https://imgur.com/a/5AQZ80w","Yes")</f>
        <v>Yes</v>
      </c>
      <c r="D319" s="36" t="s">
        <v>40</v>
      </c>
      <c r="E319" s="36" t="s">
        <v>53</v>
      </c>
      <c r="F319" s="13">
        <v>1300.0</v>
      </c>
      <c r="G319" s="13">
        <v>325.0</v>
      </c>
      <c r="H319" s="19">
        <v>3947.0</v>
      </c>
      <c r="I319" s="21" t="s">
        <v>338</v>
      </c>
      <c r="J319" s="21"/>
      <c r="K319" s="21"/>
      <c r="L319" s="21" t="s">
        <v>338</v>
      </c>
      <c r="M319" s="15" t="s">
        <v>130</v>
      </c>
      <c r="N319" s="19">
        <v>1.0</v>
      </c>
      <c r="O319" s="21" t="s">
        <v>39</v>
      </c>
      <c r="P319" s="15" t="s">
        <v>53</v>
      </c>
      <c r="Q319" s="13" t="s">
        <v>41</v>
      </c>
      <c r="R319" s="13" t="s">
        <v>43</v>
      </c>
      <c r="S319" s="13" t="s">
        <v>44</v>
      </c>
      <c r="T319" s="21" t="s">
        <v>63</v>
      </c>
    </row>
    <row r="320" ht="56.25" customHeight="1">
      <c r="A320" s="21" t="s">
        <v>1592</v>
      </c>
      <c r="B320" s="15" t="str">
        <f>image("https://i.imgur.com/DH4wDKF.png")</f>
        <v/>
      </c>
      <c r="C320" s="22" t="str">
        <f>HYPERLINK("https://imgur.com/a/FYq8fsw","Yes")</f>
        <v>Yes</v>
      </c>
      <c r="D320" s="36" t="s">
        <v>40</v>
      </c>
      <c r="E320" s="36" t="s">
        <v>40</v>
      </c>
      <c r="F320" s="13">
        <v>4900.0</v>
      </c>
      <c r="G320" s="13">
        <v>1225.0</v>
      </c>
      <c r="H320" s="19">
        <v>7526.0</v>
      </c>
      <c r="I320" s="21" t="s">
        <v>338</v>
      </c>
      <c r="J320" s="21"/>
      <c r="K320" s="21"/>
      <c r="L320" s="21"/>
      <c r="M320" s="15" t="s">
        <v>38</v>
      </c>
      <c r="N320" s="19">
        <v>2.0</v>
      </c>
      <c r="O320" s="21" t="s">
        <v>39</v>
      </c>
      <c r="P320" s="15" t="s">
        <v>53</v>
      </c>
      <c r="Q320" s="13" t="s">
        <v>41</v>
      </c>
      <c r="R320" s="13" t="s">
        <v>43</v>
      </c>
      <c r="S320" s="13" t="s">
        <v>44</v>
      </c>
      <c r="T320" s="21" t="s">
        <v>202</v>
      </c>
    </row>
    <row r="321" ht="56.25" customHeight="1">
      <c r="A321" s="21" t="s">
        <v>1595</v>
      </c>
      <c r="B321" s="15" t="str">
        <f>image("https://i.imgur.com/fCWj1A6.png")</f>
        <v/>
      </c>
      <c r="C321" s="22" t="str">
        <f>HYPERLINK("https://imgur.com/a/i15lnyT","No")</f>
        <v>No</v>
      </c>
      <c r="D321" s="36" t="s">
        <v>53</v>
      </c>
      <c r="E321" s="36" t="s">
        <v>40</v>
      </c>
      <c r="F321" s="24" t="s">
        <v>51</v>
      </c>
      <c r="G321" s="13">
        <v>4000.0</v>
      </c>
      <c r="H321" s="19">
        <v>6033.0</v>
      </c>
      <c r="I321" s="21" t="s">
        <v>161</v>
      </c>
      <c r="J321" s="21" t="s">
        <v>95</v>
      </c>
      <c r="K321" s="21"/>
      <c r="L321" s="21"/>
      <c r="M321" s="15" t="s">
        <v>506</v>
      </c>
      <c r="N321" s="19"/>
      <c r="O321" s="21" t="s">
        <v>39</v>
      </c>
      <c r="P321" s="15" t="s">
        <v>40</v>
      </c>
      <c r="Q321" s="13" t="s">
        <v>41</v>
      </c>
      <c r="R321" s="13" t="s">
        <v>54</v>
      </c>
      <c r="S321" s="13" t="s">
        <v>55</v>
      </c>
      <c r="T321" s="21" t="s">
        <v>282</v>
      </c>
    </row>
    <row r="322" ht="56.25" customHeight="1">
      <c r="A322" s="21" t="s">
        <v>1596</v>
      </c>
      <c r="B322" s="15" t="str">
        <f>image("https://i.imgur.com/ydsvXyF.png")</f>
        <v/>
      </c>
      <c r="C322" s="22" t="str">
        <f>HYPERLINK("https://imgur.com/a/1UsCqVc","Yes")</f>
        <v>Yes</v>
      </c>
      <c r="D322" s="36" t="s">
        <v>40</v>
      </c>
      <c r="E322" s="36" t="s">
        <v>53</v>
      </c>
      <c r="F322" s="13">
        <v>2200.0</v>
      </c>
      <c r="G322" s="13">
        <v>550.0</v>
      </c>
      <c r="H322" s="19">
        <v>3946.0</v>
      </c>
      <c r="I322" s="21" t="s">
        <v>338</v>
      </c>
      <c r="J322" s="21"/>
      <c r="K322" s="21"/>
      <c r="L322" s="21" t="s">
        <v>338</v>
      </c>
      <c r="M322" s="15" t="s">
        <v>130</v>
      </c>
      <c r="N322" s="19">
        <v>1.0</v>
      </c>
      <c r="O322" s="21" t="s">
        <v>39</v>
      </c>
      <c r="P322" s="15" t="s">
        <v>40</v>
      </c>
      <c r="Q322" s="13" t="s">
        <v>41</v>
      </c>
      <c r="R322" s="13" t="s">
        <v>43</v>
      </c>
      <c r="S322" s="13" t="s">
        <v>44</v>
      </c>
      <c r="T322" s="21" t="s">
        <v>63</v>
      </c>
    </row>
    <row r="323" ht="56.25" customHeight="1">
      <c r="A323" s="21" t="s">
        <v>1597</v>
      </c>
      <c r="B323" s="15" t="str">
        <f>image("https://i.imgur.com/SkOur7x.png")</f>
        <v/>
      </c>
      <c r="C323" s="22" t="str">
        <f>HYPERLINK("https://imgur.com/a/9572Rza","Yes")</f>
        <v>Yes</v>
      </c>
      <c r="D323" s="36" t="s">
        <v>40</v>
      </c>
      <c r="E323" s="36" t="s">
        <v>40</v>
      </c>
      <c r="F323" s="24" t="s">
        <v>51</v>
      </c>
      <c r="G323" s="13">
        <v>2030.0</v>
      </c>
      <c r="H323" s="19">
        <v>688.0</v>
      </c>
      <c r="I323" s="21" t="s">
        <v>284</v>
      </c>
      <c r="J323" s="21" t="s">
        <v>161</v>
      </c>
      <c r="K323" s="21"/>
      <c r="L323" s="21"/>
      <c r="M323" s="15" t="s">
        <v>506</v>
      </c>
      <c r="N323" s="19">
        <v>3.0</v>
      </c>
      <c r="O323" s="21" t="s">
        <v>39</v>
      </c>
      <c r="P323" s="15" t="s">
        <v>40</v>
      </c>
      <c r="Q323" s="13" t="s">
        <v>41</v>
      </c>
      <c r="R323" s="13" t="s">
        <v>54</v>
      </c>
      <c r="S323" s="13" t="s">
        <v>574</v>
      </c>
      <c r="T323" s="21"/>
    </row>
    <row r="324" ht="56.25" customHeight="1">
      <c r="A324" s="21" t="s">
        <v>1598</v>
      </c>
      <c r="B324" s="15" t="str">
        <f>image("https://i.imgur.com/uYiFbtW.png")</f>
        <v/>
      </c>
      <c r="C324" s="22" t="str">
        <f>HYPERLINK("https://imgur.com/a/c8COqmY","Yes")</f>
        <v>Yes</v>
      </c>
      <c r="D324" s="36" t="s">
        <v>53</v>
      </c>
      <c r="E324" s="36" t="s">
        <v>53</v>
      </c>
      <c r="F324" s="24" t="s">
        <v>51</v>
      </c>
      <c r="G324" s="13">
        <v>3280.0</v>
      </c>
      <c r="H324" s="19">
        <v>7259.0</v>
      </c>
      <c r="I324" s="21" t="s">
        <v>84</v>
      </c>
      <c r="J324" s="21"/>
      <c r="K324" s="21"/>
      <c r="L324" s="21"/>
      <c r="M324" s="15" t="s">
        <v>506</v>
      </c>
      <c r="N324" s="19">
        <v>5.0</v>
      </c>
      <c r="O324" s="21" t="s">
        <v>39</v>
      </c>
      <c r="P324" s="15" t="s">
        <v>53</v>
      </c>
      <c r="Q324" s="13" t="s">
        <v>186</v>
      </c>
      <c r="R324" s="13" t="s">
        <v>54</v>
      </c>
      <c r="S324" s="13" t="s">
        <v>55</v>
      </c>
      <c r="T324" s="21"/>
    </row>
    <row r="325" ht="56.25" customHeight="1">
      <c r="A325" s="21" t="s">
        <v>1599</v>
      </c>
      <c r="B325" s="15" t="str">
        <f>image("https://i.imgur.com/ORnGG6z.png")</f>
        <v/>
      </c>
      <c r="C325" s="22" t="str">
        <f>HYPERLINK("https://imgur.com/a/FbgEk1Q","Yes")</f>
        <v>Yes</v>
      </c>
      <c r="D325" s="36" t="s">
        <v>53</v>
      </c>
      <c r="E325" s="36" t="s">
        <v>53</v>
      </c>
      <c r="F325" s="24" t="s">
        <v>51</v>
      </c>
      <c r="G325" s="13">
        <v>760.0</v>
      </c>
      <c r="H325" s="19">
        <v>7237.0</v>
      </c>
      <c r="I325" s="21" t="s">
        <v>36</v>
      </c>
      <c r="J325" s="21"/>
      <c r="K325" s="21"/>
      <c r="L325" s="21"/>
      <c r="M325" s="15" t="s">
        <v>38</v>
      </c>
      <c r="N325" s="19">
        <v>2.0</v>
      </c>
      <c r="O325" s="21" t="s">
        <v>39</v>
      </c>
      <c r="P325" s="15" t="s">
        <v>40</v>
      </c>
      <c r="Q325" s="13" t="s">
        <v>41</v>
      </c>
      <c r="R325" s="13" t="s">
        <v>54</v>
      </c>
      <c r="S325" s="13" t="s">
        <v>55</v>
      </c>
      <c r="T325" s="21"/>
    </row>
    <row r="326" ht="56.25" customHeight="1">
      <c r="A326" s="21" t="s">
        <v>1600</v>
      </c>
      <c r="B326" s="15" t="str">
        <f>image("https://i.imgur.com/k4DktVO.png")</f>
        <v/>
      </c>
      <c r="C326" s="22" t="str">
        <f>HYPERLINK("https://imgur.com/a/RepOk33","Yes")</f>
        <v>Yes</v>
      </c>
      <c r="D326" s="36" t="s">
        <v>40</v>
      </c>
      <c r="E326" s="36" t="s">
        <v>40</v>
      </c>
      <c r="F326" s="13">
        <v>1900.0</v>
      </c>
      <c r="G326" s="13">
        <v>475.0</v>
      </c>
      <c r="H326" s="19">
        <v>4023.0</v>
      </c>
      <c r="I326" s="21" t="s">
        <v>90</v>
      </c>
      <c r="J326" s="21"/>
      <c r="K326" s="21"/>
      <c r="L326" s="21"/>
      <c r="M326" s="15" t="s">
        <v>38</v>
      </c>
      <c r="N326" s="19">
        <v>1.0</v>
      </c>
      <c r="O326" s="21" t="s">
        <v>39</v>
      </c>
      <c r="P326" s="15" t="s">
        <v>53</v>
      </c>
      <c r="Q326" s="13" t="s">
        <v>41</v>
      </c>
      <c r="R326" s="13" t="s">
        <v>43</v>
      </c>
      <c r="S326" s="13" t="s">
        <v>44</v>
      </c>
      <c r="T326" s="21" t="s">
        <v>68</v>
      </c>
    </row>
    <row r="327" ht="56.25" customHeight="1">
      <c r="A327" s="21" t="s">
        <v>1605</v>
      </c>
      <c r="B327" s="15" t="str">
        <f>image("https://i.imgur.com/8Z6izbA.png")</f>
        <v/>
      </c>
      <c r="C327" s="22" t="str">
        <f>HYPERLINK("https://imgur.com/a/9WhbyTT","Yes")</f>
        <v>Yes</v>
      </c>
      <c r="D327" s="36" t="s">
        <v>40</v>
      </c>
      <c r="E327" s="36" t="s">
        <v>53</v>
      </c>
      <c r="F327" s="13">
        <v>8500.0</v>
      </c>
      <c r="G327" s="13">
        <v>2125.0</v>
      </c>
      <c r="H327" s="19">
        <v>1499.0</v>
      </c>
      <c r="I327" s="21" t="s">
        <v>36</v>
      </c>
      <c r="J327" s="21" t="s">
        <v>113</v>
      </c>
      <c r="K327" s="21"/>
      <c r="L327" s="21"/>
      <c r="M327" s="15" t="s">
        <v>106</v>
      </c>
      <c r="N327" s="19">
        <v>3.0</v>
      </c>
      <c r="O327" s="21" t="s">
        <v>39</v>
      </c>
      <c r="P327" s="15" t="s">
        <v>40</v>
      </c>
      <c r="Q327" s="13" t="s">
        <v>41</v>
      </c>
      <c r="R327" s="13" t="s">
        <v>43</v>
      </c>
      <c r="S327" s="13" t="s">
        <v>44</v>
      </c>
      <c r="T327" s="21" t="s">
        <v>65</v>
      </c>
    </row>
    <row r="328" ht="56.25" customHeight="1">
      <c r="A328" s="21" t="s">
        <v>1607</v>
      </c>
      <c r="B328" s="15" t="str">
        <f>image("https://i.imgur.com/O4JVUAY.png")</f>
        <v/>
      </c>
      <c r="C328" s="22" t="str">
        <f>HYPERLINK("https://imgur.com/a/DKz2lfH","No")</f>
        <v>No</v>
      </c>
      <c r="D328" s="36" t="s">
        <v>40</v>
      </c>
      <c r="E328" s="36" t="s">
        <v>40</v>
      </c>
      <c r="F328" s="13">
        <v>8500.0</v>
      </c>
      <c r="G328" s="13">
        <v>2125.0</v>
      </c>
      <c r="H328" s="19">
        <v>9700.0</v>
      </c>
      <c r="I328" s="21" t="s">
        <v>36</v>
      </c>
      <c r="J328" s="21" t="s">
        <v>113</v>
      </c>
      <c r="K328" s="21"/>
      <c r="L328" s="21"/>
      <c r="M328" s="15" t="s">
        <v>106</v>
      </c>
      <c r="N328" s="19"/>
      <c r="O328" s="21" t="s">
        <v>39</v>
      </c>
      <c r="P328" s="15" t="s">
        <v>40</v>
      </c>
      <c r="Q328" s="13" t="s">
        <v>41</v>
      </c>
      <c r="R328" s="13" t="s">
        <v>43</v>
      </c>
      <c r="S328" s="13" t="s">
        <v>44</v>
      </c>
      <c r="T328" s="21" t="s">
        <v>65</v>
      </c>
    </row>
    <row r="329" ht="56.25" customHeight="1">
      <c r="A329" s="21" t="s">
        <v>1611</v>
      </c>
      <c r="B329" s="15" t="str">
        <f>image("https://i.imgur.com/RsHDVJ2.png")</f>
        <v/>
      </c>
      <c r="C329" s="22" t="str">
        <f>HYPERLINK("https://imgur.com/a/M4oY27F","Yes")</f>
        <v>Yes</v>
      </c>
      <c r="D329" s="36" t="s">
        <v>40</v>
      </c>
      <c r="E329" s="36" t="s">
        <v>40</v>
      </c>
      <c r="F329" s="13">
        <v>780.0</v>
      </c>
      <c r="G329" s="13">
        <v>195.0</v>
      </c>
      <c r="H329" s="19">
        <v>725.0</v>
      </c>
      <c r="I329" s="21" t="s">
        <v>161</v>
      </c>
      <c r="J329" s="21"/>
      <c r="K329" s="21"/>
      <c r="L329" s="21" t="s">
        <v>1491</v>
      </c>
      <c r="M329" s="15" t="s">
        <v>38</v>
      </c>
      <c r="N329" s="19">
        <v>1.0</v>
      </c>
      <c r="O329" s="21" t="s">
        <v>39</v>
      </c>
      <c r="P329" s="15" t="s">
        <v>53</v>
      </c>
      <c r="Q329" s="13" t="s">
        <v>164</v>
      </c>
      <c r="R329" s="13" t="s">
        <v>43</v>
      </c>
      <c r="S329" s="13" t="s">
        <v>44</v>
      </c>
      <c r="T329" s="21" t="s">
        <v>63</v>
      </c>
    </row>
    <row r="330" ht="56.25" customHeight="1">
      <c r="A330" s="21" t="s">
        <v>1613</v>
      </c>
      <c r="B330" s="15" t="str">
        <f>image("https://i.imgur.com/XvEQOlO.png")</f>
        <v/>
      </c>
      <c r="C330" s="22" t="str">
        <f>HYPERLINK("https://imgur.com/a/DCh5g6a","Yes")</f>
        <v>Yes</v>
      </c>
      <c r="D330" s="36" t="s">
        <v>40</v>
      </c>
      <c r="E330" s="36" t="s">
        <v>40</v>
      </c>
      <c r="F330" s="24" t="s">
        <v>51</v>
      </c>
      <c r="G330" s="13">
        <v>20000.0</v>
      </c>
      <c r="H330" s="19">
        <v>2352.0</v>
      </c>
      <c r="I330" s="21" t="s">
        <v>90</v>
      </c>
      <c r="J330" s="21"/>
      <c r="K330" s="21"/>
      <c r="L330" s="21"/>
      <c r="M330" s="15" t="s">
        <v>1133</v>
      </c>
      <c r="N330" s="19">
        <v>7.0</v>
      </c>
      <c r="O330" s="21" t="s">
        <v>39</v>
      </c>
      <c r="P330" s="15" t="s">
        <v>53</v>
      </c>
      <c r="Q330" s="13" t="s">
        <v>41</v>
      </c>
      <c r="R330" s="13" t="s">
        <v>54</v>
      </c>
      <c r="S330" s="13" t="s">
        <v>516</v>
      </c>
      <c r="T330" s="21"/>
    </row>
    <row r="331" ht="56.25" customHeight="1">
      <c r="A331" s="21" t="s">
        <v>1617</v>
      </c>
      <c r="B331" s="15" t="str">
        <f>image("https://i.imgur.com/KwAdJ0E.png")</f>
        <v/>
      </c>
      <c r="C331" s="22" t="str">
        <f>HYPERLINK("https://imgur.com/a/vpOlrr4","Yes")</f>
        <v>Yes</v>
      </c>
      <c r="D331" s="36" t="s">
        <v>40</v>
      </c>
      <c r="E331" s="36" t="s">
        <v>40</v>
      </c>
      <c r="F331" s="24" t="s">
        <v>51</v>
      </c>
      <c r="G331" s="13">
        <v>12000.0</v>
      </c>
      <c r="H331" s="19">
        <v>3595.0</v>
      </c>
      <c r="I331" s="21" t="s">
        <v>95</v>
      </c>
      <c r="J331" s="21"/>
      <c r="K331" s="21"/>
      <c r="L331" s="21"/>
      <c r="M331" s="15" t="s">
        <v>38</v>
      </c>
      <c r="N331" s="19">
        <v>7.0</v>
      </c>
      <c r="O331" s="21" t="s">
        <v>39</v>
      </c>
      <c r="P331" s="15" t="s">
        <v>53</v>
      </c>
      <c r="Q331" s="13" t="s">
        <v>41</v>
      </c>
      <c r="R331" s="13" t="s">
        <v>54</v>
      </c>
      <c r="S331" s="13" t="s">
        <v>516</v>
      </c>
      <c r="T331" s="21"/>
    </row>
    <row r="332" ht="56.25" customHeight="1">
      <c r="A332" s="21" t="s">
        <v>1619</v>
      </c>
      <c r="B332" s="15" t="str">
        <f>image("https://i.imgur.com/kjtKGD6.png")</f>
        <v/>
      </c>
      <c r="C332" s="22" t="str">
        <f>HYPERLINK("https://imgur.com/a/QzOJmZj","Yes")</f>
        <v>Yes</v>
      </c>
      <c r="D332" s="36" t="s">
        <v>53</v>
      </c>
      <c r="E332" s="36" t="s">
        <v>53</v>
      </c>
      <c r="F332" s="24" t="s">
        <v>51</v>
      </c>
      <c r="G332" s="13">
        <v>2600.0</v>
      </c>
      <c r="H332" s="19">
        <v>4127.0</v>
      </c>
      <c r="I332" s="21" t="s">
        <v>36</v>
      </c>
      <c r="J332" s="21"/>
      <c r="K332" s="21"/>
      <c r="L332" s="21"/>
      <c r="M332" s="15" t="s">
        <v>38</v>
      </c>
      <c r="N332" s="19">
        <v>4.0</v>
      </c>
      <c r="O332" s="21" t="s">
        <v>39</v>
      </c>
      <c r="P332" s="15" t="s">
        <v>53</v>
      </c>
      <c r="Q332" s="13" t="s">
        <v>41</v>
      </c>
      <c r="R332" s="13" t="s">
        <v>54</v>
      </c>
      <c r="S332" s="13" t="s">
        <v>55</v>
      </c>
      <c r="T332" s="21"/>
    </row>
    <row r="333" ht="56.25" customHeight="1">
      <c r="A333" s="21" t="s">
        <v>1621</v>
      </c>
      <c r="B333" s="15" t="str">
        <f>image("https://i.imgur.com/oShG7QM.png")</f>
        <v/>
      </c>
      <c r="C333" s="22" t="str">
        <f>HYPERLINK("https://imgur.com/a/jWlvntL","Yes")</f>
        <v>Yes</v>
      </c>
      <c r="D333" s="36" t="s">
        <v>53</v>
      </c>
      <c r="E333" s="36" t="s">
        <v>53</v>
      </c>
      <c r="F333" s="24" t="s">
        <v>51</v>
      </c>
      <c r="G333" s="13">
        <v>2720.0</v>
      </c>
      <c r="H333" s="19">
        <v>4546.0</v>
      </c>
      <c r="I333" s="21" t="s">
        <v>36</v>
      </c>
      <c r="J333" s="21"/>
      <c r="K333" s="21"/>
      <c r="L333" s="21"/>
      <c r="M333" s="15" t="s">
        <v>130</v>
      </c>
      <c r="N333" s="19">
        <v>4.0</v>
      </c>
      <c r="O333" s="21" t="s">
        <v>39</v>
      </c>
      <c r="P333" s="15" t="s">
        <v>53</v>
      </c>
      <c r="Q333" s="13" t="s">
        <v>41</v>
      </c>
      <c r="R333" s="13" t="s">
        <v>54</v>
      </c>
      <c r="S333" s="13" t="s">
        <v>55</v>
      </c>
      <c r="T333" s="21"/>
    </row>
    <row r="334" ht="56.25" customHeight="1">
      <c r="A334" s="21" t="s">
        <v>1623</v>
      </c>
      <c r="B334" s="15" t="str">
        <f>image("https://i.imgur.com/2R1FFBX.png")</f>
        <v/>
      </c>
      <c r="C334" s="22" t="str">
        <f>HYPERLINK("https://imgur.com/a/EnGgNrG","Yes")</f>
        <v>Yes</v>
      </c>
      <c r="D334" s="36" t="s">
        <v>53</v>
      </c>
      <c r="E334" s="36" t="s">
        <v>53</v>
      </c>
      <c r="F334" s="24" t="s">
        <v>51</v>
      </c>
      <c r="G334" s="13">
        <v>2600.0</v>
      </c>
      <c r="H334" s="19">
        <v>1263.0</v>
      </c>
      <c r="I334" s="21" t="s">
        <v>36</v>
      </c>
      <c r="J334" s="21"/>
      <c r="K334" s="21"/>
      <c r="L334" s="21"/>
      <c r="M334" s="15" t="s">
        <v>38</v>
      </c>
      <c r="N334" s="19">
        <v>4.0</v>
      </c>
      <c r="O334" s="21" t="s">
        <v>39</v>
      </c>
      <c r="P334" s="15" t="s">
        <v>53</v>
      </c>
      <c r="Q334" s="13" t="s">
        <v>41</v>
      </c>
      <c r="R334" s="13" t="s">
        <v>54</v>
      </c>
      <c r="S334" s="13" t="s">
        <v>55</v>
      </c>
      <c r="T334" s="21"/>
    </row>
    <row r="335" ht="56.25" customHeight="1">
      <c r="A335" s="21" t="s">
        <v>1626</v>
      </c>
      <c r="B335" s="15" t="str">
        <f>image("https://i.imgur.com/cbVuqZ5.png")</f>
        <v/>
      </c>
      <c r="C335" s="22" t="str">
        <f>HYPERLINK("https://imgur.com/a/mXk3om3","Yes")</f>
        <v>Yes</v>
      </c>
      <c r="D335" s="36" t="s">
        <v>40</v>
      </c>
      <c r="E335" s="36" t="s">
        <v>53</v>
      </c>
      <c r="F335" s="13">
        <v>1100.0</v>
      </c>
      <c r="G335" s="13">
        <v>275.0</v>
      </c>
      <c r="H335" s="19">
        <v>7802.0</v>
      </c>
      <c r="I335" s="21" t="s">
        <v>60</v>
      </c>
      <c r="J335" s="21"/>
      <c r="K335" s="21"/>
      <c r="L335" s="21"/>
      <c r="M335" s="15" t="s">
        <v>38</v>
      </c>
      <c r="N335" s="19">
        <v>1.0</v>
      </c>
      <c r="O335" s="21" t="s">
        <v>39</v>
      </c>
      <c r="P335" s="15" t="s">
        <v>53</v>
      </c>
      <c r="Q335" s="13" t="s">
        <v>41</v>
      </c>
      <c r="R335" s="13" t="s">
        <v>43</v>
      </c>
      <c r="S335" s="13" t="s">
        <v>44</v>
      </c>
      <c r="T335" s="21" t="s">
        <v>63</v>
      </c>
    </row>
    <row r="336" ht="56.25" customHeight="1">
      <c r="A336" s="21" t="s">
        <v>1629</v>
      </c>
      <c r="B336" s="15" t="str">
        <f>image("https://i.imgur.com/cuxflp8.png")</f>
        <v/>
      </c>
      <c r="C336" s="22" t="str">
        <f>HYPERLINK("https://imgur.com/a/lMC01OH","Yes")</f>
        <v>Yes</v>
      </c>
      <c r="D336" s="36" t="s">
        <v>40</v>
      </c>
      <c r="E336" s="36" t="s">
        <v>40</v>
      </c>
      <c r="F336" s="24" t="s">
        <v>51</v>
      </c>
      <c r="G336" s="13">
        <v>12000.0</v>
      </c>
      <c r="H336" s="19">
        <v>1185.0</v>
      </c>
      <c r="I336" s="21" t="s">
        <v>80</v>
      </c>
      <c r="J336" s="21" t="s">
        <v>90</v>
      </c>
      <c r="K336" s="21"/>
      <c r="L336" s="21"/>
      <c r="M336" s="15" t="s">
        <v>38</v>
      </c>
      <c r="N336" s="19">
        <v>7.0</v>
      </c>
      <c r="O336" s="21" t="s">
        <v>39</v>
      </c>
      <c r="P336" s="15" t="s">
        <v>53</v>
      </c>
      <c r="Q336" s="13" t="s">
        <v>365</v>
      </c>
      <c r="R336" s="13" t="s">
        <v>54</v>
      </c>
      <c r="S336" s="13" t="s">
        <v>516</v>
      </c>
      <c r="T336" s="21"/>
    </row>
    <row r="337" ht="56.25" customHeight="1">
      <c r="A337" s="21" t="s">
        <v>1631</v>
      </c>
      <c r="B337" s="15" t="str">
        <f>image("https://i.imgur.com/uqOXf23.png")</f>
        <v/>
      </c>
      <c r="C337" s="22" t="str">
        <f>HYPERLINK("https://imgur.com/a/28ZPKdK","Yes")</f>
        <v>Yes</v>
      </c>
      <c r="D337" s="36" t="s">
        <v>40</v>
      </c>
      <c r="E337" s="36" t="s">
        <v>40</v>
      </c>
      <c r="F337" s="13">
        <v>990.0</v>
      </c>
      <c r="G337" s="24">
        <v>247.0</v>
      </c>
      <c r="H337" s="19">
        <v>3681.0</v>
      </c>
      <c r="I337" s="21" t="s">
        <v>52</v>
      </c>
      <c r="J337" s="21"/>
      <c r="K337" s="21"/>
      <c r="L337" s="21"/>
      <c r="M337" s="15" t="s">
        <v>38</v>
      </c>
      <c r="N337" s="19">
        <v>1.0</v>
      </c>
      <c r="O337" s="21" t="s">
        <v>39</v>
      </c>
      <c r="P337" s="15" t="s">
        <v>53</v>
      </c>
      <c r="Q337" s="13" t="s">
        <v>41</v>
      </c>
      <c r="R337" s="13" t="s">
        <v>43</v>
      </c>
      <c r="S337" s="13" t="s">
        <v>44</v>
      </c>
      <c r="T337" s="21" t="s">
        <v>63</v>
      </c>
    </row>
    <row r="338" ht="56.25" customHeight="1">
      <c r="A338" s="21" t="s">
        <v>1633</v>
      </c>
      <c r="B338" s="15" t="str">
        <f>image("https://i.imgur.com/Zz1ESVh.png")</f>
        <v/>
      </c>
      <c r="C338" s="22" t="str">
        <f>HYPERLINK("https://imgur.com/a/3M9sB24","No")</f>
        <v>No</v>
      </c>
      <c r="D338" s="36" t="s">
        <v>53</v>
      </c>
      <c r="E338" s="36" t="s">
        <v>40</v>
      </c>
      <c r="F338" s="24" t="s">
        <v>51</v>
      </c>
      <c r="G338" s="13">
        <v>1300.0</v>
      </c>
      <c r="H338" s="19">
        <v>1023.0</v>
      </c>
      <c r="I338" s="21" t="s">
        <v>95</v>
      </c>
      <c r="J338" s="21"/>
      <c r="K338" s="21"/>
      <c r="L338" s="21"/>
      <c r="M338" s="15" t="s">
        <v>506</v>
      </c>
      <c r="N338" s="19"/>
      <c r="O338" s="21" t="s">
        <v>39</v>
      </c>
      <c r="P338" s="15" t="s">
        <v>53</v>
      </c>
      <c r="Q338" s="13" t="s">
        <v>41</v>
      </c>
      <c r="R338" s="13" t="s">
        <v>54</v>
      </c>
      <c r="S338" s="13" t="s">
        <v>55</v>
      </c>
      <c r="T338" s="21" t="s">
        <v>1181</v>
      </c>
    </row>
    <row r="339" ht="56.25" customHeight="1">
      <c r="A339" s="21" t="s">
        <v>1635</v>
      </c>
      <c r="B339" s="15" t="str">
        <f>image("https://i.imgur.com/iA9au9m.png")</f>
        <v/>
      </c>
      <c r="C339" s="22" t="str">
        <f>HYPERLINK("https://imgur.com/a/l6zQHoU","Yes")</f>
        <v>Yes</v>
      </c>
      <c r="D339" s="36" t="s">
        <v>53</v>
      </c>
      <c r="E339" s="36" t="s">
        <v>53</v>
      </c>
      <c r="F339" s="24" t="s">
        <v>51</v>
      </c>
      <c r="G339" s="13">
        <v>750.0</v>
      </c>
      <c r="H339" s="19">
        <v>7048.0</v>
      </c>
      <c r="I339" s="21" t="s">
        <v>161</v>
      </c>
      <c r="J339" s="21" t="s">
        <v>60</v>
      </c>
      <c r="K339" s="21"/>
      <c r="L339" s="21"/>
      <c r="M339" s="15" t="s">
        <v>38</v>
      </c>
      <c r="N339" s="19">
        <v>2.0</v>
      </c>
      <c r="O339" s="21" t="s">
        <v>39</v>
      </c>
      <c r="P339" s="15" t="s">
        <v>53</v>
      </c>
      <c r="Q339" s="13" t="s">
        <v>41</v>
      </c>
      <c r="R339" s="13" t="s">
        <v>54</v>
      </c>
      <c r="S339" s="13" t="s">
        <v>55</v>
      </c>
      <c r="T339" s="21"/>
    </row>
    <row r="340" ht="56.25" customHeight="1">
      <c r="A340" s="21" t="s">
        <v>1640</v>
      </c>
      <c r="B340" s="15" t="str">
        <f>image("https://i.imgur.com/tNVmlfN.png")</f>
        <v/>
      </c>
      <c r="C340" s="22" t="str">
        <f>HYPERLINK("https://imgur.com/a/AqDjwp1","Yes")</f>
        <v>Yes</v>
      </c>
      <c r="D340" s="36" t="s">
        <v>40</v>
      </c>
      <c r="E340" s="36" t="s">
        <v>40</v>
      </c>
      <c r="F340" s="13">
        <v>2700.0</v>
      </c>
      <c r="G340" s="13">
        <v>675.0</v>
      </c>
      <c r="H340" s="19">
        <v>1087.0</v>
      </c>
      <c r="I340" s="21" t="s">
        <v>90</v>
      </c>
      <c r="J340" s="21" t="s">
        <v>37</v>
      </c>
      <c r="K340" s="21"/>
      <c r="L340" s="21"/>
      <c r="M340" s="15" t="s">
        <v>38</v>
      </c>
      <c r="N340" s="19">
        <v>1.0</v>
      </c>
      <c r="O340" s="21" t="s">
        <v>39</v>
      </c>
      <c r="P340" s="15" t="s">
        <v>53</v>
      </c>
      <c r="Q340" s="13" t="s">
        <v>41</v>
      </c>
      <c r="R340" s="13" t="s">
        <v>43</v>
      </c>
      <c r="S340" s="13" t="s">
        <v>44</v>
      </c>
      <c r="T340" s="21" t="s">
        <v>68</v>
      </c>
    </row>
    <row r="341" ht="56.25" customHeight="1">
      <c r="A341" s="21" t="s">
        <v>1642</v>
      </c>
      <c r="B341" s="15" t="str">
        <f>image("https://i.imgur.com/2bdkrEO.png")</f>
        <v/>
      </c>
      <c r="C341" s="22" t="str">
        <f>HYPERLINK("https://imgur.com/a/xrQ2zXA","No")</f>
        <v>No</v>
      </c>
      <c r="D341" s="36" t="s">
        <v>53</v>
      </c>
      <c r="E341" s="36" t="s">
        <v>40</v>
      </c>
      <c r="F341" s="24" t="s">
        <v>51</v>
      </c>
      <c r="G341" s="13">
        <v>22050.0</v>
      </c>
      <c r="H341" s="19">
        <v>5963.0</v>
      </c>
      <c r="I341" s="21" t="s">
        <v>62</v>
      </c>
      <c r="J341" s="21"/>
      <c r="K341" s="21"/>
      <c r="L341" s="21"/>
      <c r="M341" s="15" t="s">
        <v>38</v>
      </c>
      <c r="N341" s="19"/>
      <c r="O341" s="21" t="s">
        <v>39</v>
      </c>
      <c r="P341" s="15" t="s">
        <v>53</v>
      </c>
      <c r="Q341" s="13" t="s">
        <v>186</v>
      </c>
      <c r="R341" s="13" t="s">
        <v>54</v>
      </c>
      <c r="S341" s="13" t="s">
        <v>55</v>
      </c>
      <c r="T341" s="21"/>
    </row>
    <row r="342" ht="56.25" customHeight="1">
      <c r="A342" s="21" t="s">
        <v>1644</v>
      </c>
      <c r="B342" s="15" t="str">
        <f>image("https://i.imgur.com/LcWc9l1.png")</f>
        <v/>
      </c>
      <c r="C342" s="22" t="str">
        <f>HYPERLINK("https://imgur.com/a/bvGINMT","Yes")</f>
        <v>Yes</v>
      </c>
      <c r="D342" s="36" t="s">
        <v>53</v>
      </c>
      <c r="E342" s="36" t="s">
        <v>53</v>
      </c>
      <c r="F342" s="24" t="s">
        <v>51</v>
      </c>
      <c r="G342" s="13">
        <v>2270.0</v>
      </c>
      <c r="H342" s="19">
        <v>3683.0</v>
      </c>
      <c r="I342" s="21" t="s">
        <v>183</v>
      </c>
      <c r="J342" s="21"/>
      <c r="K342" s="21"/>
      <c r="L342" s="21"/>
      <c r="M342" s="15" t="s">
        <v>38</v>
      </c>
      <c r="N342" s="19">
        <v>4.0</v>
      </c>
      <c r="O342" s="21" t="s">
        <v>39</v>
      </c>
      <c r="P342" s="15" t="s">
        <v>53</v>
      </c>
      <c r="Q342" s="13" t="s">
        <v>41</v>
      </c>
      <c r="R342" s="13" t="s">
        <v>54</v>
      </c>
      <c r="S342" s="13" t="s">
        <v>55</v>
      </c>
      <c r="T342" s="21"/>
    </row>
    <row r="343" ht="56.25" customHeight="1">
      <c r="A343" s="21" t="s">
        <v>1646</v>
      </c>
      <c r="B343" s="15" t="str">
        <f>image("https://i.imgur.com/kXojbFs.png")</f>
        <v/>
      </c>
      <c r="C343" s="22" t="str">
        <f>HYPERLINK("https://imgur.com/a/d1HNrtQ","Yes")</f>
        <v>Yes</v>
      </c>
      <c r="D343" s="36" t="s">
        <v>53</v>
      </c>
      <c r="E343" s="36" t="s">
        <v>53</v>
      </c>
      <c r="F343" s="24" t="s">
        <v>51</v>
      </c>
      <c r="G343" s="13">
        <v>720.0</v>
      </c>
      <c r="H343" s="19">
        <v>3692.0</v>
      </c>
      <c r="I343" s="21" t="s">
        <v>95</v>
      </c>
      <c r="J343" s="21"/>
      <c r="K343" s="21"/>
      <c r="L343" s="21"/>
      <c r="M343" s="15" t="s">
        <v>38</v>
      </c>
      <c r="N343" s="19">
        <v>2.0</v>
      </c>
      <c r="O343" s="21" t="s">
        <v>39</v>
      </c>
      <c r="P343" s="15" t="s">
        <v>40</v>
      </c>
      <c r="Q343" s="13" t="s">
        <v>41</v>
      </c>
      <c r="R343" s="13" t="s">
        <v>54</v>
      </c>
      <c r="S343" s="13" t="s">
        <v>55</v>
      </c>
      <c r="T343" s="21"/>
    </row>
    <row r="344" ht="56.25" customHeight="1">
      <c r="A344" s="21" t="s">
        <v>1650</v>
      </c>
      <c r="B344" s="15" t="str">
        <f>image("https://i.imgur.com/CQAOFqM.png")</f>
        <v/>
      </c>
      <c r="C344" s="22" t="str">
        <f>HYPERLINK("https://imgur.com/a/UWbuq4g","Yes")</f>
        <v>Yes</v>
      </c>
      <c r="D344" s="36" t="s">
        <v>40</v>
      </c>
      <c r="E344" s="36" t="s">
        <v>40</v>
      </c>
      <c r="F344" s="13">
        <v>3100.0</v>
      </c>
      <c r="G344" s="13">
        <v>775.0</v>
      </c>
      <c r="H344" s="19">
        <v>3348.0</v>
      </c>
      <c r="I344" s="21" t="s">
        <v>95</v>
      </c>
      <c r="J344" s="21"/>
      <c r="K344" s="21"/>
      <c r="L344" s="21"/>
      <c r="M344" s="15" t="s">
        <v>106</v>
      </c>
      <c r="N344" s="19">
        <v>2.0</v>
      </c>
      <c r="O344" s="21" t="s">
        <v>39</v>
      </c>
      <c r="P344" s="15" t="s">
        <v>53</v>
      </c>
      <c r="Q344" s="13" t="s">
        <v>41</v>
      </c>
      <c r="R344" s="13" t="s">
        <v>43</v>
      </c>
      <c r="S344" s="13" t="s">
        <v>44</v>
      </c>
      <c r="T344" s="21" t="s">
        <v>65</v>
      </c>
    </row>
    <row r="345" ht="56.25" customHeight="1">
      <c r="A345" s="21" t="s">
        <v>1652</v>
      </c>
      <c r="B345" s="15" t="str">
        <f>image("https://i.imgur.com/XAkkNqv.png")</f>
        <v/>
      </c>
      <c r="C345" s="22" t="str">
        <f>HYPERLINK("https://imgur.com/a/FCSIctF","Yes")</f>
        <v>Yes</v>
      </c>
      <c r="D345" s="36" t="s">
        <v>40</v>
      </c>
      <c r="E345" s="36" t="s">
        <v>40</v>
      </c>
      <c r="F345" s="24" t="s">
        <v>51</v>
      </c>
      <c r="G345" s="13">
        <v>15000.0</v>
      </c>
      <c r="H345" s="19">
        <v>3430.0</v>
      </c>
      <c r="I345" s="21" t="s">
        <v>95</v>
      </c>
      <c r="J345" s="21" t="s">
        <v>113</v>
      </c>
      <c r="K345" s="21"/>
      <c r="L345" s="21"/>
      <c r="M345" s="15" t="s">
        <v>106</v>
      </c>
      <c r="N345" s="19">
        <v>7.0</v>
      </c>
      <c r="O345" s="21" t="s">
        <v>39</v>
      </c>
      <c r="P345" s="15" t="s">
        <v>53</v>
      </c>
      <c r="Q345" s="13" t="s">
        <v>41</v>
      </c>
      <c r="R345" s="13" t="s">
        <v>54</v>
      </c>
      <c r="S345" s="13" t="s">
        <v>516</v>
      </c>
      <c r="T345" s="21"/>
    </row>
    <row r="346" ht="56.25" customHeight="1">
      <c r="A346" s="21" t="s">
        <v>1654</v>
      </c>
      <c r="B346" s="15" t="str">
        <f>image("https://i.imgur.com/NwfwiAq.png")</f>
        <v/>
      </c>
      <c r="C346" s="22" t="str">
        <f>HYPERLINK("https://imgur.com/a/amIfWVE","No")</f>
        <v>No</v>
      </c>
      <c r="D346" s="36" t="s">
        <v>40</v>
      </c>
      <c r="E346" s="36" t="s">
        <v>40</v>
      </c>
      <c r="F346" s="13">
        <v>3400.0</v>
      </c>
      <c r="G346" s="13">
        <v>850.0</v>
      </c>
      <c r="H346" s="19">
        <v>1329.0</v>
      </c>
      <c r="I346" s="21" t="s">
        <v>80</v>
      </c>
      <c r="J346" s="21"/>
      <c r="K346" s="21"/>
      <c r="L346" s="21"/>
      <c r="M346" s="15" t="s">
        <v>38</v>
      </c>
      <c r="N346" s="19"/>
      <c r="O346" s="21" t="s">
        <v>39</v>
      </c>
      <c r="P346" s="15" t="s">
        <v>40</v>
      </c>
      <c r="Q346" s="13" t="s">
        <v>41</v>
      </c>
      <c r="R346" s="13" t="s">
        <v>43</v>
      </c>
      <c r="S346" s="13" t="s">
        <v>44</v>
      </c>
      <c r="T346" s="21" t="s">
        <v>68</v>
      </c>
    </row>
    <row r="347" ht="56.25" customHeight="1">
      <c r="A347" s="21" t="s">
        <v>1656</v>
      </c>
      <c r="B347" s="15" t="str">
        <f>image("https://i.imgur.com/lyQDygJ.png")</f>
        <v/>
      </c>
      <c r="C347" s="22" t="str">
        <f>HYPERLINK("https://imgur.com/a/kepTjv9","Yes")</f>
        <v>Yes</v>
      </c>
      <c r="D347" s="36" t="s">
        <v>53</v>
      </c>
      <c r="E347" s="36" t="s">
        <v>53</v>
      </c>
      <c r="F347" s="24" t="s">
        <v>51</v>
      </c>
      <c r="G347" s="13">
        <v>1500.0</v>
      </c>
      <c r="H347" s="19">
        <v>7393.0</v>
      </c>
      <c r="I347" s="21" t="s">
        <v>161</v>
      </c>
      <c r="J347" s="21" t="s">
        <v>95</v>
      </c>
      <c r="K347" s="21"/>
      <c r="L347" s="21"/>
      <c r="M347" s="15" t="s">
        <v>130</v>
      </c>
      <c r="N347" s="19">
        <v>2.0</v>
      </c>
      <c r="O347" s="21" t="s">
        <v>39</v>
      </c>
      <c r="P347" s="15" t="s">
        <v>40</v>
      </c>
      <c r="Q347" s="13" t="s">
        <v>41</v>
      </c>
      <c r="R347" s="13" t="s">
        <v>54</v>
      </c>
      <c r="S347" s="13" t="s">
        <v>55</v>
      </c>
      <c r="T347" s="21"/>
    </row>
    <row r="348" ht="56.25" customHeight="1">
      <c r="A348" s="21" t="s">
        <v>1658</v>
      </c>
      <c r="B348" s="15" t="str">
        <f>image("https://i.imgur.com/gopg0Q5.png")</f>
        <v/>
      </c>
      <c r="C348" s="22" t="str">
        <f>HYPERLINK("https://imgur.com/a/A5yOTxG","Yes")</f>
        <v>Yes</v>
      </c>
      <c r="D348" s="36" t="s">
        <v>40</v>
      </c>
      <c r="E348" s="36" t="s">
        <v>40</v>
      </c>
      <c r="F348" s="24" t="s">
        <v>51</v>
      </c>
      <c r="G348" s="13">
        <v>25000.0</v>
      </c>
      <c r="H348" s="19">
        <v>3596.0</v>
      </c>
      <c r="I348" s="21" t="s">
        <v>156</v>
      </c>
      <c r="J348" s="21" t="s">
        <v>62</v>
      </c>
      <c r="K348" s="21"/>
      <c r="L348" s="21"/>
      <c r="M348" s="15" t="s">
        <v>1133</v>
      </c>
      <c r="N348" s="19">
        <v>7.0</v>
      </c>
      <c r="O348" s="21" t="s">
        <v>39</v>
      </c>
      <c r="P348" s="15" t="s">
        <v>40</v>
      </c>
      <c r="Q348" s="13" t="s">
        <v>41</v>
      </c>
      <c r="R348" s="13" t="s">
        <v>54</v>
      </c>
      <c r="S348" s="13" t="s">
        <v>516</v>
      </c>
      <c r="T348" s="21"/>
    </row>
    <row r="349" ht="56.25" customHeight="1">
      <c r="A349" s="21" t="s">
        <v>1660</v>
      </c>
      <c r="B349" s="15" t="str">
        <f>image("https://i.imgur.com/mOfHnrh.png")</f>
        <v/>
      </c>
      <c r="C349" s="22" t="str">
        <f>HYPERLINK("https://imgur.com/a/3ZJ6nFA","Yes")</f>
        <v>Yes</v>
      </c>
      <c r="D349" s="36" t="s">
        <v>40</v>
      </c>
      <c r="E349" s="36" t="s">
        <v>40</v>
      </c>
      <c r="F349" s="13">
        <v>3400.0</v>
      </c>
      <c r="G349" s="13">
        <v>850.0</v>
      </c>
      <c r="H349" s="19">
        <v>4102.0</v>
      </c>
      <c r="I349" s="21" t="s">
        <v>84</v>
      </c>
      <c r="J349" s="21" t="s">
        <v>62</v>
      </c>
      <c r="K349" s="21"/>
      <c r="L349" s="21"/>
      <c r="M349" s="15" t="s">
        <v>130</v>
      </c>
      <c r="N349" s="19">
        <v>2.0</v>
      </c>
      <c r="O349" s="21" t="s">
        <v>39</v>
      </c>
      <c r="P349" s="15" t="s">
        <v>53</v>
      </c>
      <c r="Q349" s="13" t="s">
        <v>41</v>
      </c>
      <c r="R349" s="13" t="s">
        <v>43</v>
      </c>
      <c r="S349" s="13" t="s">
        <v>44</v>
      </c>
      <c r="T349" s="21" t="s">
        <v>68</v>
      </c>
    </row>
    <row r="350" ht="56.25" customHeight="1">
      <c r="A350" s="21" t="s">
        <v>1662</v>
      </c>
      <c r="B350" s="15" t="str">
        <f>image("https://i.imgur.com/wZmeQvI.png")</f>
        <v/>
      </c>
      <c r="C350" s="22" t="str">
        <f>HYPERLINK("https://imgur.com/a/IJuvVzn","Yes")</f>
        <v>Yes</v>
      </c>
      <c r="D350" s="36" t="s">
        <v>40</v>
      </c>
      <c r="E350" s="36" t="s">
        <v>40</v>
      </c>
      <c r="F350" s="13">
        <v>4900.0</v>
      </c>
      <c r="G350" s="13">
        <v>1225.0</v>
      </c>
      <c r="H350" s="19">
        <v>1092.0</v>
      </c>
      <c r="I350" s="21" t="s">
        <v>90</v>
      </c>
      <c r="J350" s="21" t="s">
        <v>212</v>
      </c>
      <c r="K350" s="21"/>
      <c r="L350" s="21"/>
      <c r="M350" s="15" t="s">
        <v>38</v>
      </c>
      <c r="N350" s="19">
        <v>2.0</v>
      </c>
      <c r="O350" s="21" t="s">
        <v>39</v>
      </c>
      <c r="P350" s="15" t="s">
        <v>53</v>
      </c>
      <c r="Q350" s="13" t="s">
        <v>41</v>
      </c>
      <c r="R350" s="13" t="s">
        <v>43</v>
      </c>
      <c r="S350" s="13" t="s">
        <v>44</v>
      </c>
      <c r="T350" s="21" t="s">
        <v>63</v>
      </c>
    </row>
    <row r="351" ht="56.25" customHeight="1">
      <c r="A351" s="21" t="s">
        <v>1665</v>
      </c>
      <c r="B351" s="15" t="str">
        <f>image("https://i.imgur.com/ZPG4I4a.png")</f>
        <v/>
      </c>
      <c r="C351" s="22" t="str">
        <f>HYPERLINK("https://imgur.com/a/jKohPkh","Yes")</f>
        <v>Yes</v>
      </c>
      <c r="D351" s="36" t="s">
        <v>40</v>
      </c>
      <c r="E351" s="36" t="s">
        <v>40</v>
      </c>
      <c r="F351" s="24" t="s">
        <v>51</v>
      </c>
      <c r="G351" s="13">
        <v>5000.0</v>
      </c>
      <c r="H351" s="19">
        <v>1234.0</v>
      </c>
      <c r="I351" s="21" t="s">
        <v>183</v>
      </c>
      <c r="J351" s="21" t="s">
        <v>90</v>
      </c>
      <c r="K351" s="21"/>
      <c r="L351" s="21"/>
      <c r="M351" s="15" t="s">
        <v>38</v>
      </c>
      <c r="N351" s="19">
        <v>7.0</v>
      </c>
      <c r="O351" s="21" t="s">
        <v>39</v>
      </c>
      <c r="P351" s="15" t="s">
        <v>40</v>
      </c>
      <c r="Q351" s="13" t="s">
        <v>41</v>
      </c>
      <c r="R351" s="13" t="s">
        <v>54</v>
      </c>
      <c r="S351" s="13" t="s">
        <v>516</v>
      </c>
      <c r="T351" s="21"/>
    </row>
    <row r="352" ht="56.25" customHeight="1">
      <c r="A352" s="21" t="s">
        <v>1667</v>
      </c>
      <c r="B352" s="15" t="str">
        <f>image("https://i.imgur.com/tq7QPFd.png")</f>
        <v/>
      </c>
      <c r="C352" s="22" t="str">
        <f>HYPERLINK("https://imgur.com/a/whUweH6","Yes")</f>
        <v>Yes</v>
      </c>
      <c r="D352" s="36" t="s">
        <v>40</v>
      </c>
      <c r="E352" s="36" t="s">
        <v>40</v>
      </c>
      <c r="F352" s="24" t="s">
        <v>51</v>
      </c>
      <c r="G352" s="13">
        <v>10000.0</v>
      </c>
      <c r="H352" s="19">
        <v>3346.0</v>
      </c>
      <c r="I352" s="21" t="s">
        <v>90</v>
      </c>
      <c r="J352" s="21"/>
      <c r="K352" s="21"/>
      <c r="L352" s="21"/>
      <c r="M352" s="15" t="s">
        <v>130</v>
      </c>
      <c r="N352" s="19">
        <v>7.0</v>
      </c>
      <c r="O352" s="21" t="s">
        <v>39</v>
      </c>
      <c r="P352" s="15" t="s">
        <v>53</v>
      </c>
      <c r="Q352" s="13" t="s">
        <v>41</v>
      </c>
      <c r="R352" s="13" t="s">
        <v>54</v>
      </c>
      <c r="S352" s="13" t="s">
        <v>516</v>
      </c>
      <c r="T352" s="21"/>
    </row>
    <row r="353" ht="56.25" customHeight="1">
      <c r="A353" s="21" t="s">
        <v>1670</v>
      </c>
      <c r="B353" s="15" t="str">
        <f>image("https://i.imgur.com/2NcpD96.png")</f>
        <v/>
      </c>
      <c r="C353" s="22" t="str">
        <f>HYPERLINK("https://imgur.com/a/Lujxb8P","Yes")</f>
        <v>Yes</v>
      </c>
      <c r="D353" s="36" t="s">
        <v>40</v>
      </c>
      <c r="E353" s="36" t="s">
        <v>40</v>
      </c>
      <c r="F353" s="13">
        <v>4800.0</v>
      </c>
      <c r="G353" s="13">
        <v>1200.0</v>
      </c>
      <c r="H353" s="19">
        <v>7845.0</v>
      </c>
      <c r="I353" s="21" t="s">
        <v>156</v>
      </c>
      <c r="J353" s="21"/>
      <c r="K353" s="21"/>
      <c r="L353" s="21"/>
      <c r="M353" s="15" t="s">
        <v>38</v>
      </c>
      <c r="N353" s="19">
        <v>2.0</v>
      </c>
      <c r="O353" s="21" t="s">
        <v>39</v>
      </c>
      <c r="P353" s="15" t="s">
        <v>40</v>
      </c>
      <c r="Q353" s="13" t="s">
        <v>41</v>
      </c>
      <c r="R353" s="13" t="s">
        <v>43</v>
      </c>
      <c r="S353" s="13" t="s">
        <v>44</v>
      </c>
      <c r="T353" s="21" t="s">
        <v>68</v>
      </c>
    </row>
    <row r="354" ht="56.25" customHeight="1">
      <c r="A354" s="35" t="s">
        <v>1673</v>
      </c>
      <c r="B354" s="15" t="str">
        <f>image("https://i.imgur.com/tjA3FWW.png")</f>
        <v/>
      </c>
      <c r="C354" s="22" t="str">
        <f>HYPERLINK("https://imgur.com/a/JV6jAq7","Yes")</f>
        <v>Yes</v>
      </c>
      <c r="D354" s="36" t="s">
        <v>40</v>
      </c>
      <c r="E354" s="36" t="s">
        <v>40</v>
      </c>
      <c r="F354" s="13">
        <v>3800.0</v>
      </c>
      <c r="G354" s="13">
        <v>950.0</v>
      </c>
      <c r="H354" s="19">
        <v>4013.0</v>
      </c>
      <c r="I354" s="21" t="s">
        <v>156</v>
      </c>
      <c r="J354" s="21"/>
      <c r="K354" s="21"/>
      <c r="L354" s="21"/>
      <c r="M354" s="15" t="s">
        <v>38</v>
      </c>
      <c r="N354" s="19">
        <v>2.0</v>
      </c>
      <c r="O354" s="21" t="s">
        <v>39</v>
      </c>
      <c r="P354" s="15" t="s">
        <v>53</v>
      </c>
      <c r="Q354" s="13" t="s">
        <v>41</v>
      </c>
      <c r="R354" s="13" t="s">
        <v>43</v>
      </c>
      <c r="S354" s="13" t="s">
        <v>44</v>
      </c>
      <c r="T354" s="21" t="s">
        <v>63</v>
      </c>
    </row>
    <row r="355" ht="56.25" customHeight="1">
      <c r="A355" s="21" t="s">
        <v>1675</v>
      </c>
      <c r="B355" s="15" t="str">
        <f>image("https://i.imgur.com/bDXf4iy.png")</f>
        <v/>
      </c>
      <c r="C355" s="22" t="str">
        <f>HYPERLINK("https://imgur.com/a/72SO5pT","No")</f>
        <v>No</v>
      </c>
      <c r="D355" s="36" t="s">
        <v>40</v>
      </c>
      <c r="E355" s="36" t="s">
        <v>40</v>
      </c>
      <c r="F355" s="24" t="s">
        <v>51</v>
      </c>
      <c r="G355" s="13">
        <v>2300.0</v>
      </c>
      <c r="H355" s="19">
        <v>8608.0</v>
      </c>
      <c r="I355" s="21" t="s">
        <v>284</v>
      </c>
      <c r="J355" s="21"/>
      <c r="K355" s="21"/>
      <c r="L355" s="21"/>
      <c r="M355" s="15" t="s">
        <v>1133</v>
      </c>
      <c r="N355" s="19"/>
      <c r="O355" s="21" t="s">
        <v>39</v>
      </c>
      <c r="P355" s="15" t="s">
        <v>40</v>
      </c>
      <c r="Q355" s="13" t="s">
        <v>41</v>
      </c>
      <c r="R355" s="13" t="s">
        <v>54</v>
      </c>
      <c r="S355" s="13" t="s">
        <v>574</v>
      </c>
      <c r="T355" s="21"/>
    </row>
    <row r="356" ht="56.25" customHeight="1">
      <c r="A356" s="21" t="s">
        <v>1678</v>
      </c>
      <c r="B356" s="15" t="str">
        <f>image("https://i.imgur.com/gLvWwSG.png")</f>
        <v/>
      </c>
      <c r="C356" s="22" t="str">
        <f>HYPERLINK("https://imgur.com/a/9SfLWKt","No")</f>
        <v>No</v>
      </c>
      <c r="D356" s="36" t="s">
        <v>53</v>
      </c>
      <c r="E356" s="36" t="s">
        <v>40</v>
      </c>
      <c r="F356" s="24" t="s">
        <v>51</v>
      </c>
      <c r="G356" s="13">
        <v>1200.0</v>
      </c>
      <c r="H356" s="19">
        <v>7452.0</v>
      </c>
      <c r="I356" s="21" t="s">
        <v>161</v>
      </c>
      <c r="J356" s="21"/>
      <c r="K356" s="21"/>
      <c r="L356" s="21"/>
      <c r="M356" s="15" t="s">
        <v>38</v>
      </c>
      <c r="N356" s="19"/>
      <c r="O356" s="21" t="s">
        <v>39</v>
      </c>
      <c r="P356" s="15" t="s">
        <v>40</v>
      </c>
      <c r="Q356" s="13" t="s">
        <v>41</v>
      </c>
      <c r="R356" s="13" t="s">
        <v>54</v>
      </c>
      <c r="S356" s="13" t="s">
        <v>55</v>
      </c>
      <c r="T356" s="21"/>
    </row>
    <row r="357" ht="56.25" customHeight="1">
      <c r="A357" s="21" t="s">
        <v>1682</v>
      </c>
      <c r="B357" s="15" t="str">
        <f>image("https://i.imgur.com/V632eun.png")</f>
        <v/>
      </c>
      <c r="C357" s="22" t="str">
        <f>HYPERLINK("https://imgur.com/a/ef8LIJs","Yes")</f>
        <v>Yes</v>
      </c>
      <c r="D357" s="36" t="s">
        <v>40</v>
      </c>
      <c r="E357" s="36" t="s">
        <v>40</v>
      </c>
      <c r="F357" s="13">
        <v>3200.0</v>
      </c>
      <c r="G357" s="13">
        <v>800.0</v>
      </c>
      <c r="H357" s="19">
        <v>4053.0</v>
      </c>
      <c r="I357" s="21" t="s">
        <v>60</v>
      </c>
      <c r="J357" s="21"/>
      <c r="K357" s="21" t="s">
        <v>1401</v>
      </c>
      <c r="L357" s="21"/>
      <c r="M357" s="15" t="s">
        <v>38</v>
      </c>
      <c r="N357" s="19">
        <v>2.0</v>
      </c>
      <c r="O357" s="21" t="s">
        <v>39</v>
      </c>
      <c r="P357" s="15" t="s">
        <v>53</v>
      </c>
      <c r="Q357" s="13" t="s">
        <v>41</v>
      </c>
      <c r="R357" s="13" t="s">
        <v>43</v>
      </c>
      <c r="S357" s="13" t="s">
        <v>44</v>
      </c>
      <c r="T357" s="21" t="s">
        <v>68</v>
      </c>
    </row>
    <row r="358" ht="56.25" customHeight="1">
      <c r="A358" s="21" t="s">
        <v>1684</v>
      </c>
      <c r="B358" s="15" t="str">
        <f>image("https://i.imgur.com/3XrbZZl.png")</f>
        <v/>
      </c>
      <c r="C358" s="22" t="str">
        <f>HYPERLINK("https://imgur.com/a/HCm6Ga1","Yes")</f>
        <v>Yes</v>
      </c>
      <c r="D358" s="36" t="s">
        <v>40</v>
      </c>
      <c r="E358" s="36" t="s">
        <v>40</v>
      </c>
      <c r="F358" s="13">
        <v>7200.0</v>
      </c>
      <c r="G358" s="13">
        <v>1800.0</v>
      </c>
      <c r="H358" s="19">
        <v>4052.0</v>
      </c>
      <c r="I358" s="21" t="s">
        <v>60</v>
      </c>
      <c r="J358" s="21"/>
      <c r="K358" s="21" t="s">
        <v>1401</v>
      </c>
      <c r="L358" s="21"/>
      <c r="M358" s="15" t="s">
        <v>106</v>
      </c>
      <c r="N358" s="19">
        <v>3.0</v>
      </c>
      <c r="O358" s="21" t="s">
        <v>39</v>
      </c>
      <c r="P358" s="15" t="s">
        <v>53</v>
      </c>
      <c r="Q358" s="13" t="s">
        <v>41</v>
      </c>
      <c r="R358" s="13" t="s">
        <v>43</v>
      </c>
      <c r="S358" s="13" t="s">
        <v>44</v>
      </c>
      <c r="T358" s="21" t="s">
        <v>65</v>
      </c>
    </row>
    <row r="359" ht="56.25" customHeight="1">
      <c r="A359" s="21" t="s">
        <v>1687</v>
      </c>
      <c r="B359" s="15" t="str">
        <f>image("https://i.imgur.com/lW0It3i.png")</f>
        <v/>
      </c>
      <c r="C359" s="22" t="str">
        <f>HYPERLINK("https://imgur.com/a/D68Z9fF","Yes")</f>
        <v>Yes</v>
      </c>
      <c r="D359" s="36" t="s">
        <v>40</v>
      </c>
      <c r="E359" s="36" t="s">
        <v>40</v>
      </c>
      <c r="F359" s="13">
        <v>4300.0</v>
      </c>
      <c r="G359" s="13">
        <v>1075.0</v>
      </c>
      <c r="H359" s="19">
        <v>4046.0</v>
      </c>
      <c r="I359" s="21" t="s">
        <v>60</v>
      </c>
      <c r="J359" s="21"/>
      <c r="K359" s="21" t="s">
        <v>1401</v>
      </c>
      <c r="L359" s="21"/>
      <c r="M359" s="15" t="s">
        <v>38</v>
      </c>
      <c r="N359" s="19">
        <v>2.0</v>
      </c>
      <c r="O359" s="21" t="s">
        <v>39</v>
      </c>
      <c r="P359" s="15" t="s">
        <v>40</v>
      </c>
      <c r="Q359" s="13" t="s">
        <v>41</v>
      </c>
      <c r="R359" s="13" t="s">
        <v>43</v>
      </c>
      <c r="S359" s="13" t="s">
        <v>44</v>
      </c>
      <c r="T359" s="21" t="s">
        <v>68</v>
      </c>
    </row>
    <row r="360" ht="56.25" customHeight="1">
      <c r="A360" s="21" t="s">
        <v>1690</v>
      </c>
      <c r="B360" s="15" t="str">
        <f>image("https://i.imgur.com/X9LTiTn.png")</f>
        <v/>
      </c>
      <c r="C360" s="22" t="str">
        <f>HYPERLINK("https://imgur.com/a/lWaYRE0","Yes")</f>
        <v>Yes</v>
      </c>
      <c r="D360" s="36" t="s">
        <v>40</v>
      </c>
      <c r="E360" s="36" t="s">
        <v>40</v>
      </c>
      <c r="F360" s="13">
        <v>2900.0</v>
      </c>
      <c r="G360" s="13">
        <v>725.0</v>
      </c>
      <c r="H360" s="19">
        <v>4054.0</v>
      </c>
      <c r="I360" s="21" t="s">
        <v>60</v>
      </c>
      <c r="J360" s="21"/>
      <c r="K360" s="21" t="s">
        <v>1401</v>
      </c>
      <c r="L360" s="21"/>
      <c r="M360" s="15" t="s">
        <v>130</v>
      </c>
      <c r="N360" s="19">
        <v>1.0</v>
      </c>
      <c r="O360" s="21" t="s">
        <v>39</v>
      </c>
      <c r="P360" s="15" t="s">
        <v>40</v>
      </c>
      <c r="Q360" s="13" t="s">
        <v>41</v>
      </c>
      <c r="R360" s="13" t="s">
        <v>43</v>
      </c>
      <c r="S360" s="13" t="s">
        <v>44</v>
      </c>
      <c r="T360" s="21" t="s">
        <v>68</v>
      </c>
    </row>
    <row r="361" ht="56.25" customHeight="1">
      <c r="A361" s="21" t="s">
        <v>1693</v>
      </c>
      <c r="B361" s="15" t="str">
        <f>image("https://i.imgur.com/aLRfQXB.png")</f>
        <v/>
      </c>
      <c r="C361" s="22" t="str">
        <f>HYPERLINK("https://imgur.com/a/iGBFioX","Yes")</f>
        <v>Yes</v>
      </c>
      <c r="D361" s="36" t="s">
        <v>40</v>
      </c>
      <c r="E361" s="36" t="s">
        <v>40</v>
      </c>
      <c r="F361" s="13">
        <v>2900.0</v>
      </c>
      <c r="G361" s="13">
        <v>725.0</v>
      </c>
      <c r="H361" s="19">
        <v>4047.0</v>
      </c>
      <c r="I361" s="21" t="s">
        <v>60</v>
      </c>
      <c r="J361" s="21"/>
      <c r="K361" s="21" t="s">
        <v>1401</v>
      </c>
      <c r="L361" s="21"/>
      <c r="M361" s="15" t="s">
        <v>38</v>
      </c>
      <c r="N361" s="19">
        <v>1.0</v>
      </c>
      <c r="O361" s="21" t="s">
        <v>39</v>
      </c>
      <c r="P361" s="15" t="s">
        <v>53</v>
      </c>
      <c r="Q361" s="13" t="s">
        <v>41</v>
      </c>
      <c r="R361" s="13" t="s">
        <v>43</v>
      </c>
      <c r="S361" s="13" t="s">
        <v>44</v>
      </c>
      <c r="T361" s="21" t="s">
        <v>68</v>
      </c>
    </row>
    <row r="362" ht="56.25" customHeight="1">
      <c r="A362" s="21" t="s">
        <v>1696</v>
      </c>
      <c r="B362" s="15" t="str">
        <f>image("https://i.imgur.com/DMpu4Fv.png")</f>
        <v/>
      </c>
      <c r="C362" s="22" t="str">
        <f>HYPERLINK("https://imgur.com/a/Er8IsEU","Yes")</f>
        <v>Yes</v>
      </c>
      <c r="D362" s="36" t="s">
        <v>40</v>
      </c>
      <c r="E362" s="36" t="s">
        <v>40</v>
      </c>
      <c r="F362" s="13">
        <v>5900.0</v>
      </c>
      <c r="G362" s="13">
        <v>1475.0</v>
      </c>
      <c r="H362" s="19">
        <v>4051.0</v>
      </c>
      <c r="I362" s="21" t="s">
        <v>60</v>
      </c>
      <c r="J362" s="21"/>
      <c r="K362" s="21" t="s">
        <v>1401</v>
      </c>
      <c r="L362" s="21"/>
      <c r="M362" s="15" t="s">
        <v>38</v>
      </c>
      <c r="N362" s="19">
        <v>2.0</v>
      </c>
      <c r="O362" s="21" t="s">
        <v>39</v>
      </c>
      <c r="P362" s="15" t="s">
        <v>53</v>
      </c>
      <c r="Q362" s="13" t="s">
        <v>41</v>
      </c>
      <c r="R362" s="13" t="s">
        <v>43</v>
      </c>
      <c r="S362" s="13" t="s">
        <v>44</v>
      </c>
      <c r="T362" s="21" t="s">
        <v>68</v>
      </c>
    </row>
    <row r="363" ht="56.25" customHeight="1">
      <c r="A363" s="21" t="s">
        <v>1698</v>
      </c>
      <c r="B363" s="15" t="str">
        <f>image("https://i.imgur.com/oqC9r9v.png")</f>
        <v/>
      </c>
      <c r="C363" s="22" t="str">
        <f>HYPERLINK("https://imgur.com/a/b3CBOBn","Yes")</f>
        <v>Yes</v>
      </c>
      <c r="D363" s="36" t="s">
        <v>40</v>
      </c>
      <c r="E363" s="36" t="s">
        <v>40</v>
      </c>
      <c r="F363" s="13">
        <v>6900.0</v>
      </c>
      <c r="G363" s="13">
        <v>1725.0</v>
      </c>
      <c r="H363" s="19">
        <v>4049.0</v>
      </c>
      <c r="I363" s="21" t="s">
        <v>60</v>
      </c>
      <c r="J363" s="21"/>
      <c r="K363" s="21" t="s">
        <v>1401</v>
      </c>
      <c r="L363" s="21"/>
      <c r="M363" s="15" t="s">
        <v>38</v>
      </c>
      <c r="N363" s="19">
        <v>3.0</v>
      </c>
      <c r="O363" s="21" t="s">
        <v>39</v>
      </c>
      <c r="P363" s="15" t="s">
        <v>53</v>
      </c>
      <c r="Q363" s="13" t="s">
        <v>41</v>
      </c>
      <c r="R363" s="13" t="s">
        <v>43</v>
      </c>
      <c r="S363" s="13" t="s">
        <v>44</v>
      </c>
      <c r="T363" s="21" t="s">
        <v>68</v>
      </c>
    </row>
    <row r="364" ht="56.25" customHeight="1">
      <c r="A364" s="21" t="s">
        <v>1701</v>
      </c>
      <c r="B364" s="15" t="str">
        <f>image("https://i.imgur.com/5a1H5uI.png")</f>
        <v/>
      </c>
      <c r="C364" s="22" t="str">
        <f>HYPERLINK("https://imgur.com/a/1gdRSyG","Yes")</f>
        <v>Yes</v>
      </c>
      <c r="D364" s="36" t="s">
        <v>40</v>
      </c>
      <c r="E364" s="36" t="s">
        <v>40</v>
      </c>
      <c r="F364" s="13">
        <v>1000.0</v>
      </c>
      <c r="G364" s="13">
        <v>250.0</v>
      </c>
      <c r="H364" s="19">
        <v>4045.0</v>
      </c>
      <c r="I364" s="21" t="s">
        <v>60</v>
      </c>
      <c r="J364" s="21"/>
      <c r="K364" s="21" t="s">
        <v>1401</v>
      </c>
      <c r="L364" s="21"/>
      <c r="M364" s="15" t="s">
        <v>38</v>
      </c>
      <c r="N364" s="19">
        <v>1.0</v>
      </c>
      <c r="O364" s="21" t="s">
        <v>39</v>
      </c>
      <c r="P364" s="15" t="s">
        <v>53</v>
      </c>
      <c r="Q364" s="13" t="s">
        <v>41</v>
      </c>
      <c r="R364" s="13" t="s">
        <v>43</v>
      </c>
      <c r="S364" s="13" t="s">
        <v>44</v>
      </c>
      <c r="T364" s="21" t="s">
        <v>68</v>
      </c>
    </row>
    <row r="365" ht="56.25" customHeight="1">
      <c r="A365" s="21" t="s">
        <v>1704</v>
      </c>
      <c r="B365" s="15" t="str">
        <f>image("https://i.imgur.com/whwSWoq.png")</f>
        <v/>
      </c>
      <c r="C365" s="22" t="str">
        <f>HYPERLINK("https://imgur.com/a/tiuUbqZ","Yes")</f>
        <v>Yes</v>
      </c>
      <c r="D365" s="36" t="s">
        <v>40</v>
      </c>
      <c r="E365" s="36" t="s">
        <v>40</v>
      </c>
      <c r="F365" s="13">
        <v>6100.0</v>
      </c>
      <c r="G365" s="13">
        <v>1525.0</v>
      </c>
      <c r="H365" s="19">
        <v>7151.0</v>
      </c>
      <c r="I365" s="21" t="s">
        <v>156</v>
      </c>
      <c r="J365" s="21"/>
      <c r="K365" s="21"/>
      <c r="L365" s="21"/>
      <c r="M365" s="15" t="s">
        <v>106</v>
      </c>
      <c r="N365" s="19">
        <v>3.0</v>
      </c>
      <c r="O365" s="21" t="s">
        <v>39</v>
      </c>
      <c r="P365" s="15" t="s">
        <v>53</v>
      </c>
      <c r="Q365" s="13" t="s">
        <v>41</v>
      </c>
      <c r="R365" s="13" t="s">
        <v>43</v>
      </c>
      <c r="S365" s="13" t="s">
        <v>44</v>
      </c>
      <c r="T365" s="21" t="s">
        <v>65</v>
      </c>
    </row>
    <row r="366" ht="56.25" customHeight="1">
      <c r="A366" s="21" t="s">
        <v>1706</v>
      </c>
      <c r="B366" s="15" t="str">
        <f>image("https://i.imgur.com/tEscH6e.png")</f>
        <v/>
      </c>
      <c r="C366" s="22" t="str">
        <f>HYPERLINK("https://imgur.com/a/9pitkFM","No")</f>
        <v>No</v>
      </c>
      <c r="D366" s="36" t="s">
        <v>53</v>
      </c>
      <c r="E366" s="36" t="s">
        <v>40</v>
      </c>
      <c r="F366" s="24" t="s">
        <v>51</v>
      </c>
      <c r="G366" s="13">
        <v>1280.0</v>
      </c>
      <c r="H366" s="19">
        <v>4271.0</v>
      </c>
      <c r="I366" s="21" t="s">
        <v>95</v>
      </c>
      <c r="J366" s="21"/>
      <c r="K366" s="21"/>
      <c r="L366" s="21"/>
      <c r="M366" s="15" t="s">
        <v>506</v>
      </c>
      <c r="N366" s="19"/>
      <c r="O366" s="21" t="s">
        <v>39</v>
      </c>
      <c r="P366" s="15" t="s">
        <v>53</v>
      </c>
      <c r="Q366" s="13" t="s">
        <v>41</v>
      </c>
      <c r="R366" s="13" t="s">
        <v>54</v>
      </c>
      <c r="S366" s="13" t="s">
        <v>55</v>
      </c>
      <c r="T366" s="21" t="s">
        <v>1442</v>
      </c>
    </row>
    <row r="367" ht="56.25" customHeight="1">
      <c r="A367" s="21" t="s">
        <v>1708</v>
      </c>
      <c r="B367" s="15" t="str">
        <f>image("https://i.imgur.com/iozskdx.png")</f>
        <v/>
      </c>
      <c r="C367" s="22" t="str">
        <f>HYPERLINK("https://imgur.com/a/dTDhOCG","Yes")</f>
        <v>Yes</v>
      </c>
      <c r="D367" s="36" t="s">
        <v>40</v>
      </c>
      <c r="E367" s="36" t="s">
        <v>40</v>
      </c>
      <c r="F367" s="13">
        <v>5100.0</v>
      </c>
      <c r="G367" s="13">
        <v>1275.0</v>
      </c>
      <c r="H367" s="19">
        <v>2713.0</v>
      </c>
      <c r="I367" s="21" t="s">
        <v>86</v>
      </c>
      <c r="J367" s="21" t="s">
        <v>37</v>
      </c>
      <c r="K367" s="21"/>
      <c r="L367" s="21"/>
      <c r="M367" s="15" t="s">
        <v>38</v>
      </c>
      <c r="N367" s="19">
        <v>2.0</v>
      </c>
      <c r="O367" s="21" t="s">
        <v>39</v>
      </c>
      <c r="P367" s="15" t="s">
        <v>53</v>
      </c>
      <c r="Q367" s="13" t="s">
        <v>41</v>
      </c>
      <c r="R367" s="13" t="s">
        <v>43</v>
      </c>
      <c r="S367" s="13" t="s">
        <v>44</v>
      </c>
      <c r="T367" s="21" t="s">
        <v>68</v>
      </c>
    </row>
    <row r="368" ht="56.25" customHeight="1">
      <c r="A368" s="21" t="s">
        <v>1712</v>
      </c>
      <c r="B368" s="15" t="str">
        <f>image("https://i.imgur.com/pr1LcPP.png")</f>
        <v/>
      </c>
      <c r="C368" s="22" t="str">
        <f>HYPERLINK("https://imgur.com/a/JdAvb8e","Yes")</f>
        <v>Yes</v>
      </c>
      <c r="D368" s="36" t="s">
        <v>40</v>
      </c>
      <c r="E368" s="36" t="s">
        <v>40</v>
      </c>
      <c r="F368" s="13">
        <v>2100.0</v>
      </c>
      <c r="G368" s="13">
        <v>525.0</v>
      </c>
      <c r="H368" s="19">
        <v>2736.0</v>
      </c>
      <c r="I368" s="21" t="s">
        <v>60</v>
      </c>
      <c r="J368" s="21"/>
      <c r="K368" s="21"/>
      <c r="L368" s="21"/>
      <c r="M368" s="15" t="s">
        <v>38</v>
      </c>
      <c r="N368" s="19">
        <v>1.0</v>
      </c>
      <c r="O368" s="21" t="s">
        <v>39</v>
      </c>
      <c r="P368" s="15" t="s">
        <v>53</v>
      </c>
      <c r="Q368" s="13" t="s">
        <v>41</v>
      </c>
      <c r="R368" s="13" t="s">
        <v>43</v>
      </c>
      <c r="S368" s="13" t="s">
        <v>44</v>
      </c>
      <c r="T368" s="21" t="s">
        <v>386</v>
      </c>
    </row>
    <row r="369" ht="56.25" customHeight="1">
      <c r="A369" s="21" t="s">
        <v>1714</v>
      </c>
      <c r="B369" s="15" t="str">
        <f>image("https://i.imgur.com/Id2kRIx.png")</f>
        <v/>
      </c>
      <c r="C369" s="22" t="str">
        <f>HYPERLINK("https://imgur.com/a/O0HQGaL","Yes")</f>
        <v>Yes</v>
      </c>
      <c r="D369" s="36" t="s">
        <v>40</v>
      </c>
      <c r="E369" s="36" t="s">
        <v>40</v>
      </c>
      <c r="F369" s="13">
        <v>2700.0</v>
      </c>
      <c r="G369" s="13">
        <v>675.0</v>
      </c>
      <c r="H369" s="19">
        <v>4140.0</v>
      </c>
      <c r="I369" s="21" t="s">
        <v>95</v>
      </c>
      <c r="J369" s="21" t="s">
        <v>37</v>
      </c>
      <c r="K369" s="21"/>
      <c r="L369" s="21"/>
      <c r="M369" s="15" t="s">
        <v>38</v>
      </c>
      <c r="N369" s="19">
        <v>1.0</v>
      </c>
      <c r="O369" s="21" t="s">
        <v>39</v>
      </c>
      <c r="P369" s="15" t="s">
        <v>53</v>
      </c>
      <c r="Q369" s="13" t="s">
        <v>41</v>
      </c>
      <c r="R369" s="13" t="s">
        <v>43</v>
      </c>
      <c r="S369" s="13" t="s">
        <v>44</v>
      </c>
      <c r="T369" s="21" t="s">
        <v>63</v>
      </c>
    </row>
    <row r="370" ht="56.25" customHeight="1">
      <c r="A370" s="21" t="s">
        <v>1716</v>
      </c>
      <c r="B370" s="15" t="str">
        <f>image("https://i.imgur.com/RJOtE4s.png")</f>
        <v/>
      </c>
      <c r="C370" s="22" t="str">
        <f>HYPERLINK("https://imgur.com/a/CyHkahc","Yes")</f>
        <v>Yes</v>
      </c>
      <c r="D370" s="36" t="s">
        <v>40</v>
      </c>
      <c r="E370" s="36" t="s">
        <v>40</v>
      </c>
      <c r="F370" s="13">
        <v>6000.0</v>
      </c>
      <c r="G370" s="13">
        <v>1500.0</v>
      </c>
      <c r="H370" s="19">
        <v>796.0</v>
      </c>
      <c r="I370" s="21" t="s">
        <v>60</v>
      </c>
      <c r="J370" s="21"/>
      <c r="K370" s="21"/>
      <c r="L370" s="21"/>
      <c r="M370" s="15" t="s">
        <v>130</v>
      </c>
      <c r="N370" s="19">
        <v>2.0</v>
      </c>
      <c r="O370" s="21" t="s">
        <v>339</v>
      </c>
      <c r="P370" s="15" t="s">
        <v>53</v>
      </c>
      <c r="Q370" s="13" t="s">
        <v>41</v>
      </c>
      <c r="R370" s="13" t="s">
        <v>43</v>
      </c>
      <c r="S370" s="13" t="s">
        <v>44</v>
      </c>
      <c r="T370" s="21" t="s">
        <v>63</v>
      </c>
    </row>
    <row r="371" ht="56.25" customHeight="1">
      <c r="A371" s="21" t="s">
        <v>1719</v>
      </c>
      <c r="B371" s="15" t="str">
        <f>image("https://i.imgur.com/WmStivU.png")</f>
        <v/>
      </c>
      <c r="C371" s="22" t="str">
        <f>HYPERLINK("https://imgur.com/a/menA8r2","Yes")</f>
        <v>Yes</v>
      </c>
      <c r="D371" s="36" t="s">
        <v>53</v>
      </c>
      <c r="E371" s="36" t="s">
        <v>53</v>
      </c>
      <c r="F371" s="24" t="s">
        <v>51</v>
      </c>
      <c r="G371" s="24">
        <v>250000.0</v>
      </c>
      <c r="H371" s="19">
        <v>1509.0</v>
      </c>
      <c r="I371" s="21" t="s">
        <v>113</v>
      </c>
      <c r="J371" s="21" t="s">
        <v>90</v>
      </c>
      <c r="K371" s="21"/>
      <c r="L371" s="21" t="s">
        <v>1140</v>
      </c>
      <c r="M371" s="15" t="s">
        <v>1133</v>
      </c>
      <c r="N371" s="19">
        <v>50.0</v>
      </c>
      <c r="O371" s="21" t="s">
        <v>39</v>
      </c>
      <c r="P371" s="15" t="s">
        <v>53</v>
      </c>
      <c r="Q371" s="13" t="s">
        <v>41</v>
      </c>
      <c r="R371" s="13" t="s">
        <v>54</v>
      </c>
      <c r="S371" s="13" t="s">
        <v>516</v>
      </c>
      <c r="T371" s="21"/>
    </row>
    <row r="372" ht="56.25" customHeight="1">
      <c r="A372" s="21" t="s">
        <v>1722</v>
      </c>
      <c r="B372" s="15" t="str">
        <f>image("https://i.imgur.com/X0umIsI.png")</f>
        <v/>
      </c>
      <c r="C372" s="22" t="str">
        <f>HYPERLINK("https://imgur.com/a/ljUUlpa","Yes")</f>
        <v>Yes</v>
      </c>
      <c r="D372" s="36" t="s">
        <v>40</v>
      </c>
      <c r="E372" s="36" t="s">
        <v>40</v>
      </c>
      <c r="F372" s="13">
        <v>3100.0</v>
      </c>
      <c r="G372" s="13">
        <v>775.0</v>
      </c>
      <c r="H372" s="19">
        <v>1644.0</v>
      </c>
      <c r="I372" s="21" t="s">
        <v>67</v>
      </c>
      <c r="J372" s="21"/>
      <c r="K372" s="21"/>
      <c r="L372" s="21"/>
      <c r="M372" s="15" t="s">
        <v>38</v>
      </c>
      <c r="N372" s="19">
        <v>2.0</v>
      </c>
      <c r="O372" s="21" t="s">
        <v>39</v>
      </c>
      <c r="P372" s="15" t="s">
        <v>53</v>
      </c>
      <c r="Q372" s="13" t="s">
        <v>41</v>
      </c>
      <c r="R372" s="13" t="s">
        <v>43</v>
      </c>
      <c r="S372" s="13" t="s">
        <v>44</v>
      </c>
      <c r="T372" s="21" t="s">
        <v>63</v>
      </c>
    </row>
    <row r="373" ht="56.25" customHeight="1">
      <c r="A373" s="21" t="s">
        <v>1724</v>
      </c>
      <c r="B373" s="15" t="str">
        <f>image("https://i.imgur.com/ktH2GV0.png")</f>
        <v/>
      </c>
      <c r="C373" s="22" t="str">
        <f>HYPERLINK("https://imgur.com/a/y25AOQz","No")</f>
        <v>No</v>
      </c>
      <c r="D373" s="36" t="s">
        <v>53</v>
      </c>
      <c r="E373" s="36" t="s">
        <v>40</v>
      </c>
      <c r="F373" s="24" t="s">
        <v>51</v>
      </c>
      <c r="G373" s="13">
        <v>20000.0</v>
      </c>
      <c r="H373" s="19">
        <v>1441.0</v>
      </c>
      <c r="I373" s="21" t="s">
        <v>269</v>
      </c>
      <c r="J373" s="21"/>
      <c r="K373" s="21"/>
      <c r="L373" s="21"/>
      <c r="M373" s="15" t="s">
        <v>130</v>
      </c>
      <c r="N373" s="19"/>
      <c r="O373" s="21" t="s">
        <v>39</v>
      </c>
      <c r="P373" s="15" t="s">
        <v>40</v>
      </c>
      <c r="Q373" s="13" t="s">
        <v>41</v>
      </c>
      <c r="R373" s="13" t="s">
        <v>54</v>
      </c>
      <c r="S373" s="13" t="s">
        <v>55</v>
      </c>
      <c r="T373" s="21"/>
    </row>
    <row r="374" ht="56.25" customHeight="1">
      <c r="A374" s="21" t="s">
        <v>1726</v>
      </c>
      <c r="B374" s="15" t="str">
        <f>image("https://i.imgur.com/uK1BROu.png")</f>
        <v/>
      </c>
      <c r="C374" s="22" t="str">
        <f>HYPERLINK("https://imgur.com/a/qSwETFF","Yes")</f>
        <v>Yes</v>
      </c>
      <c r="D374" s="36" t="s">
        <v>40</v>
      </c>
      <c r="E374" s="36" t="s">
        <v>40</v>
      </c>
      <c r="F374" s="13">
        <v>1500.0</v>
      </c>
      <c r="G374" s="13">
        <v>375.0</v>
      </c>
      <c r="H374" s="19">
        <v>1851.0</v>
      </c>
      <c r="I374" s="21" t="s">
        <v>90</v>
      </c>
      <c r="J374" s="21"/>
      <c r="K374" s="21"/>
      <c r="L374" s="21"/>
      <c r="M374" s="15" t="s">
        <v>38</v>
      </c>
      <c r="N374" s="19">
        <v>1.0</v>
      </c>
      <c r="O374" s="21" t="s">
        <v>39</v>
      </c>
      <c r="P374" s="15" t="s">
        <v>53</v>
      </c>
      <c r="Q374" s="13" t="s">
        <v>186</v>
      </c>
      <c r="R374" s="13" t="s">
        <v>43</v>
      </c>
      <c r="S374" s="13" t="s">
        <v>44</v>
      </c>
      <c r="T374" s="21" t="s">
        <v>63</v>
      </c>
    </row>
    <row r="375" ht="56.25" customHeight="1">
      <c r="A375" s="21" t="s">
        <v>1729</v>
      </c>
      <c r="B375" s="15" t="str">
        <f>image("https://i.imgur.com/rRmPiBp.png")</f>
        <v/>
      </c>
      <c r="C375" s="22" t="str">
        <f>HYPERLINK("https://imgur.com/a/MtBsOGv","Yes")</f>
        <v>Yes</v>
      </c>
      <c r="D375" s="36" t="s">
        <v>53</v>
      </c>
      <c r="E375" s="36" t="s">
        <v>53</v>
      </c>
      <c r="F375" s="24" t="s">
        <v>51</v>
      </c>
      <c r="G375" s="13">
        <v>960.0</v>
      </c>
      <c r="H375" s="19">
        <v>1103.0</v>
      </c>
      <c r="I375" s="21" t="s">
        <v>60</v>
      </c>
      <c r="J375" s="21"/>
      <c r="K375" s="21"/>
      <c r="L375" s="21"/>
      <c r="M375" s="15" t="s">
        <v>38</v>
      </c>
      <c r="N375" s="19">
        <v>2.0</v>
      </c>
      <c r="O375" s="21" t="s">
        <v>39</v>
      </c>
      <c r="P375" s="15" t="s">
        <v>53</v>
      </c>
      <c r="Q375" s="13" t="s">
        <v>41</v>
      </c>
      <c r="R375" s="13" t="s">
        <v>54</v>
      </c>
      <c r="S375" s="13" t="s">
        <v>55</v>
      </c>
      <c r="T375" s="21"/>
    </row>
    <row r="376" ht="56.25" customHeight="1">
      <c r="A376" s="21" t="s">
        <v>1732</v>
      </c>
      <c r="B376" s="15" t="str">
        <f>image("https://i.imgur.com/bcPX5bk.png")</f>
        <v/>
      </c>
      <c r="C376" s="22" t="str">
        <f>HYPERLINK("https://imgur.com/a/uLuK5hH","Yes")</f>
        <v>Yes</v>
      </c>
      <c r="D376" s="36" t="s">
        <v>53</v>
      </c>
      <c r="E376" s="36" t="s">
        <v>53</v>
      </c>
      <c r="F376" s="24" t="s">
        <v>51</v>
      </c>
      <c r="G376" s="13">
        <v>600.0</v>
      </c>
      <c r="H376" s="19">
        <v>83.0</v>
      </c>
      <c r="I376" s="21" t="s">
        <v>113</v>
      </c>
      <c r="J376" s="21" t="s">
        <v>36</v>
      </c>
      <c r="K376" s="21"/>
      <c r="L376" s="21"/>
      <c r="M376" s="15" t="s">
        <v>38</v>
      </c>
      <c r="N376" s="19">
        <v>1.0</v>
      </c>
      <c r="O376" s="21" t="s">
        <v>39</v>
      </c>
      <c r="P376" s="15" t="s">
        <v>53</v>
      </c>
      <c r="Q376" s="13" t="s">
        <v>41</v>
      </c>
      <c r="R376" s="13" t="s">
        <v>54</v>
      </c>
      <c r="S376" s="13" t="s">
        <v>55</v>
      </c>
      <c r="T376" s="21"/>
    </row>
    <row r="377" ht="56.25" customHeight="1">
      <c r="A377" s="21" t="s">
        <v>1735</v>
      </c>
      <c r="B377" s="15" t="str">
        <f>image("https://i.imgur.com/F7Pez5t.png")</f>
        <v/>
      </c>
      <c r="C377" s="22" t="str">
        <f>HYPERLINK("https://imgur.com/a/P9yzXhj","Yes")</f>
        <v>Yes</v>
      </c>
      <c r="D377" s="36" t="s">
        <v>53</v>
      </c>
      <c r="E377" s="36" t="s">
        <v>53</v>
      </c>
      <c r="F377" s="24" t="s">
        <v>51</v>
      </c>
      <c r="G377" s="13">
        <v>1400.0</v>
      </c>
      <c r="H377" s="19">
        <v>7235.0</v>
      </c>
      <c r="I377" s="21" t="s">
        <v>36</v>
      </c>
      <c r="J377" s="21"/>
      <c r="K377" s="21"/>
      <c r="L377" s="21"/>
      <c r="M377" s="15" t="s">
        <v>106</v>
      </c>
      <c r="N377" s="19">
        <v>2.0</v>
      </c>
      <c r="O377" s="21" t="s">
        <v>39</v>
      </c>
      <c r="P377" s="15" t="s">
        <v>53</v>
      </c>
      <c r="Q377" s="13" t="s">
        <v>41</v>
      </c>
      <c r="R377" s="13" t="s">
        <v>54</v>
      </c>
      <c r="S377" s="13" t="s">
        <v>55</v>
      </c>
      <c r="T377" s="21"/>
    </row>
    <row r="378" ht="56.25" customHeight="1">
      <c r="A378" s="21" t="s">
        <v>1739</v>
      </c>
      <c r="B378" s="15" t="str">
        <f>image("https://i.imgur.com/4jiuuyt.png")</f>
        <v/>
      </c>
      <c r="C378" s="22" t="str">
        <f>HYPERLINK("https://imgur.com/a/MnUHdWp","Yes")</f>
        <v>Yes</v>
      </c>
      <c r="D378" s="36" t="s">
        <v>40</v>
      </c>
      <c r="E378" s="36" t="s">
        <v>40</v>
      </c>
      <c r="F378" s="13">
        <v>2700.0</v>
      </c>
      <c r="G378" s="13">
        <v>675.0</v>
      </c>
      <c r="H378" s="19">
        <v>2771.0</v>
      </c>
      <c r="I378" s="21" t="s">
        <v>60</v>
      </c>
      <c r="J378" s="21" t="s">
        <v>80</v>
      </c>
      <c r="K378" s="21"/>
      <c r="L378" s="21"/>
      <c r="M378" s="15" t="s">
        <v>38</v>
      </c>
      <c r="N378" s="19">
        <v>1.0</v>
      </c>
      <c r="O378" s="21" t="s">
        <v>39</v>
      </c>
      <c r="P378" s="15" t="s">
        <v>53</v>
      </c>
      <c r="Q378" s="13" t="s">
        <v>41</v>
      </c>
      <c r="R378" s="13" t="s">
        <v>43</v>
      </c>
      <c r="S378" s="13" t="s">
        <v>44</v>
      </c>
      <c r="T378" s="21" t="s">
        <v>386</v>
      </c>
    </row>
    <row r="379" ht="56.25" customHeight="1">
      <c r="A379" s="21" t="s">
        <v>1742</v>
      </c>
      <c r="B379" s="15" t="str">
        <f>image("https://i.imgur.com/RK0ilKl.png")</f>
        <v/>
      </c>
      <c r="C379" s="22" t="str">
        <f>HYPERLINK("https://imgur.com/a/S1FRx0m","Yes")</f>
        <v>Yes</v>
      </c>
      <c r="D379" s="36" t="s">
        <v>40</v>
      </c>
      <c r="E379" s="36" t="s">
        <v>40</v>
      </c>
      <c r="F379" s="13">
        <v>3600.0</v>
      </c>
      <c r="G379" s="13">
        <v>900.0</v>
      </c>
      <c r="H379" s="19">
        <v>839.0</v>
      </c>
      <c r="I379" s="21" t="s">
        <v>90</v>
      </c>
      <c r="J379" s="21" t="s">
        <v>62</v>
      </c>
      <c r="K379" s="21"/>
      <c r="L379" s="21"/>
      <c r="M379" s="15" t="s">
        <v>38</v>
      </c>
      <c r="N379" s="19">
        <v>2.0</v>
      </c>
      <c r="O379" s="21" t="s">
        <v>39</v>
      </c>
      <c r="P379" s="15" t="s">
        <v>53</v>
      </c>
      <c r="Q379" s="13" t="s">
        <v>41</v>
      </c>
      <c r="R379" s="13" t="s">
        <v>43</v>
      </c>
      <c r="S379" s="13" t="s">
        <v>44</v>
      </c>
      <c r="T379" s="21" t="s">
        <v>68</v>
      </c>
    </row>
    <row r="380" ht="56.25" customHeight="1">
      <c r="A380" s="21" t="s">
        <v>1744</v>
      </c>
      <c r="B380" s="15" t="str">
        <f>image("https://i.imgur.com/0Guktxa.png")</f>
        <v/>
      </c>
      <c r="C380" s="22" t="str">
        <f>HYPERLINK("https://imgur.com/a/s0rCxMb","Yes")</f>
        <v>Yes</v>
      </c>
      <c r="D380" s="36" t="s">
        <v>40</v>
      </c>
      <c r="E380" s="36" t="s">
        <v>40</v>
      </c>
      <c r="F380" s="13">
        <v>2100.0</v>
      </c>
      <c r="G380" s="13">
        <v>525.0</v>
      </c>
      <c r="H380" s="19">
        <v>1117.0</v>
      </c>
      <c r="I380" s="21" t="s">
        <v>84</v>
      </c>
      <c r="J380" s="21" t="s">
        <v>95</v>
      </c>
      <c r="K380" s="21"/>
      <c r="L380" s="21"/>
      <c r="M380" s="15" t="s">
        <v>38</v>
      </c>
      <c r="N380" s="19">
        <v>1.0</v>
      </c>
      <c r="O380" s="21" t="s">
        <v>39</v>
      </c>
      <c r="P380" s="15" t="s">
        <v>40</v>
      </c>
      <c r="Q380" s="13" t="s">
        <v>41</v>
      </c>
      <c r="R380" s="13" t="s">
        <v>43</v>
      </c>
      <c r="S380" s="13" t="s">
        <v>44</v>
      </c>
      <c r="T380" s="21" t="s">
        <v>63</v>
      </c>
    </row>
    <row r="381" ht="56.25" customHeight="1">
      <c r="A381" s="21" t="s">
        <v>1747</v>
      </c>
      <c r="B381" s="15" t="str">
        <f>image("https://i.imgur.com/rhcaeDE.png")</f>
        <v/>
      </c>
      <c r="C381" s="22" t="str">
        <f>HYPERLINK("https://imgur.com/a/y67YhCH","No")</f>
        <v>No</v>
      </c>
      <c r="D381" s="15"/>
      <c r="E381" s="36" t="s">
        <v>40</v>
      </c>
      <c r="F381" s="24" t="s">
        <v>51</v>
      </c>
      <c r="G381" s="13">
        <v>12000.0</v>
      </c>
      <c r="H381" s="19">
        <v>1116.0</v>
      </c>
      <c r="I381" s="21" t="s">
        <v>95</v>
      </c>
      <c r="J381" s="21"/>
      <c r="K381" s="21"/>
      <c r="L381" s="21"/>
      <c r="M381" s="15" t="s">
        <v>1748</v>
      </c>
      <c r="N381" s="19"/>
      <c r="O381" s="21" t="s">
        <v>39</v>
      </c>
      <c r="P381" s="15" t="s">
        <v>40</v>
      </c>
      <c r="Q381" s="13" t="s">
        <v>41</v>
      </c>
      <c r="R381" s="13" t="s">
        <v>54</v>
      </c>
      <c r="S381" s="13" t="s">
        <v>516</v>
      </c>
      <c r="T381" s="21"/>
    </row>
    <row r="382" ht="56.25" customHeight="1">
      <c r="A382" s="21" t="s">
        <v>1750</v>
      </c>
      <c r="B382" s="15" t="str">
        <f>image("https://i.imgur.com/DZfkGls.png")</f>
        <v/>
      </c>
      <c r="C382" s="22" t="str">
        <f>HYPERLINK("https://imgur.com/a/gtebaLE","No")</f>
        <v>No</v>
      </c>
      <c r="D382" s="36" t="s">
        <v>53</v>
      </c>
      <c r="E382" s="36" t="s">
        <v>40</v>
      </c>
      <c r="F382" s="24" t="s">
        <v>51</v>
      </c>
      <c r="G382" s="13">
        <v>16250.0</v>
      </c>
      <c r="H382" s="19">
        <v>1443.0</v>
      </c>
      <c r="I382" s="21" t="s">
        <v>269</v>
      </c>
      <c r="J382" s="21"/>
      <c r="K382" s="21"/>
      <c r="L382" s="21"/>
      <c r="M382" s="15" t="s">
        <v>130</v>
      </c>
      <c r="N382" s="19"/>
      <c r="O382" s="21" t="s">
        <v>39</v>
      </c>
      <c r="P382" s="15" t="s">
        <v>53</v>
      </c>
      <c r="Q382" s="13" t="s">
        <v>41</v>
      </c>
      <c r="R382" s="13" t="s">
        <v>54</v>
      </c>
      <c r="S382" s="13" t="s">
        <v>55</v>
      </c>
      <c r="T382" s="21"/>
    </row>
    <row r="383" ht="56.25" customHeight="1">
      <c r="A383" s="21" t="s">
        <v>1752</v>
      </c>
      <c r="B383" s="15" t="str">
        <f>image("https://i.imgur.com/186r72X.png")</f>
        <v/>
      </c>
      <c r="C383" s="22" t="str">
        <f>HYPERLINK("https://imgur.com/a/ExxWqNz","No")</f>
        <v>No</v>
      </c>
      <c r="D383" s="36" t="s">
        <v>53</v>
      </c>
      <c r="E383" s="36" t="s">
        <v>40</v>
      </c>
      <c r="F383" s="24" t="s">
        <v>51</v>
      </c>
      <c r="G383" s="13">
        <v>3510.0</v>
      </c>
      <c r="H383" s="19">
        <v>3689.0</v>
      </c>
      <c r="I383" s="21" t="s">
        <v>183</v>
      </c>
      <c r="J383" s="21"/>
      <c r="K383" s="21"/>
      <c r="L383" s="21"/>
      <c r="M383" s="15" t="s">
        <v>38</v>
      </c>
      <c r="N383" s="19"/>
      <c r="O383" s="21" t="s">
        <v>39</v>
      </c>
      <c r="P383" s="15" t="s">
        <v>53</v>
      </c>
      <c r="Q383" s="13" t="s">
        <v>41</v>
      </c>
      <c r="R383" s="13" t="s">
        <v>54</v>
      </c>
      <c r="S383" s="13" t="s">
        <v>55</v>
      </c>
      <c r="T383" s="21"/>
    </row>
    <row r="384" ht="56.25" customHeight="1">
      <c r="A384" s="21" t="s">
        <v>1755</v>
      </c>
      <c r="B384" s="15" t="str">
        <f>image("https://i.imgur.com/tSO2IWF.png")</f>
        <v/>
      </c>
      <c r="C384" s="22" t="str">
        <f>HYPERLINK("https://imgur.com/a/jQnC7dI","No")</f>
        <v>No</v>
      </c>
      <c r="D384" s="36" t="s">
        <v>53</v>
      </c>
      <c r="E384" s="36" t="s">
        <v>40</v>
      </c>
      <c r="F384" s="24" t="s">
        <v>51</v>
      </c>
      <c r="G384" s="13">
        <v>130.0</v>
      </c>
      <c r="H384" s="19">
        <v>1120.0</v>
      </c>
      <c r="I384" s="21" t="s">
        <v>95</v>
      </c>
      <c r="J384" s="21" t="s">
        <v>346</v>
      </c>
      <c r="K384" s="21"/>
      <c r="L384" s="21"/>
      <c r="M384" s="15" t="s">
        <v>38</v>
      </c>
      <c r="N384" s="19"/>
      <c r="O384" s="21" t="s">
        <v>39</v>
      </c>
      <c r="P384" s="15" t="s">
        <v>40</v>
      </c>
      <c r="Q384" s="13" t="s">
        <v>41</v>
      </c>
      <c r="R384" s="13" t="s">
        <v>54</v>
      </c>
      <c r="S384" s="13" t="s">
        <v>55</v>
      </c>
      <c r="T384" s="21"/>
    </row>
    <row r="385" ht="56.25" customHeight="1">
      <c r="A385" s="21" t="s">
        <v>1757</v>
      </c>
      <c r="B385" s="15" t="str">
        <f>image("https://i.imgur.com/0ypawrl.png")</f>
        <v/>
      </c>
      <c r="C385" s="22" t="str">
        <f>HYPERLINK("https://imgur.com/a/uXoU656","Yes")</f>
        <v>Yes</v>
      </c>
      <c r="D385" s="36" t="s">
        <v>53</v>
      </c>
      <c r="E385" s="36" t="s">
        <v>53</v>
      </c>
      <c r="F385" s="24" t="s">
        <v>51</v>
      </c>
      <c r="G385" s="13">
        <v>400.0</v>
      </c>
      <c r="H385" s="19">
        <v>4034.0</v>
      </c>
      <c r="I385" s="21" t="s">
        <v>136</v>
      </c>
      <c r="J385" s="21" t="s">
        <v>61</v>
      </c>
      <c r="K385" s="21"/>
      <c r="L385" s="21"/>
      <c r="M385" s="15" t="s">
        <v>506</v>
      </c>
      <c r="N385" s="19">
        <v>2.0</v>
      </c>
      <c r="O385" s="21" t="s">
        <v>39</v>
      </c>
      <c r="P385" s="15" t="s">
        <v>53</v>
      </c>
      <c r="Q385" s="13" t="s">
        <v>41</v>
      </c>
      <c r="R385" s="13" t="s">
        <v>54</v>
      </c>
      <c r="S385" s="13" t="s">
        <v>55</v>
      </c>
      <c r="T385" s="21"/>
    </row>
    <row r="386" ht="56.25" customHeight="1">
      <c r="A386" s="21" t="s">
        <v>1760</v>
      </c>
      <c r="B386" s="15" t="str">
        <f>image("https://i.imgur.com/oyTWS3M.png")</f>
        <v/>
      </c>
      <c r="C386" s="22" t="str">
        <f>HYPERLINK("https://imgur.com/a/cdtDiT4","Yes")</f>
        <v>Yes</v>
      </c>
      <c r="D386" s="36" t="s">
        <v>40</v>
      </c>
      <c r="E386" s="36" t="s">
        <v>40</v>
      </c>
      <c r="F386" s="13">
        <v>980.0</v>
      </c>
      <c r="G386" s="13">
        <v>245.0</v>
      </c>
      <c r="H386" s="19">
        <v>1308.0</v>
      </c>
      <c r="I386" s="21" t="s">
        <v>80</v>
      </c>
      <c r="J386" s="21"/>
      <c r="K386" s="21"/>
      <c r="L386" s="21" t="s">
        <v>80</v>
      </c>
      <c r="M386" s="15" t="s">
        <v>38</v>
      </c>
      <c r="N386" s="19">
        <v>1.0</v>
      </c>
      <c r="O386" s="21" t="s">
        <v>39</v>
      </c>
      <c r="P386" s="15" t="s">
        <v>53</v>
      </c>
      <c r="Q386" s="13" t="s">
        <v>41</v>
      </c>
      <c r="R386" s="13" t="s">
        <v>43</v>
      </c>
      <c r="S386" s="13" t="s">
        <v>44</v>
      </c>
      <c r="T386" s="21" t="s">
        <v>63</v>
      </c>
    </row>
    <row r="387" ht="56.25" customHeight="1">
      <c r="A387" s="21" t="s">
        <v>1763</v>
      </c>
      <c r="B387" s="15" t="str">
        <f>image("https://i.imgur.com/gGLreIx.png")</f>
        <v/>
      </c>
      <c r="C387" s="22" t="str">
        <f>HYPERLINK("https://imgur.com/a/Tp1IlaM","Yes")</f>
        <v>Yes</v>
      </c>
      <c r="D387" s="36" t="s">
        <v>40</v>
      </c>
      <c r="E387" s="36" t="s">
        <v>40</v>
      </c>
      <c r="F387" s="13">
        <v>1100.0</v>
      </c>
      <c r="G387" s="13">
        <v>275.0</v>
      </c>
      <c r="H387" s="19">
        <v>1328.0</v>
      </c>
      <c r="I387" s="21" t="s">
        <v>80</v>
      </c>
      <c r="J387" s="21"/>
      <c r="K387" s="21"/>
      <c r="L387" s="21" t="s">
        <v>80</v>
      </c>
      <c r="M387" s="15" t="s">
        <v>38</v>
      </c>
      <c r="N387" s="19">
        <v>1.0</v>
      </c>
      <c r="O387" s="21" t="s">
        <v>39</v>
      </c>
      <c r="P387" s="15" t="s">
        <v>40</v>
      </c>
      <c r="Q387" s="13" t="s">
        <v>41</v>
      </c>
      <c r="R387" s="13" t="s">
        <v>43</v>
      </c>
      <c r="S387" s="13" t="s">
        <v>44</v>
      </c>
      <c r="T387" s="21" t="s">
        <v>63</v>
      </c>
    </row>
    <row r="388" ht="56.25" customHeight="1">
      <c r="A388" s="21" t="s">
        <v>1765</v>
      </c>
      <c r="B388" s="15" t="str">
        <f>image("https://i.imgur.com/9F5QEua.png")</f>
        <v/>
      </c>
      <c r="C388" s="22" t="str">
        <f>HYPERLINK("https://imgur.com/a/o0VrwJ6","Yes")</f>
        <v>Yes</v>
      </c>
      <c r="D388" s="36" t="s">
        <v>40</v>
      </c>
      <c r="E388" s="36" t="s">
        <v>40</v>
      </c>
      <c r="F388" s="13">
        <v>140000.0</v>
      </c>
      <c r="G388" s="13">
        <v>35000.0</v>
      </c>
      <c r="H388" s="19">
        <v>716.0</v>
      </c>
      <c r="I388" s="21" t="s">
        <v>161</v>
      </c>
      <c r="J388" s="21" t="s">
        <v>62</v>
      </c>
      <c r="K388" s="21"/>
      <c r="L388" s="21"/>
      <c r="M388" s="15" t="s">
        <v>130</v>
      </c>
      <c r="N388" s="19">
        <v>7.0</v>
      </c>
      <c r="O388" s="21" t="s">
        <v>39</v>
      </c>
      <c r="P388" s="15" t="s">
        <v>40</v>
      </c>
      <c r="Q388" s="13" t="s">
        <v>41</v>
      </c>
      <c r="R388" s="13" t="s">
        <v>43</v>
      </c>
      <c r="S388" s="13" t="s">
        <v>44</v>
      </c>
      <c r="T388" s="21" t="s">
        <v>65</v>
      </c>
    </row>
    <row r="389" ht="56.25" customHeight="1">
      <c r="A389" s="21" t="s">
        <v>1768</v>
      </c>
      <c r="B389" s="15" t="str">
        <f>image("https://i.imgur.com/lacBulA.png")</f>
        <v/>
      </c>
      <c r="C389" s="22" t="str">
        <f>HYPERLINK("https://imgur.com/a/pDjEMR5","No")</f>
        <v>No</v>
      </c>
      <c r="D389" s="36" t="s">
        <v>40</v>
      </c>
      <c r="E389" s="36" t="s">
        <v>40</v>
      </c>
      <c r="F389" s="13">
        <v>100000.0</v>
      </c>
      <c r="G389" s="13">
        <v>25000.0</v>
      </c>
      <c r="H389" s="19">
        <v>1126.0</v>
      </c>
      <c r="I389" s="21" t="s">
        <v>61</v>
      </c>
      <c r="J389" s="21" t="s">
        <v>90</v>
      </c>
      <c r="K389" s="21"/>
      <c r="L389" s="21"/>
      <c r="M389" s="15" t="s">
        <v>38</v>
      </c>
      <c r="N389" s="19"/>
      <c r="O389" s="21" t="s">
        <v>39</v>
      </c>
      <c r="P389" s="15" t="s">
        <v>53</v>
      </c>
      <c r="Q389" s="13" t="s">
        <v>41</v>
      </c>
      <c r="R389" s="13" t="s">
        <v>43</v>
      </c>
      <c r="S389" s="13" t="s">
        <v>44</v>
      </c>
      <c r="T389" s="21" t="s">
        <v>65</v>
      </c>
    </row>
    <row r="390" ht="56.25" customHeight="1">
      <c r="A390" s="21" t="s">
        <v>1770</v>
      </c>
      <c r="B390" s="15" t="str">
        <f>image("https://i.imgur.com/CY0mLL6.png")</f>
        <v/>
      </c>
      <c r="C390" s="22" t="str">
        <f>HYPERLINK("https://imgur.com/a/E8B3lkh","Yes")</f>
        <v>Yes</v>
      </c>
      <c r="D390" s="36" t="s">
        <v>40</v>
      </c>
      <c r="E390" s="36" t="s">
        <v>40</v>
      </c>
      <c r="F390" s="13">
        <v>1300.0</v>
      </c>
      <c r="G390" s="13">
        <v>325.0</v>
      </c>
      <c r="H390" s="19">
        <v>1606.0</v>
      </c>
      <c r="I390" s="21" t="s">
        <v>86</v>
      </c>
      <c r="J390" s="21" t="s">
        <v>37</v>
      </c>
      <c r="K390" s="21"/>
      <c r="L390" s="21"/>
      <c r="M390" s="15" t="s">
        <v>38</v>
      </c>
      <c r="N390" s="19">
        <v>1.0</v>
      </c>
      <c r="O390" s="21" t="s">
        <v>39</v>
      </c>
      <c r="P390" s="15" t="s">
        <v>40</v>
      </c>
      <c r="Q390" s="13" t="s">
        <v>41</v>
      </c>
      <c r="R390" s="13" t="s">
        <v>43</v>
      </c>
      <c r="S390" s="13" t="s">
        <v>44</v>
      </c>
      <c r="T390" s="21" t="s">
        <v>63</v>
      </c>
    </row>
    <row r="391" ht="56.25" customHeight="1">
      <c r="A391" s="21" t="s">
        <v>1773</v>
      </c>
      <c r="B391" s="15" t="str">
        <f>image("https://i.imgur.com/LilCb8f.png")</f>
        <v/>
      </c>
      <c r="C391" s="22" t="str">
        <f>HYPERLINK("https://imgur.com/a/rRncZeq","Yes")</f>
        <v>Yes</v>
      </c>
      <c r="D391" s="36" t="s">
        <v>40</v>
      </c>
      <c r="E391" s="36" t="s">
        <v>40</v>
      </c>
      <c r="F391" s="13">
        <v>1700.0</v>
      </c>
      <c r="G391" s="13">
        <v>425.0</v>
      </c>
      <c r="H391" s="19">
        <v>4572.0</v>
      </c>
      <c r="I391" s="21" t="s">
        <v>60</v>
      </c>
      <c r="J391" s="21"/>
      <c r="K391" s="21"/>
      <c r="L391" s="21"/>
      <c r="M391" s="15" t="s">
        <v>38</v>
      </c>
      <c r="N391" s="19">
        <v>1.0</v>
      </c>
      <c r="O391" s="21" t="s">
        <v>39</v>
      </c>
      <c r="P391" s="15" t="s">
        <v>53</v>
      </c>
      <c r="Q391" s="13" t="s">
        <v>186</v>
      </c>
      <c r="R391" s="13" t="s">
        <v>43</v>
      </c>
      <c r="S391" s="13" t="s">
        <v>44</v>
      </c>
      <c r="T391" s="21" t="s">
        <v>68</v>
      </c>
    </row>
    <row r="392" ht="56.25" customHeight="1">
      <c r="A392" s="21" t="s">
        <v>1775</v>
      </c>
      <c r="B392" s="15" t="str">
        <f>image("https://i.imgur.com/kC0Gkeq.png")</f>
        <v/>
      </c>
      <c r="C392" s="22" t="str">
        <f>HYPERLINK("https://imgur.com/a/IAqc9e7","Yes")</f>
        <v>Yes</v>
      </c>
      <c r="D392" s="36" t="s">
        <v>53</v>
      </c>
      <c r="E392" s="36" t="s">
        <v>53</v>
      </c>
      <c r="F392" s="24" t="s">
        <v>51</v>
      </c>
      <c r="G392" s="13">
        <v>12360.0</v>
      </c>
      <c r="H392" s="19">
        <v>3977.0</v>
      </c>
      <c r="I392" s="21" t="s">
        <v>84</v>
      </c>
      <c r="J392" s="21" t="s">
        <v>62</v>
      </c>
      <c r="K392" s="21"/>
      <c r="L392" s="21"/>
      <c r="M392" s="15" t="s">
        <v>327</v>
      </c>
      <c r="N392" s="19">
        <v>7.0</v>
      </c>
      <c r="O392" s="21" t="s">
        <v>39</v>
      </c>
      <c r="P392" s="15" t="s">
        <v>40</v>
      </c>
      <c r="Q392" s="13" t="s">
        <v>41</v>
      </c>
      <c r="R392" s="13" t="s">
        <v>54</v>
      </c>
      <c r="S392" s="13" t="s">
        <v>55</v>
      </c>
      <c r="T392" s="21"/>
    </row>
    <row r="393" ht="56.25" customHeight="1">
      <c r="A393" s="21" t="s">
        <v>1778</v>
      </c>
      <c r="B393" s="15" t="str">
        <f>image("https://i.imgur.com/bgUjrIi.png")</f>
        <v/>
      </c>
      <c r="C393" s="22" t="str">
        <f>HYPERLINK("https://imgur.com/a/jkKXvNl","Yes")</f>
        <v>Yes</v>
      </c>
      <c r="D393" s="36" t="s">
        <v>53</v>
      </c>
      <c r="E393" s="36" t="s">
        <v>53</v>
      </c>
      <c r="F393" s="24" t="s">
        <v>51</v>
      </c>
      <c r="G393" s="13">
        <v>10200.0</v>
      </c>
      <c r="H393" s="19">
        <v>3983.0</v>
      </c>
      <c r="I393" s="21" t="s">
        <v>84</v>
      </c>
      <c r="J393" s="21" t="s">
        <v>62</v>
      </c>
      <c r="K393" s="21"/>
      <c r="L393" s="21"/>
      <c r="M393" s="15" t="s">
        <v>106</v>
      </c>
      <c r="N393" s="19">
        <v>7.0</v>
      </c>
      <c r="O393" s="21" t="s">
        <v>39</v>
      </c>
      <c r="P393" s="15" t="s">
        <v>53</v>
      </c>
      <c r="Q393" s="13" t="s">
        <v>41</v>
      </c>
      <c r="R393" s="13" t="s">
        <v>54</v>
      </c>
      <c r="S393" s="13" t="s">
        <v>55</v>
      </c>
      <c r="T393" s="21"/>
    </row>
    <row r="394" ht="56.25" customHeight="1">
      <c r="A394" s="21" t="s">
        <v>1781</v>
      </c>
      <c r="B394" s="15" t="str">
        <f>image("https://i.imgur.com/9qa4z3B.png")</f>
        <v/>
      </c>
      <c r="C394" s="22" t="str">
        <f>HYPERLINK("https://imgur.com/a/HrGmb5O","Yes")</f>
        <v>Yes</v>
      </c>
      <c r="D394" s="36" t="s">
        <v>53</v>
      </c>
      <c r="E394" s="36" t="s">
        <v>53</v>
      </c>
      <c r="F394" s="24" t="s">
        <v>51</v>
      </c>
      <c r="G394" s="13">
        <v>9450.0</v>
      </c>
      <c r="H394" s="19">
        <v>3982.0</v>
      </c>
      <c r="I394" s="21" t="s">
        <v>84</v>
      </c>
      <c r="J394" s="21" t="s">
        <v>62</v>
      </c>
      <c r="K394" s="21"/>
      <c r="L394" s="21"/>
      <c r="M394" s="15" t="s">
        <v>506</v>
      </c>
      <c r="N394" s="19">
        <v>7.0</v>
      </c>
      <c r="O394" s="21" t="s">
        <v>39</v>
      </c>
      <c r="P394" s="15" t="s">
        <v>53</v>
      </c>
      <c r="Q394" s="13" t="s">
        <v>41</v>
      </c>
      <c r="R394" s="13" t="s">
        <v>54</v>
      </c>
      <c r="S394" s="13" t="s">
        <v>55</v>
      </c>
      <c r="T394" s="21"/>
    </row>
    <row r="395" ht="56.25" customHeight="1">
      <c r="A395" s="21" t="s">
        <v>1784</v>
      </c>
      <c r="B395" s="15" t="str">
        <f>image("https://i.imgur.com/p8IJ0nb.png")</f>
        <v/>
      </c>
      <c r="C395" s="22" t="str">
        <f>HYPERLINK("https://imgur.com/a/XXijyOm","Yes")</f>
        <v>Yes</v>
      </c>
      <c r="D395" s="36" t="s">
        <v>53</v>
      </c>
      <c r="E395" s="36" t="s">
        <v>53</v>
      </c>
      <c r="F395" s="24" t="s">
        <v>51</v>
      </c>
      <c r="G395" s="13">
        <v>8000.0</v>
      </c>
      <c r="H395" s="19">
        <v>3978.0</v>
      </c>
      <c r="I395" s="21" t="s">
        <v>84</v>
      </c>
      <c r="J395" s="21"/>
      <c r="K395" s="21"/>
      <c r="L395" s="21"/>
      <c r="M395" s="15" t="s">
        <v>130</v>
      </c>
      <c r="N395" s="19">
        <v>7.0</v>
      </c>
      <c r="O395" s="21" t="s">
        <v>39</v>
      </c>
      <c r="P395" s="15" t="s">
        <v>40</v>
      </c>
      <c r="Q395" s="13" t="s">
        <v>41</v>
      </c>
      <c r="R395" s="13" t="s">
        <v>54</v>
      </c>
      <c r="S395" s="13" t="s">
        <v>55</v>
      </c>
      <c r="T395" s="21"/>
    </row>
    <row r="396" ht="56.25" customHeight="1">
      <c r="A396" s="21" t="s">
        <v>1788</v>
      </c>
      <c r="B396" s="15" t="str">
        <f>image("https://i.imgur.com/KOM2YFa.png")</f>
        <v/>
      </c>
      <c r="C396" s="22" t="str">
        <f>HYPERLINK("https://imgur.com/a/SsuqTfj","Yes")</f>
        <v>Yes</v>
      </c>
      <c r="D396" s="36" t="s">
        <v>53</v>
      </c>
      <c r="E396" s="36" t="s">
        <v>53</v>
      </c>
      <c r="F396" s="24" t="s">
        <v>51</v>
      </c>
      <c r="G396" s="13">
        <v>600.0</v>
      </c>
      <c r="H396" s="19">
        <v>3979.0</v>
      </c>
      <c r="I396" s="21" t="s">
        <v>84</v>
      </c>
      <c r="J396" s="21"/>
      <c r="K396" s="21"/>
      <c r="L396" s="21"/>
      <c r="M396" s="15" t="s">
        <v>38</v>
      </c>
      <c r="N396" s="19">
        <v>1.0</v>
      </c>
      <c r="O396" s="21" t="s">
        <v>39</v>
      </c>
      <c r="P396" s="15" t="s">
        <v>53</v>
      </c>
      <c r="Q396" s="13" t="s">
        <v>41</v>
      </c>
      <c r="R396" s="13" t="s">
        <v>54</v>
      </c>
      <c r="S396" s="13" t="s">
        <v>55</v>
      </c>
      <c r="T396" s="21"/>
    </row>
    <row r="397" ht="56.25" customHeight="1">
      <c r="A397" s="21" t="s">
        <v>1791</v>
      </c>
      <c r="B397" s="15" t="str">
        <f>image("https://i.imgur.com/GtyEUzJ.png")</f>
        <v/>
      </c>
      <c r="C397" s="22" t="str">
        <f>HYPERLINK("https://imgur.com/a/iHzH9UO","Yes")</f>
        <v>Yes</v>
      </c>
      <c r="D397" s="36" t="s">
        <v>53</v>
      </c>
      <c r="E397" s="36" t="s">
        <v>53</v>
      </c>
      <c r="F397" s="24" t="s">
        <v>51</v>
      </c>
      <c r="G397" s="13">
        <v>2280.0</v>
      </c>
      <c r="H397" s="19">
        <v>3980.0</v>
      </c>
      <c r="I397" s="21" t="s">
        <v>84</v>
      </c>
      <c r="J397" s="21"/>
      <c r="K397" s="21"/>
      <c r="L397" s="21"/>
      <c r="M397" s="15" t="s">
        <v>106</v>
      </c>
      <c r="N397" s="19">
        <v>4.0</v>
      </c>
      <c r="O397" s="21" t="s">
        <v>39</v>
      </c>
      <c r="P397" s="15" t="s">
        <v>40</v>
      </c>
      <c r="Q397" s="13" t="s">
        <v>41</v>
      </c>
      <c r="R397" s="13" t="s">
        <v>54</v>
      </c>
      <c r="S397" s="13" t="s">
        <v>55</v>
      </c>
      <c r="T397" s="21"/>
    </row>
    <row r="398" ht="56.25" customHeight="1">
      <c r="A398" s="21" t="s">
        <v>1794</v>
      </c>
      <c r="B398" s="15" t="str">
        <f>image("https://i.imgur.com/hfKfLzC.png")</f>
        <v/>
      </c>
      <c r="C398" s="22" t="str">
        <f>HYPERLINK("https://imgur.com/a/DfIyRGF","Yes")</f>
        <v>Yes</v>
      </c>
      <c r="D398" s="36" t="s">
        <v>40</v>
      </c>
      <c r="E398" s="36" t="s">
        <v>40</v>
      </c>
      <c r="F398" s="13">
        <v>110000.0</v>
      </c>
      <c r="G398" s="13">
        <v>27500.0</v>
      </c>
      <c r="H398" s="19">
        <v>4015.0</v>
      </c>
      <c r="I398" s="21" t="s">
        <v>183</v>
      </c>
      <c r="J398" s="21"/>
      <c r="K398" s="21"/>
      <c r="L398" s="21"/>
      <c r="M398" s="15" t="s">
        <v>506</v>
      </c>
      <c r="N398" s="19">
        <v>7.0</v>
      </c>
      <c r="O398" s="21" t="s">
        <v>39</v>
      </c>
      <c r="P398" s="15" t="s">
        <v>40</v>
      </c>
      <c r="Q398" s="13" t="s">
        <v>41</v>
      </c>
      <c r="R398" s="13" t="s">
        <v>43</v>
      </c>
      <c r="S398" s="13" t="s">
        <v>44</v>
      </c>
      <c r="T398" s="21" t="s">
        <v>65</v>
      </c>
    </row>
    <row r="399" ht="56.25" customHeight="1">
      <c r="A399" s="21" t="s">
        <v>1796</v>
      </c>
      <c r="B399" s="15" t="str">
        <f>image("https://i.imgur.com/ljjBvDa.png")</f>
        <v/>
      </c>
      <c r="C399" s="22" t="str">
        <f>HYPERLINK("https://imgur.com/a/iAseCK2","Yes")</f>
        <v>Yes</v>
      </c>
      <c r="D399" s="36" t="s">
        <v>53</v>
      </c>
      <c r="E399" s="36" t="s">
        <v>53</v>
      </c>
      <c r="F399" s="24" t="s">
        <v>51</v>
      </c>
      <c r="G399" s="13">
        <v>600.0</v>
      </c>
      <c r="H399" s="19">
        <v>3588.0</v>
      </c>
      <c r="I399" s="21" t="s">
        <v>95</v>
      </c>
      <c r="J399" s="21"/>
      <c r="K399" s="21"/>
      <c r="L399" s="21"/>
      <c r="M399" s="15" t="s">
        <v>38</v>
      </c>
      <c r="N399" s="19">
        <v>1.0</v>
      </c>
      <c r="O399" s="21" t="s">
        <v>39</v>
      </c>
      <c r="P399" s="15" t="s">
        <v>40</v>
      </c>
      <c r="Q399" s="13" t="s">
        <v>41</v>
      </c>
      <c r="R399" s="13" t="s">
        <v>54</v>
      </c>
      <c r="S399" s="13" t="s">
        <v>55</v>
      </c>
      <c r="T399" s="21"/>
    </row>
    <row r="400" ht="56.25" customHeight="1">
      <c r="A400" s="21" t="s">
        <v>1799</v>
      </c>
      <c r="B400" s="15" t="str">
        <f>image("https://i.imgur.com/WbSd7WZ.png")</f>
        <v/>
      </c>
      <c r="C400" s="22" t="str">
        <f>HYPERLINK("https://imgur.com/a/QYP7lgf","Yes")</f>
        <v>Yes</v>
      </c>
      <c r="D400" s="36" t="s">
        <v>53</v>
      </c>
      <c r="E400" s="36" t="s">
        <v>53</v>
      </c>
      <c r="F400" s="24" t="s">
        <v>51</v>
      </c>
      <c r="G400" s="13">
        <v>13920.0</v>
      </c>
      <c r="H400" s="19">
        <v>7247.0</v>
      </c>
      <c r="I400" s="21" t="s">
        <v>95</v>
      </c>
      <c r="J400" s="21"/>
      <c r="K400" s="21"/>
      <c r="L400" s="21"/>
      <c r="M400" s="15" t="s">
        <v>106</v>
      </c>
      <c r="N400" s="19">
        <v>7.0</v>
      </c>
      <c r="O400" s="21" t="s">
        <v>39</v>
      </c>
      <c r="P400" s="15" t="s">
        <v>40</v>
      </c>
      <c r="Q400" s="13" t="s">
        <v>41</v>
      </c>
      <c r="R400" s="13" t="s">
        <v>54</v>
      </c>
      <c r="S400" s="13" t="s">
        <v>516</v>
      </c>
      <c r="T400" s="21"/>
    </row>
    <row r="401" ht="56.25" customHeight="1">
      <c r="A401" s="21" t="s">
        <v>1803</v>
      </c>
      <c r="B401" s="15" t="str">
        <f>image("https://i.imgur.com/706anWa.png")</f>
        <v/>
      </c>
      <c r="C401" s="22" t="str">
        <f>HYPERLINK("https://imgur.com/a/3ADVUdu","No")</f>
        <v>No</v>
      </c>
      <c r="D401" s="36" t="s">
        <v>40</v>
      </c>
      <c r="E401" s="36" t="s">
        <v>40</v>
      </c>
      <c r="F401" s="13">
        <v>1800.0</v>
      </c>
      <c r="G401" s="13">
        <v>450.0</v>
      </c>
      <c r="H401" s="19">
        <v>1045.0</v>
      </c>
      <c r="I401" s="21" t="s">
        <v>67</v>
      </c>
      <c r="J401" s="21" t="s">
        <v>212</v>
      </c>
      <c r="K401" s="21"/>
      <c r="L401" s="21"/>
      <c r="M401" s="15" t="s">
        <v>38</v>
      </c>
      <c r="N401" s="19"/>
      <c r="O401" s="21" t="s">
        <v>39</v>
      </c>
      <c r="P401" s="15" t="s">
        <v>40</v>
      </c>
      <c r="Q401" s="13" t="s">
        <v>41</v>
      </c>
      <c r="R401" s="13" t="s">
        <v>43</v>
      </c>
      <c r="S401" s="13" t="s">
        <v>44</v>
      </c>
      <c r="T401" s="21" t="s">
        <v>63</v>
      </c>
    </row>
    <row r="402" ht="56.25" customHeight="1">
      <c r="A402" s="21" t="s">
        <v>1806</v>
      </c>
      <c r="B402" s="15" t="str">
        <f>image("https://i.imgur.com/pHygQev.png")</f>
        <v/>
      </c>
      <c r="C402" s="22" t="str">
        <f>HYPERLINK("https://imgur.com/a/4x2AmQe","No")</f>
        <v>No</v>
      </c>
      <c r="D402" s="36" t="s">
        <v>53</v>
      </c>
      <c r="E402" s="36" t="s">
        <v>40</v>
      </c>
      <c r="F402" s="24" t="s">
        <v>51</v>
      </c>
      <c r="G402" s="13">
        <v>1350.0</v>
      </c>
      <c r="H402" s="19">
        <v>7142.0</v>
      </c>
      <c r="I402" s="21" t="s">
        <v>338</v>
      </c>
      <c r="J402" s="21" t="s">
        <v>95</v>
      </c>
      <c r="K402" s="21"/>
      <c r="L402" s="21"/>
      <c r="M402" s="15" t="s">
        <v>506</v>
      </c>
      <c r="N402" s="19"/>
      <c r="O402" s="21" t="s">
        <v>39</v>
      </c>
      <c r="P402" s="15" t="s">
        <v>53</v>
      </c>
      <c r="Q402" s="13" t="s">
        <v>41</v>
      </c>
      <c r="R402" s="13" t="s">
        <v>54</v>
      </c>
      <c r="S402" s="13" t="s">
        <v>55</v>
      </c>
      <c r="T402" s="21"/>
    </row>
    <row r="403" ht="56.25" customHeight="1">
      <c r="A403" s="21" t="s">
        <v>1809</v>
      </c>
      <c r="B403" s="15" t="str">
        <f>image("https://i.imgur.com/8AY4GTA.png")</f>
        <v/>
      </c>
      <c r="C403" s="22" t="str">
        <f>HYPERLINK("https://imgur.com/a/aDPrQV6","Yes")</f>
        <v>Yes</v>
      </c>
      <c r="D403" s="36" t="s">
        <v>40</v>
      </c>
      <c r="E403" s="36" t="s">
        <v>40</v>
      </c>
      <c r="F403" s="13">
        <v>810.0</v>
      </c>
      <c r="G403" s="24">
        <v>202.0</v>
      </c>
      <c r="H403" s="19">
        <v>5338.0</v>
      </c>
      <c r="I403" s="21" t="s">
        <v>90</v>
      </c>
      <c r="J403" s="21"/>
      <c r="K403" s="21"/>
      <c r="L403" s="21"/>
      <c r="M403" s="15" t="s">
        <v>349</v>
      </c>
      <c r="N403" s="19">
        <v>1.0</v>
      </c>
      <c r="O403" s="21" t="s">
        <v>39</v>
      </c>
      <c r="P403" s="15" t="s">
        <v>40</v>
      </c>
      <c r="Q403" s="13" t="s">
        <v>41</v>
      </c>
      <c r="R403" s="13" t="s">
        <v>43</v>
      </c>
      <c r="S403" s="13" t="s">
        <v>44</v>
      </c>
      <c r="T403" s="21" t="s">
        <v>63</v>
      </c>
    </row>
    <row r="404" ht="56.25" customHeight="1">
      <c r="A404" s="21" t="s">
        <v>1812</v>
      </c>
      <c r="B404" s="15" t="str">
        <f>image("https://i.imgur.com/h45mjKw.png")</f>
        <v/>
      </c>
      <c r="C404" s="22" t="str">
        <f>HYPERLINK("https://imgur.com/a/91kMxxw","No")</f>
        <v>No</v>
      </c>
      <c r="D404" s="36" t="s">
        <v>53</v>
      </c>
      <c r="E404" s="36" t="s">
        <v>40</v>
      </c>
      <c r="F404" s="24" t="s">
        <v>51</v>
      </c>
      <c r="G404" s="13">
        <v>2850.0</v>
      </c>
      <c r="H404" s="19">
        <v>2754.0</v>
      </c>
      <c r="I404" s="21" t="s">
        <v>95</v>
      </c>
      <c r="J404" s="21" t="s">
        <v>346</v>
      </c>
      <c r="K404" s="21"/>
      <c r="L404" s="21"/>
      <c r="M404" s="15" t="s">
        <v>106</v>
      </c>
      <c r="N404" s="19"/>
      <c r="O404" s="21" t="s">
        <v>39</v>
      </c>
      <c r="P404" s="15" t="s">
        <v>40</v>
      </c>
      <c r="Q404" s="13" t="s">
        <v>41</v>
      </c>
      <c r="R404" s="13" t="s">
        <v>54</v>
      </c>
      <c r="S404" s="13" t="s">
        <v>516</v>
      </c>
      <c r="T404" s="21"/>
    </row>
    <row r="405" ht="56.25" customHeight="1">
      <c r="A405" s="21" t="s">
        <v>1815</v>
      </c>
      <c r="B405" s="15" t="str">
        <f>image("https://i.imgur.com/mAce9Ux.png")</f>
        <v/>
      </c>
      <c r="C405" s="22" t="str">
        <f>HYPERLINK("https://imgur.com/a/U6eVy5F","No")</f>
        <v>No</v>
      </c>
      <c r="D405" s="36" t="s">
        <v>40</v>
      </c>
      <c r="E405" s="36" t="s">
        <v>40</v>
      </c>
      <c r="F405" s="13">
        <v>3900.0</v>
      </c>
      <c r="G405" s="13">
        <v>975.0</v>
      </c>
      <c r="H405" s="19">
        <v>1326.0</v>
      </c>
      <c r="I405" s="21" t="s">
        <v>80</v>
      </c>
      <c r="J405" s="21" t="s">
        <v>346</v>
      </c>
      <c r="K405" s="21"/>
      <c r="L405" s="21"/>
      <c r="M405" s="15" t="s">
        <v>38</v>
      </c>
      <c r="N405" s="19"/>
      <c r="O405" s="21" t="s">
        <v>39</v>
      </c>
      <c r="P405" s="15" t="s">
        <v>53</v>
      </c>
      <c r="Q405" s="13" t="s">
        <v>41</v>
      </c>
      <c r="R405" s="13" t="s">
        <v>43</v>
      </c>
      <c r="S405" s="13" t="s">
        <v>44</v>
      </c>
      <c r="T405" s="21" t="s">
        <v>63</v>
      </c>
    </row>
    <row r="406" ht="56.25" customHeight="1">
      <c r="A406" s="21" t="s">
        <v>1818</v>
      </c>
      <c r="B406" s="15" t="str">
        <f>image("https://i.imgur.com/QOabo44.png")</f>
        <v/>
      </c>
      <c r="C406" s="22" t="str">
        <f>HYPERLINK("https://imgur.com/a/ykAtQVk","Yes")</f>
        <v>Yes</v>
      </c>
      <c r="D406" s="36" t="s">
        <v>40</v>
      </c>
      <c r="E406" s="36" t="s">
        <v>40</v>
      </c>
      <c r="F406" s="13">
        <v>1400.0</v>
      </c>
      <c r="G406" s="13">
        <v>350.0</v>
      </c>
      <c r="H406" s="19">
        <v>1434.0</v>
      </c>
      <c r="I406" s="21" t="s">
        <v>338</v>
      </c>
      <c r="J406" s="21"/>
      <c r="K406" s="21"/>
      <c r="L406" s="21"/>
      <c r="M406" s="15" t="s">
        <v>130</v>
      </c>
      <c r="N406" s="19">
        <v>1.0</v>
      </c>
      <c r="O406" s="21" t="s">
        <v>39</v>
      </c>
      <c r="P406" s="15" t="s">
        <v>53</v>
      </c>
      <c r="Q406" s="13" t="s">
        <v>41</v>
      </c>
      <c r="R406" s="13" t="s">
        <v>43</v>
      </c>
      <c r="S406" s="13" t="s">
        <v>44</v>
      </c>
      <c r="T406" s="21" t="s">
        <v>202</v>
      </c>
    </row>
    <row r="407" ht="56.25" customHeight="1">
      <c r="A407" s="21" t="s">
        <v>1821</v>
      </c>
      <c r="B407" s="15" t="str">
        <f>image("https://i.imgur.com/PRh3EZp.png")</f>
        <v/>
      </c>
      <c r="C407" s="22" t="str">
        <f>HYPERLINK("https://imgur.com/a/E3zmZWt","Yes")</f>
        <v>Yes</v>
      </c>
      <c r="D407" s="36" t="s">
        <v>53</v>
      </c>
      <c r="E407" s="36" t="s">
        <v>53</v>
      </c>
      <c r="F407" s="24" t="s">
        <v>51</v>
      </c>
      <c r="G407" s="13">
        <v>960.0</v>
      </c>
      <c r="H407" s="19">
        <v>7281.0</v>
      </c>
      <c r="I407" s="21" t="s">
        <v>95</v>
      </c>
      <c r="J407" s="21"/>
      <c r="K407" s="21"/>
      <c r="L407" s="21"/>
      <c r="M407" s="15" t="s">
        <v>130</v>
      </c>
      <c r="N407" s="19">
        <v>2.0</v>
      </c>
      <c r="O407" s="21" t="s">
        <v>39</v>
      </c>
      <c r="P407" s="15" t="s">
        <v>53</v>
      </c>
      <c r="Q407" s="13" t="s">
        <v>41</v>
      </c>
      <c r="R407" s="13" t="s">
        <v>54</v>
      </c>
      <c r="S407" s="13" t="s">
        <v>55</v>
      </c>
      <c r="T407" s="21"/>
    </row>
    <row r="408" ht="56.25" customHeight="1">
      <c r="A408" s="21" t="s">
        <v>1824</v>
      </c>
      <c r="B408" s="15" t="str">
        <f>image("https://i.imgur.com/M7KgdtR.png")</f>
        <v/>
      </c>
      <c r="C408" s="22" t="str">
        <f>HYPERLINK("https://imgur.com/a/4knL8Rc","No")</f>
        <v>No</v>
      </c>
      <c r="D408" s="36" t="s">
        <v>53</v>
      </c>
      <c r="E408" s="36" t="s">
        <v>40</v>
      </c>
      <c r="F408" s="24" t="s">
        <v>51</v>
      </c>
      <c r="G408" s="13">
        <v>120.0</v>
      </c>
      <c r="H408" s="19">
        <v>3410.0</v>
      </c>
      <c r="I408" s="21" t="s">
        <v>243</v>
      </c>
      <c r="J408" s="21"/>
      <c r="K408" s="21"/>
      <c r="L408" s="21"/>
      <c r="M408" s="15" t="s">
        <v>38</v>
      </c>
      <c r="N408" s="19"/>
      <c r="O408" s="21" t="s">
        <v>39</v>
      </c>
      <c r="P408" s="15" t="s">
        <v>40</v>
      </c>
      <c r="Q408" s="13" t="s">
        <v>41</v>
      </c>
      <c r="R408" s="13" t="s">
        <v>54</v>
      </c>
      <c r="S408" s="13" t="s">
        <v>55</v>
      </c>
      <c r="T408" s="21"/>
    </row>
    <row r="409" ht="56.25" customHeight="1">
      <c r="A409" s="21" t="s">
        <v>1826</v>
      </c>
      <c r="B409" s="15" t="str">
        <f>image("https://i.imgur.com/aT19ls4.png")</f>
        <v/>
      </c>
      <c r="C409" s="22" t="str">
        <f>HYPERLINK("https://imgur.com/a/Who0Ug9","Yes")</f>
        <v>Yes</v>
      </c>
      <c r="D409" s="36" t="s">
        <v>40</v>
      </c>
      <c r="E409" s="36" t="s">
        <v>40</v>
      </c>
      <c r="F409" s="13">
        <v>5500.0</v>
      </c>
      <c r="G409" s="13">
        <v>1375.0</v>
      </c>
      <c r="H409" s="19">
        <v>1143.0</v>
      </c>
      <c r="I409" s="21" t="s">
        <v>338</v>
      </c>
      <c r="J409" s="21"/>
      <c r="K409" s="21"/>
      <c r="L409" s="21"/>
      <c r="M409" s="15" t="s">
        <v>38</v>
      </c>
      <c r="N409" s="19">
        <v>2.0</v>
      </c>
      <c r="O409" s="21" t="s">
        <v>39</v>
      </c>
      <c r="P409" s="15" t="s">
        <v>53</v>
      </c>
      <c r="Q409" s="13" t="s">
        <v>41</v>
      </c>
      <c r="R409" s="13" t="s">
        <v>43</v>
      </c>
      <c r="S409" s="13" t="s">
        <v>44</v>
      </c>
      <c r="T409" s="21" t="s">
        <v>202</v>
      </c>
    </row>
    <row r="410" ht="56.25" customHeight="1">
      <c r="A410" s="21" t="s">
        <v>1828</v>
      </c>
      <c r="B410" s="15" t="str">
        <f>image("https://i.imgur.com/fBmjonc.png")</f>
        <v/>
      </c>
      <c r="C410" s="22" t="str">
        <f>HYPERLINK("https://imgur.com/a/x2GOAfi","Yes")</f>
        <v>Yes</v>
      </c>
      <c r="D410" s="36" t="s">
        <v>40</v>
      </c>
      <c r="E410" s="36" t="s">
        <v>40</v>
      </c>
      <c r="F410" s="24" t="s">
        <v>51</v>
      </c>
      <c r="G410" s="13">
        <v>10000.0</v>
      </c>
      <c r="H410" s="19">
        <v>971.0</v>
      </c>
      <c r="I410" s="21" t="s">
        <v>90</v>
      </c>
      <c r="J410" s="21" t="s">
        <v>37</v>
      </c>
      <c r="K410" s="21"/>
      <c r="L410" s="21"/>
      <c r="M410" s="15" t="s">
        <v>130</v>
      </c>
      <c r="N410" s="19">
        <v>7.0</v>
      </c>
      <c r="O410" s="21" t="s">
        <v>39</v>
      </c>
      <c r="P410" s="15" t="s">
        <v>53</v>
      </c>
      <c r="Q410" s="13" t="s">
        <v>215</v>
      </c>
      <c r="R410" s="13" t="s">
        <v>54</v>
      </c>
      <c r="S410" s="13" t="s">
        <v>516</v>
      </c>
      <c r="T410" s="21"/>
    </row>
    <row r="411" ht="56.25" customHeight="1">
      <c r="A411" s="21" t="s">
        <v>1830</v>
      </c>
      <c r="B411" s="15" t="str">
        <f>image("https://i.imgur.com/ROun57h.png")</f>
        <v/>
      </c>
      <c r="C411" s="22" t="str">
        <f>HYPERLINK("https://imgur.com/a/bpUGr6P","No")</f>
        <v>No</v>
      </c>
      <c r="D411" s="36" t="s">
        <v>40</v>
      </c>
      <c r="E411" s="36" t="s">
        <v>40</v>
      </c>
      <c r="F411" s="24" t="s">
        <v>51</v>
      </c>
      <c r="G411" s="13">
        <v>20000.0</v>
      </c>
      <c r="H411" s="19">
        <v>1149.0</v>
      </c>
      <c r="I411" s="21" t="s">
        <v>156</v>
      </c>
      <c r="J411" s="21"/>
      <c r="K411" s="21"/>
      <c r="L411" s="21"/>
      <c r="M411" s="15" t="s">
        <v>1748</v>
      </c>
      <c r="N411" s="19"/>
      <c r="O411" s="21" t="s">
        <v>39</v>
      </c>
      <c r="P411" s="15" t="s">
        <v>40</v>
      </c>
      <c r="Q411" s="13" t="s">
        <v>41</v>
      </c>
      <c r="R411" s="13" t="s">
        <v>54</v>
      </c>
      <c r="S411" s="13" t="s">
        <v>516</v>
      </c>
      <c r="T411" s="21"/>
    </row>
    <row r="412" ht="56.25" customHeight="1">
      <c r="A412" s="21" t="s">
        <v>1832</v>
      </c>
      <c r="B412" s="15" t="str">
        <f>image("https://i.imgur.com/z8FflVL.png")</f>
        <v/>
      </c>
      <c r="C412" s="22" t="str">
        <f>HYPERLINK("https://imgur.com/a/GgXlbJ8","Yes")</f>
        <v>Yes</v>
      </c>
      <c r="D412" s="36" t="s">
        <v>40</v>
      </c>
      <c r="E412" s="36" t="s">
        <v>40</v>
      </c>
      <c r="F412" s="13">
        <v>3000.0</v>
      </c>
      <c r="G412" s="13">
        <v>750.0</v>
      </c>
      <c r="H412" s="19">
        <v>3416.0</v>
      </c>
      <c r="I412" s="21" t="s">
        <v>37</v>
      </c>
      <c r="J412" s="21" t="s">
        <v>36</v>
      </c>
      <c r="K412" s="21"/>
      <c r="L412" s="21"/>
      <c r="M412" s="15" t="s">
        <v>38</v>
      </c>
      <c r="N412" s="19">
        <v>1.0</v>
      </c>
      <c r="O412" s="21" t="s">
        <v>39</v>
      </c>
      <c r="P412" s="15" t="s">
        <v>53</v>
      </c>
      <c r="Q412" s="13" t="s">
        <v>186</v>
      </c>
      <c r="R412" s="13" t="s">
        <v>43</v>
      </c>
      <c r="S412" s="13" t="s">
        <v>44</v>
      </c>
      <c r="T412" s="21" t="s">
        <v>68</v>
      </c>
    </row>
    <row r="413" ht="56.25" customHeight="1">
      <c r="A413" s="21" t="s">
        <v>1835</v>
      </c>
      <c r="B413" s="15" t="str">
        <f>image("https://i.imgur.com/DgSwLsW.png")</f>
        <v/>
      </c>
      <c r="C413" s="22" t="str">
        <f>HYPERLINK("https://imgur.com/a/I7SDO4Z","Yes")</f>
        <v>Yes</v>
      </c>
      <c r="D413" s="36" t="s">
        <v>40</v>
      </c>
      <c r="E413" s="36" t="s">
        <v>40</v>
      </c>
      <c r="F413" s="13">
        <v>80000.0</v>
      </c>
      <c r="G413" s="13">
        <v>20000.0</v>
      </c>
      <c r="H413" s="19">
        <v>2333.0</v>
      </c>
      <c r="I413" s="21" t="s">
        <v>269</v>
      </c>
      <c r="J413" s="21"/>
      <c r="K413" s="21"/>
      <c r="L413" s="21"/>
      <c r="M413" s="15" t="s">
        <v>1748</v>
      </c>
      <c r="N413" s="19">
        <v>7.0</v>
      </c>
      <c r="O413" s="21" t="s">
        <v>39</v>
      </c>
      <c r="P413" s="15" t="s">
        <v>40</v>
      </c>
      <c r="Q413" s="13" t="s">
        <v>41</v>
      </c>
      <c r="R413" s="13" t="s">
        <v>54</v>
      </c>
      <c r="S413" s="13" t="s">
        <v>516</v>
      </c>
      <c r="T413" s="21"/>
    </row>
    <row r="414" ht="56.25" customHeight="1">
      <c r="A414" s="21" t="s">
        <v>1837</v>
      </c>
      <c r="B414" s="15" t="str">
        <f>image("https://i.imgur.com/amYqE2W.png")</f>
        <v/>
      </c>
      <c r="C414" s="22" t="str">
        <f>HYPERLINK("https://imgur.com/a/zcAsJVv","No")</f>
        <v>No</v>
      </c>
      <c r="D414" s="36" t="s">
        <v>40</v>
      </c>
      <c r="E414" s="36" t="s">
        <v>40</v>
      </c>
      <c r="F414" s="24" t="s">
        <v>51</v>
      </c>
      <c r="G414" s="13">
        <v>1050.0</v>
      </c>
      <c r="H414" s="19">
        <v>8150.0</v>
      </c>
      <c r="I414" s="21" t="s">
        <v>284</v>
      </c>
      <c r="J414" s="21" t="s">
        <v>95</v>
      </c>
      <c r="K414" s="21"/>
      <c r="L414" s="21"/>
      <c r="M414" s="15" t="s">
        <v>38</v>
      </c>
      <c r="N414" s="19"/>
      <c r="O414" s="21" t="s">
        <v>39</v>
      </c>
      <c r="P414" s="15" t="s">
        <v>40</v>
      </c>
      <c r="Q414" s="13" t="s">
        <v>41</v>
      </c>
      <c r="R414" s="13" t="s">
        <v>54</v>
      </c>
      <c r="S414" s="13" t="s">
        <v>574</v>
      </c>
      <c r="T414" s="21"/>
    </row>
    <row r="415" ht="56.25" customHeight="1">
      <c r="A415" s="21" t="s">
        <v>1841</v>
      </c>
      <c r="B415" s="15" t="str">
        <f>image("https://i.imgur.com/8gEmfOs.png")</f>
        <v/>
      </c>
      <c r="C415" s="22" t="str">
        <f>HYPERLINK("https://imgur.com/a/ErwI5Lw","No")</f>
        <v>No</v>
      </c>
      <c r="D415" s="36" t="s">
        <v>53</v>
      </c>
      <c r="E415" s="36" t="s">
        <v>40</v>
      </c>
      <c r="F415" s="24" t="s">
        <v>51</v>
      </c>
      <c r="G415" s="13">
        <v>10000.0</v>
      </c>
      <c r="H415" s="19">
        <v>1444.0</v>
      </c>
      <c r="I415" s="21" t="s">
        <v>269</v>
      </c>
      <c r="J415" s="21"/>
      <c r="K415" s="21"/>
      <c r="L415" s="21"/>
      <c r="M415" s="15" t="s">
        <v>130</v>
      </c>
      <c r="N415" s="19"/>
      <c r="O415" s="21" t="s">
        <v>39</v>
      </c>
      <c r="P415" s="15" t="s">
        <v>53</v>
      </c>
      <c r="Q415" s="13" t="s">
        <v>41</v>
      </c>
      <c r="R415" s="13" t="s">
        <v>54</v>
      </c>
      <c r="S415" s="13" t="s">
        <v>55</v>
      </c>
      <c r="T415" s="21"/>
    </row>
    <row r="416" ht="56.25" customHeight="1">
      <c r="A416" s="21" t="s">
        <v>1844</v>
      </c>
      <c r="B416" s="15" t="str">
        <f>image("https://i.imgur.com/AOa3nSW.png")</f>
        <v/>
      </c>
      <c r="C416" s="22" t="str">
        <f>HYPERLINK("https://imgur.com/a/p0RwndS","Yes")</f>
        <v>Yes</v>
      </c>
      <c r="D416" s="36" t="s">
        <v>40</v>
      </c>
      <c r="E416" s="36" t="s">
        <v>40</v>
      </c>
      <c r="F416" s="13">
        <v>3500.0</v>
      </c>
      <c r="G416" s="13">
        <v>875.0</v>
      </c>
      <c r="H416" s="19">
        <v>7653.0</v>
      </c>
      <c r="I416" s="21" t="s">
        <v>156</v>
      </c>
      <c r="J416" s="21"/>
      <c r="K416" s="21"/>
      <c r="L416" s="21"/>
      <c r="M416" s="15" t="s">
        <v>38</v>
      </c>
      <c r="N416" s="19">
        <v>2.0</v>
      </c>
      <c r="O416" s="21" t="s">
        <v>39</v>
      </c>
      <c r="P416" s="15" t="s">
        <v>53</v>
      </c>
      <c r="Q416" s="13" t="s">
        <v>41</v>
      </c>
      <c r="R416" s="13" t="s">
        <v>43</v>
      </c>
      <c r="S416" s="13" t="s">
        <v>44</v>
      </c>
      <c r="T416" s="21" t="s">
        <v>63</v>
      </c>
    </row>
    <row r="417" ht="56.25" customHeight="1">
      <c r="A417" s="21" t="s">
        <v>1847</v>
      </c>
      <c r="B417" s="15" t="str">
        <f>image("https://i.imgur.com/su1lnt1.png")</f>
        <v/>
      </c>
      <c r="C417" s="22" t="str">
        <f>HYPERLINK("https://imgur.com/a/siiJlXq","No")</f>
        <v>No</v>
      </c>
      <c r="D417" s="36" t="s">
        <v>40</v>
      </c>
      <c r="E417" s="36" t="s">
        <v>40</v>
      </c>
      <c r="F417" s="24" t="s">
        <v>51</v>
      </c>
      <c r="G417" s="13">
        <v>2100.0</v>
      </c>
      <c r="H417" s="19">
        <v>8702.0</v>
      </c>
      <c r="I417" s="21" t="s">
        <v>284</v>
      </c>
      <c r="J417" s="21"/>
      <c r="K417" s="21"/>
      <c r="L417" s="21"/>
      <c r="M417" s="15" t="s">
        <v>327</v>
      </c>
      <c r="N417" s="19"/>
      <c r="O417" s="21" t="s">
        <v>39</v>
      </c>
      <c r="P417" s="15" t="s">
        <v>40</v>
      </c>
      <c r="Q417" s="13" t="s">
        <v>41</v>
      </c>
      <c r="R417" s="13" t="s">
        <v>54</v>
      </c>
      <c r="S417" s="13" t="s">
        <v>574</v>
      </c>
      <c r="T417" s="21"/>
    </row>
    <row r="418" ht="56.25" customHeight="1">
      <c r="A418" s="21" t="s">
        <v>1849</v>
      </c>
      <c r="B418" s="15" t="str">
        <f>image("https://i.imgur.com/6KhQXNc.png")</f>
        <v/>
      </c>
      <c r="C418" s="22" t="str">
        <f>HYPERLINK("https://imgur.com/a/DmI5DOX","No")</f>
        <v>No</v>
      </c>
      <c r="D418" s="36" t="s">
        <v>40</v>
      </c>
      <c r="E418" s="36" t="s">
        <v>40</v>
      </c>
      <c r="F418" s="13">
        <v>970.0</v>
      </c>
      <c r="G418" s="24">
        <v>242.0</v>
      </c>
      <c r="H418" s="19">
        <v>1153.0</v>
      </c>
      <c r="I418" s="21" t="s">
        <v>161</v>
      </c>
      <c r="J418" s="21"/>
      <c r="K418" s="21"/>
      <c r="L418" s="21"/>
      <c r="M418" s="15" t="s">
        <v>38</v>
      </c>
      <c r="N418" s="19"/>
      <c r="O418" s="21" t="s">
        <v>39</v>
      </c>
      <c r="P418" s="15" t="s">
        <v>53</v>
      </c>
      <c r="Q418" s="13" t="s">
        <v>41</v>
      </c>
      <c r="R418" s="13" t="s">
        <v>43</v>
      </c>
      <c r="S418" s="13" t="s">
        <v>44</v>
      </c>
      <c r="T418" s="21" t="s">
        <v>63</v>
      </c>
    </row>
    <row r="419" ht="56.25" customHeight="1">
      <c r="A419" s="21" t="s">
        <v>1852</v>
      </c>
      <c r="B419" s="15" t="str">
        <f>image("https://i.imgur.com/yUJMsoc.png")</f>
        <v/>
      </c>
      <c r="C419" s="22" t="str">
        <f>HYPERLINK("https://imgur.com/a/Ckddkir","Yes")</f>
        <v>Yes</v>
      </c>
      <c r="D419" s="36" t="s">
        <v>40</v>
      </c>
      <c r="E419" s="36" t="s">
        <v>40</v>
      </c>
      <c r="F419" s="24" t="s">
        <v>51</v>
      </c>
      <c r="G419" s="13">
        <v>10000.0</v>
      </c>
      <c r="H419" s="19">
        <v>4379.0</v>
      </c>
      <c r="I419" s="21" t="s">
        <v>90</v>
      </c>
      <c r="J419" s="21" t="s">
        <v>36</v>
      </c>
      <c r="K419" s="21"/>
      <c r="L419" s="21"/>
      <c r="M419" s="15" t="s">
        <v>38</v>
      </c>
      <c r="N419" s="19">
        <v>7.0</v>
      </c>
      <c r="O419" s="21" t="s">
        <v>39</v>
      </c>
      <c r="P419" s="15" t="s">
        <v>53</v>
      </c>
      <c r="Q419" s="13" t="s">
        <v>41</v>
      </c>
      <c r="R419" s="13" t="s">
        <v>54</v>
      </c>
      <c r="S419" s="13" t="s">
        <v>516</v>
      </c>
      <c r="T419" s="21"/>
    </row>
    <row r="420" ht="56.25" customHeight="1">
      <c r="A420" s="21" t="s">
        <v>1854</v>
      </c>
      <c r="B420" s="15" t="str">
        <f>image("https://i.imgur.com/rrymKI8.png")</f>
        <v/>
      </c>
      <c r="C420" s="22" t="str">
        <f>HYPERLINK("https://imgur.com/a/FY6gWLT","No")</f>
        <v>No</v>
      </c>
      <c r="D420" s="36" t="s">
        <v>40</v>
      </c>
      <c r="E420" s="36" t="s">
        <v>40</v>
      </c>
      <c r="F420" s="13">
        <v>1500.0</v>
      </c>
      <c r="G420" s="13">
        <v>375.0</v>
      </c>
      <c r="H420" s="19">
        <v>2775.0</v>
      </c>
      <c r="I420" s="21" t="s">
        <v>161</v>
      </c>
      <c r="J420" s="21" t="s">
        <v>183</v>
      </c>
      <c r="K420" s="21"/>
      <c r="L420" s="21"/>
      <c r="M420" s="15" t="s">
        <v>38</v>
      </c>
      <c r="N420" s="19"/>
      <c r="O420" s="21" t="s">
        <v>39</v>
      </c>
      <c r="P420" s="15" t="s">
        <v>53</v>
      </c>
      <c r="Q420" s="13" t="s">
        <v>41</v>
      </c>
      <c r="R420" s="13" t="s">
        <v>43</v>
      </c>
      <c r="S420" s="13" t="s">
        <v>44</v>
      </c>
      <c r="T420" s="21" t="s">
        <v>63</v>
      </c>
    </row>
    <row r="421" ht="56.25" customHeight="1">
      <c r="A421" s="21" t="s">
        <v>1857</v>
      </c>
      <c r="B421" s="15" t="str">
        <f>image("https://i.imgur.com/Js11Ncw.png")</f>
        <v/>
      </c>
      <c r="C421" s="22" t="str">
        <f>HYPERLINK("https://imgur.com/a/LM264Sz","Yes")</f>
        <v>Yes</v>
      </c>
      <c r="D421" s="36" t="s">
        <v>40</v>
      </c>
      <c r="E421" s="36" t="s">
        <v>40</v>
      </c>
      <c r="F421" s="13">
        <v>2100.0</v>
      </c>
      <c r="G421" s="13">
        <v>525.0</v>
      </c>
      <c r="H421" s="19">
        <v>546.0</v>
      </c>
      <c r="I421" s="21" t="s">
        <v>80</v>
      </c>
      <c r="J421" s="21" t="s">
        <v>90</v>
      </c>
      <c r="K421" s="21"/>
      <c r="L421" s="21"/>
      <c r="M421" s="15" t="s">
        <v>38</v>
      </c>
      <c r="N421" s="19">
        <v>1.0</v>
      </c>
      <c r="O421" s="21" t="s">
        <v>39</v>
      </c>
      <c r="P421" s="15" t="s">
        <v>40</v>
      </c>
      <c r="Q421" s="13" t="s">
        <v>41</v>
      </c>
      <c r="R421" s="13" t="s">
        <v>43</v>
      </c>
      <c r="S421" s="13" t="s">
        <v>44</v>
      </c>
      <c r="T421" s="21" t="s">
        <v>63</v>
      </c>
    </row>
    <row r="422" ht="56.25" customHeight="1">
      <c r="A422" s="21" t="s">
        <v>1860</v>
      </c>
      <c r="B422" s="15" t="str">
        <f>image("https://i.imgur.com/qbISlc3.png")</f>
        <v/>
      </c>
      <c r="C422" s="22" t="str">
        <f>HYPERLINK("https://imgur.com/a/aEsSGrC","Yes")</f>
        <v>Yes</v>
      </c>
      <c r="D422" s="36" t="s">
        <v>53</v>
      </c>
      <c r="E422" s="36" t="s">
        <v>53</v>
      </c>
      <c r="F422" s="24" t="s">
        <v>51</v>
      </c>
      <c r="G422" s="13">
        <v>1440.0</v>
      </c>
      <c r="H422" s="19">
        <v>3617.0</v>
      </c>
      <c r="I422" s="21" t="s">
        <v>37</v>
      </c>
      <c r="J422" s="21" t="s">
        <v>212</v>
      </c>
      <c r="K422" s="21"/>
      <c r="L422" s="21"/>
      <c r="M422" s="15" t="s">
        <v>130</v>
      </c>
      <c r="N422" s="19">
        <v>3.0</v>
      </c>
      <c r="O422" s="21" t="s">
        <v>39</v>
      </c>
      <c r="P422" s="15" t="s">
        <v>40</v>
      </c>
      <c r="Q422" s="13" t="s">
        <v>41</v>
      </c>
      <c r="R422" s="13" t="s">
        <v>54</v>
      </c>
      <c r="S422" s="13" t="s">
        <v>516</v>
      </c>
      <c r="T422" s="21"/>
    </row>
    <row r="423" ht="56.25" customHeight="1">
      <c r="A423" s="21" t="s">
        <v>1863</v>
      </c>
      <c r="B423" s="15" t="str">
        <f>image("https://i.imgur.com/HK93e1r.png")</f>
        <v/>
      </c>
      <c r="C423" s="22" t="str">
        <f>HYPERLINK("https://imgur.com/a/6Ys6kAd","Yes")</f>
        <v>Yes</v>
      </c>
      <c r="D423" s="36" t="s">
        <v>53</v>
      </c>
      <c r="E423" s="36" t="s">
        <v>53</v>
      </c>
      <c r="F423" s="24" t="s">
        <v>51</v>
      </c>
      <c r="G423" s="13">
        <v>2250.0</v>
      </c>
      <c r="H423" s="19">
        <v>3445.0</v>
      </c>
      <c r="I423" s="21" t="s">
        <v>80</v>
      </c>
      <c r="J423" s="21" t="s">
        <v>61</v>
      </c>
      <c r="K423" s="21"/>
      <c r="L423" s="21"/>
      <c r="M423" s="15" t="s">
        <v>38</v>
      </c>
      <c r="N423" s="19">
        <v>4.0</v>
      </c>
      <c r="O423" s="21" t="s">
        <v>39</v>
      </c>
      <c r="P423" s="15" t="s">
        <v>40</v>
      </c>
      <c r="Q423" s="13" t="s">
        <v>41</v>
      </c>
      <c r="R423" s="13" t="s">
        <v>54</v>
      </c>
      <c r="S423" s="13" t="s">
        <v>55</v>
      </c>
      <c r="T423" s="21"/>
    </row>
    <row r="424" ht="56.25" customHeight="1">
      <c r="A424" s="21" t="s">
        <v>1866</v>
      </c>
      <c r="B424" s="15" t="str">
        <f>image("https://i.imgur.com/OdjpBfS.png")</f>
        <v/>
      </c>
      <c r="C424" s="22" t="str">
        <f>HYPERLINK("https://imgur.com/a/pYPOd3y","No")</f>
        <v>No</v>
      </c>
      <c r="D424" s="36" t="s">
        <v>40</v>
      </c>
      <c r="E424" s="36" t="s">
        <v>40</v>
      </c>
      <c r="F424" s="38">
        <v>1900.0</v>
      </c>
      <c r="G424" s="38">
        <v>475.0</v>
      </c>
      <c r="H424" s="19">
        <v>1217.0</v>
      </c>
      <c r="I424" s="21" t="s">
        <v>183</v>
      </c>
      <c r="J424" s="21"/>
      <c r="K424" s="21"/>
      <c r="L424" s="21"/>
      <c r="M424" s="15" t="s">
        <v>38</v>
      </c>
      <c r="N424" s="19"/>
      <c r="O424" s="21" t="s">
        <v>39</v>
      </c>
      <c r="P424" s="15" t="s">
        <v>53</v>
      </c>
      <c r="Q424" s="13" t="s">
        <v>41</v>
      </c>
      <c r="R424" s="13" t="s">
        <v>43</v>
      </c>
      <c r="S424" s="13" t="s">
        <v>44</v>
      </c>
      <c r="T424" s="21" t="s">
        <v>63</v>
      </c>
    </row>
    <row r="425" ht="56.25" customHeight="1">
      <c r="A425" s="21" t="s">
        <v>1869</v>
      </c>
      <c r="B425" s="15" t="str">
        <f>image("https://i.imgur.com/Ga45npk.png")</f>
        <v/>
      </c>
      <c r="C425" s="22" t="str">
        <f>HYPERLINK("https://imgur.com/a/uh1JIPS","No")</f>
        <v>No</v>
      </c>
      <c r="D425" s="36" t="s">
        <v>40</v>
      </c>
      <c r="E425" s="36" t="s">
        <v>40</v>
      </c>
      <c r="F425" s="24" t="s">
        <v>51</v>
      </c>
      <c r="G425" s="13">
        <v>2300.0</v>
      </c>
      <c r="H425" s="19">
        <v>693.0</v>
      </c>
      <c r="I425" s="21" t="s">
        <v>284</v>
      </c>
      <c r="J425" s="21" t="s">
        <v>62</v>
      </c>
      <c r="K425" s="21"/>
      <c r="L425" s="21"/>
      <c r="M425" s="15" t="s">
        <v>38</v>
      </c>
      <c r="N425" s="19"/>
      <c r="O425" s="21" t="s">
        <v>39</v>
      </c>
      <c r="P425" s="15" t="s">
        <v>53</v>
      </c>
      <c r="Q425" s="13" t="s">
        <v>365</v>
      </c>
      <c r="R425" s="13" t="s">
        <v>54</v>
      </c>
      <c r="S425" s="13" t="s">
        <v>574</v>
      </c>
      <c r="T425" s="21"/>
    </row>
    <row r="426" ht="56.25" customHeight="1">
      <c r="A426" s="21" t="s">
        <v>1872</v>
      </c>
      <c r="B426" s="15" t="str">
        <f>image("https://i.imgur.com/QUkxTl5.png")</f>
        <v/>
      </c>
      <c r="C426" s="22" t="str">
        <f>HYPERLINK("https://imgur.com/a/ZtMGybg","Yes")</f>
        <v>Yes</v>
      </c>
      <c r="D426" s="36" t="s">
        <v>53</v>
      </c>
      <c r="E426" s="36" t="s">
        <v>53</v>
      </c>
      <c r="F426" s="24" t="s">
        <v>51</v>
      </c>
      <c r="G426" s="13">
        <v>13500.0</v>
      </c>
      <c r="H426" s="19">
        <v>11941.0</v>
      </c>
      <c r="I426" s="21" t="s">
        <v>95</v>
      </c>
      <c r="J426" s="21"/>
      <c r="K426" s="21"/>
      <c r="L426" s="21"/>
      <c r="M426" s="15" t="s">
        <v>327</v>
      </c>
      <c r="N426" s="19">
        <v>7.0</v>
      </c>
      <c r="O426" s="21" t="s">
        <v>39</v>
      </c>
      <c r="P426" s="15" t="s">
        <v>40</v>
      </c>
      <c r="Q426" s="13" t="s">
        <v>41</v>
      </c>
      <c r="R426" s="13" t="s">
        <v>54</v>
      </c>
      <c r="S426" s="13" t="s">
        <v>516</v>
      </c>
      <c r="T426" s="21"/>
    </row>
    <row r="427" ht="56.25" customHeight="1">
      <c r="A427" s="21" t="s">
        <v>1875</v>
      </c>
      <c r="B427" s="15" t="str">
        <f>image("https://i.imgur.com/L9OSLzk.png")</f>
        <v/>
      </c>
      <c r="C427" s="22" t="str">
        <f>HYPERLINK("https://imgur.com/a/hnF0aie","Yes")</f>
        <v>Yes</v>
      </c>
      <c r="D427" s="36" t="s">
        <v>53</v>
      </c>
      <c r="E427" s="36" t="s">
        <v>40</v>
      </c>
      <c r="F427" s="24" t="s">
        <v>51</v>
      </c>
      <c r="G427" s="13">
        <v>450.0</v>
      </c>
      <c r="H427" s="19">
        <v>7795.0</v>
      </c>
      <c r="I427" s="21" t="s">
        <v>284</v>
      </c>
      <c r="J427" s="21" t="s">
        <v>95</v>
      </c>
      <c r="K427" s="21"/>
      <c r="L427" s="21"/>
      <c r="M427" s="15" t="s">
        <v>38</v>
      </c>
      <c r="N427" s="19">
        <v>5.0</v>
      </c>
      <c r="O427" s="21" t="s">
        <v>39</v>
      </c>
      <c r="P427" s="15" t="s">
        <v>40</v>
      </c>
      <c r="Q427" s="13" t="s">
        <v>41</v>
      </c>
      <c r="R427" s="13" t="s">
        <v>54</v>
      </c>
      <c r="S427" s="13" t="s">
        <v>55</v>
      </c>
      <c r="T427" s="21"/>
    </row>
    <row r="428" ht="56.25" customHeight="1">
      <c r="A428" s="21" t="s">
        <v>1878</v>
      </c>
      <c r="B428" s="15" t="str">
        <f>image("https://i.imgur.com/tYSR9s6.png")</f>
        <v/>
      </c>
      <c r="C428" s="22" t="str">
        <f>HYPERLINK("https://imgur.com/a/sraiaX1","No")</f>
        <v>No</v>
      </c>
      <c r="D428" s="36" t="s">
        <v>53</v>
      </c>
      <c r="E428" s="36" t="s">
        <v>40</v>
      </c>
      <c r="F428" s="24" t="s">
        <v>51</v>
      </c>
      <c r="G428" s="13">
        <v>1200.0</v>
      </c>
      <c r="H428" s="19">
        <v>3398.0</v>
      </c>
      <c r="I428" s="21" t="s">
        <v>95</v>
      </c>
      <c r="J428" s="21"/>
      <c r="K428" s="21"/>
      <c r="L428" s="21"/>
      <c r="M428" s="15" t="s">
        <v>38</v>
      </c>
      <c r="N428" s="19"/>
      <c r="O428" s="21" t="s">
        <v>39</v>
      </c>
      <c r="P428" s="15" t="s">
        <v>53</v>
      </c>
      <c r="Q428" s="13" t="s">
        <v>41</v>
      </c>
      <c r="R428" s="13" t="s">
        <v>54</v>
      </c>
      <c r="S428" s="13" t="s">
        <v>55</v>
      </c>
      <c r="T428" s="21"/>
    </row>
    <row r="429" ht="56.25" customHeight="1">
      <c r="A429" s="21" t="s">
        <v>1882</v>
      </c>
      <c r="B429" s="15" t="str">
        <f>image("https://i.imgur.com/wIvRFYj.png")</f>
        <v/>
      </c>
      <c r="C429" s="22" t="str">
        <f>HYPERLINK("https://imgur.com/a/AdYVnD3","No")</f>
        <v>No</v>
      </c>
      <c r="D429" s="36" t="s">
        <v>53</v>
      </c>
      <c r="E429" s="36" t="s">
        <v>53</v>
      </c>
      <c r="F429" s="24" t="s">
        <v>51</v>
      </c>
      <c r="G429" s="13">
        <v>1800.0</v>
      </c>
      <c r="H429" s="19">
        <v>3397.0</v>
      </c>
      <c r="I429" s="21" t="s">
        <v>95</v>
      </c>
      <c r="J429" s="21"/>
      <c r="K429" s="21"/>
      <c r="L429" s="21"/>
      <c r="M429" s="15" t="s">
        <v>106</v>
      </c>
      <c r="N429" s="19"/>
      <c r="O429" s="21" t="s">
        <v>39</v>
      </c>
      <c r="P429" s="15" t="s">
        <v>40</v>
      </c>
      <c r="Q429" s="13" t="s">
        <v>41</v>
      </c>
      <c r="R429" s="13" t="s">
        <v>54</v>
      </c>
      <c r="S429" s="13" t="s">
        <v>55</v>
      </c>
      <c r="T429" s="21"/>
    </row>
    <row r="430" ht="56.25" customHeight="1">
      <c r="A430" s="35" t="s">
        <v>1884</v>
      </c>
      <c r="B430" s="15" t="str">
        <f>image("https://i.imgur.com/nMdEFRy.png")</f>
        <v/>
      </c>
      <c r="C430" s="22" t="str">
        <f>HYPERLINK("https://imgur.com/a/5Hc7khx","Yes")</f>
        <v>Yes</v>
      </c>
      <c r="D430" s="36" t="s">
        <v>53</v>
      </c>
      <c r="E430" s="36" t="s">
        <v>53</v>
      </c>
      <c r="F430" s="24" t="s">
        <v>51</v>
      </c>
      <c r="G430" s="13">
        <v>3600.0</v>
      </c>
      <c r="H430" s="19">
        <v>11943.0</v>
      </c>
      <c r="I430" s="21" t="s">
        <v>95</v>
      </c>
      <c r="J430" s="21" t="s">
        <v>346</v>
      </c>
      <c r="K430" s="21"/>
      <c r="L430" s="21"/>
      <c r="M430" s="15" t="s">
        <v>38</v>
      </c>
      <c r="N430" s="19">
        <v>3.0</v>
      </c>
      <c r="O430" s="21" t="s">
        <v>39</v>
      </c>
      <c r="P430" s="15" t="s">
        <v>40</v>
      </c>
      <c r="Q430" s="13" t="s">
        <v>41</v>
      </c>
      <c r="R430" s="13" t="s">
        <v>54</v>
      </c>
      <c r="S430" s="13" t="s">
        <v>516</v>
      </c>
      <c r="T430" s="21"/>
    </row>
    <row r="431" ht="56.25" customHeight="1">
      <c r="A431" s="21" t="s">
        <v>1887</v>
      </c>
      <c r="B431" s="15" t="str">
        <f>image("https://i.imgur.com/dVQN9Gx.png")</f>
        <v/>
      </c>
      <c r="C431" s="22" t="str">
        <f>HYPERLINK("https://imgur.com/a/0eEECUJ","No")</f>
        <v>No</v>
      </c>
      <c r="D431" s="36" t="s">
        <v>40</v>
      </c>
      <c r="E431" s="36" t="s">
        <v>40</v>
      </c>
      <c r="F431" s="24" t="s">
        <v>51</v>
      </c>
      <c r="G431" s="13">
        <v>2300.0</v>
      </c>
      <c r="H431" s="19">
        <v>7043.0</v>
      </c>
      <c r="I431" s="21" t="s">
        <v>284</v>
      </c>
      <c r="J431" s="21" t="s">
        <v>95</v>
      </c>
      <c r="K431" s="21"/>
      <c r="L431" s="21"/>
      <c r="M431" s="15" t="s">
        <v>1133</v>
      </c>
      <c r="N431" s="19"/>
      <c r="O431" s="21" t="s">
        <v>39</v>
      </c>
      <c r="P431" s="15" t="s">
        <v>40</v>
      </c>
      <c r="Q431" s="13" t="s">
        <v>41</v>
      </c>
      <c r="R431" s="13" t="s">
        <v>54</v>
      </c>
      <c r="S431" s="13" t="s">
        <v>574</v>
      </c>
      <c r="T431" s="21"/>
    </row>
    <row r="432" ht="56.25" customHeight="1">
      <c r="A432" s="21" t="s">
        <v>1890</v>
      </c>
      <c r="B432" s="15" t="str">
        <f>image("https://i.imgur.com/X7FwuD5.png")</f>
        <v/>
      </c>
      <c r="C432" s="22" t="str">
        <f>HYPERLINK("https://imgur.com/a/QrEXSDB","Yes")</f>
        <v>Yes</v>
      </c>
      <c r="D432" s="36" t="s">
        <v>40</v>
      </c>
      <c r="E432" s="36" t="s">
        <v>40</v>
      </c>
      <c r="F432" s="13">
        <v>5000.0</v>
      </c>
      <c r="G432" s="13">
        <v>1250.0</v>
      </c>
      <c r="H432" s="19">
        <v>4070.0</v>
      </c>
      <c r="I432" s="21" t="s">
        <v>113</v>
      </c>
      <c r="J432" s="21" t="s">
        <v>36</v>
      </c>
      <c r="K432" s="21"/>
      <c r="L432" s="21"/>
      <c r="M432" s="15" t="s">
        <v>38</v>
      </c>
      <c r="N432" s="19">
        <v>2.0</v>
      </c>
      <c r="O432" s="21" t="s">
        <v>39</v>
      </c>
      <c r="P432" s="15" t="s">
        <v>53</v>
      </c>
      <c r="Q432" s="13" t="s">
        <v>41</v>
      </c>
      <c r="R432" s="13" t="s">
        <v>43</v>
      </c>
      <c r="S432" s="13" t="s">
        <v>44</v>
      </c>
      <c r="T432" s="21" t="s">
        <v>68</v>
      </c>
    </row>
    <row r="433" ht="56.25" customHeight="1">
      <c r="A433" s="21" t="s">
        <v>1893</v>
      </c>
      <c r="B433" s="15" t="str">
        <f>image("https://i.imgur.com/90d7Frt.png")</f>
        <v/>
      </c>
      <c r="C433" s="22" t="str">
        <f>HYPERLINK("https://imgur.com/a/Z6WlTg0","Yes")</f>
        <v>Yes</v>
      </c>
      <c r="D433" s="36" t="s">
        <v>53</v>
      </c>
      <c r="E433" s="36" t="s">
        <v>53</v>
      </c>
      <c r="F433" s="24" t="s">
        <v>51</v>
      </c>
      <c r="G433" s="13">
        <v>26755.0</v>
      </c>
      <c r="H433" s="19">
        <v>11942.0</v>
      </c>
      <c r="I433" s="21" t="s">
        <v>67</v>
      </c>
      <c r="J433" s="21"/>
      <c r="K433" s="21"/>
      <c r="L433" s="21"/>
      <c r="M433" s="15" t="s">
        <v>130</v>
      </c>
      <c r="N433" s="19">
        <v>7.0</v>
      </c>
      <c r="O433" s="21" t="s">
        <v>39</v>
      </c>
      <c r="P433" s="15" t="s">
        <v>53</v>
      </c>
      <c r="Q433" s="13" t="s">
        <v>41</v>
      </c>
      <c r="R433" s="13" t="s">
        <v>54</v>
      </c>
      <c r="S433" s="13" t="s">
        <v>55</v>
      </c>
      <c r="T433" s="21"/>
    </row>
    <row r="434" ht="56.25" customHeight="1">
      <c r="A434" s="21" t="s">
        <v>1896</v>
      </c>
      <c r="B434" s="15" t="str">
        <f>image("https://i.imgur.com/0kExaBJ.png")</f>
        <v/>
      </c>
      <c r="C434" s="22" t="str">
        <f>HYPERLINK("https://imgur.com/a/XB0vkqx","Yes")</f>
        <v>Yes</v>
      </c>
      <c r="D434" s="36" t="s">
        <v>40</v>
      </c>
      <c r="E434" s="36" t="s">
        <v>40</v>
      </c>
      <c r="F434" s="24" t="s">
        <v>51</v>
      </c>
      <c r="G434" s="13">
        <v>5000.0</v>
      </c>
      <c r="H434" s="19">
        <v>3816.0</v>
      </c>
      <c r="I434" s="21" t="s">
        <v>95</v>
      </c>
      <c r="J434" s="21"/>
      <c r="K434" s="21"/>
      <c r="L434" s="21"/>
      <c r="M434" s="15" t="s">
        <v>38</v>
      </c>
      <c r="N434" s="19">
        <v>7.0</v>
      </c>
      <c r="O434" s="21" t="s">
        <v>39</v>
      </c>
      <c r="P434" s="15" t="s">
        <v>53</v>
      </c>
      <c r="Q434" s="13" t="s">
        <v>186</v>
      </c>
      <c r="R434" s="13" t="s">
        <v>54</v>
      </c>
      <c r="S434" s="13" t="s">
        <v>516</v>
      </c>
      <c r="T434" s="21"/>
    </row>
    <row r="435" ht="56.25" customHeight="1">
      <c r="A435" s="21" t="s">
        <v>1898</v>
      </c>
      <c r="B435" s="15" t="str">
        <f>image("https://i.imgur.com/gIpabp6.png")</f>
        <v/>
      </c>
      <c r="C435" s="22" t="str">
        <f>HYPERLINK("https://imgur.com/a/1r953rL","Yes")</f>
        <v>Yes</v>
      </c>
      <c r="D435" s="36" t="s">
        <v>40</v>
      </c>
      <c r="E435" s="36" t="s">
        <v>40</v>
      </c>
      <c r="F435" s="13">
        <v>2100.0</v>
      </c>
      <c r="G435" s="13">
        <v>525.0</v>
      </c>
      <c r="H435" s="19">
        <v>7189.0</v>
      </c>
      <c r="I435" s="21" t="s">
        <v>90</v>
      </c>
      <c r="J435" s="21" t="s">
        <v>67</v>
      </c>
      <c r="K435" s="21"/>
      <c r="L435" s="21"/>
      <c r="M435" s="15" t="s">
        <v>38</v>
      </c>
      <c r="N435" s="19">
        <v>1.0</v>
      </c>
      <c r="O435" s="21" t="s">
        <v>39</v>
      </c>
      <c r="P435" s="15" t="s">
        <v>53</v>
      </c>
      <c r="Q435" s="13" t="s">
        <v>689</v>
      </c>
      <c r="R435" s="13" t="s">
        <v>43</v>
      </c>
      <c r="S435" s="13" t="s">
        <v>44</v>
      </c>
      <c r="T435" s="21" t="s">
        <v>63</v>
      </c>
    </row>
    <row r="436" ht="56.25" customHeight="1">
      <c r="A436" s="21" t="s">
        <v>1900</v>
      </c>
      <c r="B436" s="15" t="str">
        <f>image("https://i.imgur.com/G22Ir5Z.png")</f>
        <v/>
      </c>
      <c r="C436" s="22" t="str">
        <f>HYPERLINK("https://imgur.com/a/0AG6wUW","Yes")</f>
        <v>Yes</v>
      </c>
      <c r="D436" s="36" t="s">
        <v>40</v>
      </c>
      <c r="E436" s="36" t="s">
        <v>40</v>
      </c>
      <c r="F436" s="13">
        <v>4100.0</v>
      </c>
      <c r="G436" s="13">
        <v>1025.0</v>
      </c>
      <c r="H436" s="19">
        <v>7868.0</v>
      </c>
      <c r="I436" s="21" t="s">
        <v>84</v>
      </c>
      <c r="J436" s="21"/>
      <c r="K436" s="21"/>
      <c r="L436" s="21"/>
      <c r="M436" s="15" t="s">
        <v>38</v>
      </c>
      <c r="N436" s="19">
        <v>2.0</v>
      </c>
      <c r="O436" s="21" t="s">
        <v>39</v>
      </c>
      <c r="P436" s="15" t="s">
        <v>40</v>
      </c>
      <c r="Q436" s="13" t="s">
        <v>41</v>
      </c>
      <c r="R436" s="13" t="s">
        <v>43</v>
      </c>
      <c r="S436" s="13" t="s">
        <v>44</v>
      </c>
      <c r="T436" s="21" t="s">
        <v>386</v>
      </c>
    </row>
    <row r="437" ht="56.25" customHeight="1">
      <c r="A437" s="21" t="s">
        <v>1903</v>
      </c>
      <c r="B437" s="15" t="str">
        <f>image("https://i.imgur.com/x5DwgFV.png")</f>
        <v/>
      </c>
      <c r="C437" s="22" t="str">
        <f>HYPERLINK("https://imgur.com/a/0aHkYey","Yes")</f>
        <v>Yes</v>
      </c>
      <c r="D437" s="36" t="s">
        <v>53</v>
      </c>
      <c r="E437" s="36" t="s">
        <v>53</v>
      </c>
      <c r="F437" s="24" t="s">
        <v>51</v>
      </c>
      <c r="G437" s="13">
        <v>1440.0</v>
      </c>
      <c r="H437" s="19">
        <v>1170.0</v>
      </c>
      <c r="I437" s="21" t="s">
        <v>95</v>
      </c>
      <c r="J437" s="21"/>
      <c r="K437" s="21"/>
      <c r="L437" s="21"/>
      <c r="M437" s="15" t="s">
        <v>130</v>
      </c>
      <c r="N437" s="19">
        <v>2.0</v>
      </c>
      <c r="O437" s="21" t="s">
        <v>39</v>
      </c>
      <c r="P437" s="15" t="s">
        <v>53</v>
      </c>
      <c r="Q437" s="13" t="s">
        <v>41</v>
      </c>
      <c r="R437" s="13" t="s">
        <v>54</v>
      </c>
      <c r="S437" s="13" t="s">
        <v>55</v>
      </c>
      <c r="T437" s="21"/>
    </row>
    <row r="438" ht="56.25" customHeight="1">
      <c r="A438" s="21" t="s">
        <v>1905</v>
      </c>
      <c r="B438" s="15" t="str">
        <f>image("https://i.imgur.com/2Zb4EWZ.png")</f>
        <v/>
      </c>
      <c r="C438" s="22" t="str">
        <f>HYPERLINK("https://imgur.com/a/FbmXPN0","Yes")</f>
        <v>Yes</v>
      </c>
      <c r="D438" s="36" t="s">
        <v>40</v>
      </c>
      <c r="E438" s="36" t="s">
        <v>40</v>
      </c>
      <c r="F438" s="13">
        <v>66000.0</v>
      </c>
      <c r="G438" s="13">
        <v>16500.0</v>
      </c>
      <c r="H438" s="19">
        <v>1171.0</v>
      </c>
      <c r="I438" s="21" t="s">
        <v>67</v>
      </c>
      <c r="J438" s="21"/>
      <c r="K438" s="21"/>
      <c r="L438" s="21"/>
      <c r="M438" s="15" t="s">
        <v>130</v>
      </c>
      <c r="N438" s="19">
        <v>7.0</v>
      </c>
      <c r="O438" s="21" t="s">
        <v>39</v>
      </c>
      <c r="P438" s="15" t="s">
        <v>53</v>
      </c>
      <c r="Q438" s="13" t="s">
        <v>41</v>
      </c>
      <c r="R438" s="13" t="s">
        <v>43</v>
      </c>
      <c r="S438" s="13" t="s">
        <v>44</v>
      </c>
      <c r="T438" s="21" t="s">
        <v>65</v>
      </c>
    </row>
    <row r="439" ht="56.25" customHeight="1">
      <c r="A439" s="21" t="s">
        <v>1907</v>
      </c>
      <c r="B439" s="15" t="str">
        <f>image("https://i.imgur.com/oCI9G10.png")</f>
        <v/>
      </c>
      <c r="C439" s="22" t="str">
        <f>HYPERLINK("https://imgur.com/a/wbmW7hi","Yes")</f>
        <v>Yes</v>
      </c>
      <c r="D439" s="36" t="s">
        <v>40</v>
      </c>
      <c r="E439" s="36" t="s">
        <v>40</v>
      </c>
      <c r="F439" s="13">
        <v>130000.0</v>
      </c>
      <c r="G439" s="13">
        <v>32500.0</v>
      </c>
      <c r="H439" s="19">
        <v>3616.0</v>
      </c>
      <c r="I439" s="21" t="s">
        <v>86</v>
      </c>
      <c r="J439" s="21" t="s">
        <v>62</v>
      </c>
      <c r="K439" s="21"/>
      <c r="L439" s="21"/>
      <c r="M439" s="15" t="s">
        <v>130</v>
      </c>
      <c r="N439" s="19">
        <v>7.0</v>
      </c>
      <c r="O439" s="21" t="s">
        <v>39</v>
      </c>
      <c r="P439" s="15" t="s">
        <v>40</v>
      </c>
      <c r="Q439" s="13" t="s">
        <v>41</v>
      </c>
      <c r="R439" s="13" t="s">
        <v>43</v>
      </c>
      <c r="S439" s="13" t="s">
        <v>44</v>
      </c>
      <c r="T439" s="21" t="s">
        <v>65</v>
      </c>
    </row>
    <row r="440" ht="56.25" customHeight="1">
      <c r="A440" s="21" t="s">
        <v>1909</v>
      </c>
      <c r="B440" s="15" t="str">
        <f>image("https://i.imgur.com/DmDplBM.png")</f>
        <v/>
      </c>
      <c r="C440" s="22" t="str">
        <f>HYPERLINK("https://imgur.com/a/qdhFUBB","Yes")</f>
        <v>Yes</v>
      </c>
      <c r="D440" s="36" t="s">
        <v>40</v>
      </c>
      <c r="E440" s="36" t="s">
        <v>40</v>
      </c>
      <c r="F440" s="13">
        <v>5100.0</v>
      </c>
      <c r="G440" s="13">
        <v>1275.0</v>
      </c>
      <c r="H440" s="19">
        <v>1779.0</v>
      </c>
      <c r="I440" s="21" t="s">
        <v>37</v>
      </c>
      <c r="J440" s="21" t="s">
        <v>212</v>
      </c>
      <c r="K440" s="21"/>
      <c r="L440" s="21"/>
      <c r="M440" s="15" t="s">
        <v>106</v>
      </c>
      <c r="N440" s="19">
        <v>2.0</v>
      </c>
      <c r="O440" s="21" t="s">
        <v>39</v>
      </c>
      <c r="P440" s="15" t="s">
        <v>40</v>
      </c>
      <c r="Q440" s="13" t="s">
        <v>41</v>
      </c>
      <c r="R440" s="13" t="s">
        <v>43</v>
      </c>
      <c r="S440" s="13" t="s">
        <v>44</v>
      </c>
      <c r="T440" s="21" t="s">
        <v>65</v>
      </c>
    </row>
    <row r="441" ht="56.25" customHeight="1">
      <c r="A441" s="21" t="s">
        <v>1911</v>
      </c>
      <c r="B441" s="15" t="str">
        <f>image("https://i.imgur.com/1MaNbmK.png")</f>
        <v/>
      </c>
      <c r="C441" s="22" t="str">
        <f>HYPERLINK("https://imgur.com/a/lMK8UbM","No")</f>
        <v>No</v>
      </c>
      <c r="D441" s="36" t="s">
        <v>53</v>
      </c>
      <c r="E441" s="36" t="s">
        <v>40</v>
      </c>
      <c r="F441" s="24" t="s">
        <v>51</v>
      </c>
      <c r="G441" s="13">
        <v>9000.0</v>
      </c>
      <c r="H441" s="19">
        <v>730.0</v>
      </c>
      <c r="I441" s="21" t="s">
        <v>95</v>
      </c>
      <c r="J441" s="21"/>
      <c r="K441" s="21"/>
      <c r="L441" s="21"/>
      <c r="M441" s="15" t="s">
        <v>38</v>
      </c>
      <c r="N441" s="19"/>
      <c r="O441" s="21" t="s">
        <v>39</v>
      </c>
      <c r="P441" s="15" t="s">
        <v>40</v>
      </c>
      <c r="Q441" s="13" t="s">
        <v>41</v>
      </c>
      <c r="R441" s="13" t="s">
        <v>54</v>
      </c>
      <c r="S441" s="13" t="s">
        <v>55</v>
      </c>
      <c r="T441" s="21"/>
    </row>
    <row r="442" ht="56.25" customHeight="1">
      <c r="A442" s="21" t="s">
        <v>1913</v>
      </c>
      <c r="B442" s="15" t="str">
        <f>image("https://i.imgur.com/A236cEG.png")</f>
        <v/>
      </c>
      <c r="C442" s="22" t="str">
        <f>HYPERLINK("https://imgur.com/a/vqULNMC","Yes")</f>
        <v>Yes</v>
      </c>
      <c r="D442" s="36" t="s">
        <v>53</v>
      </c>
      <c r="E442" s="36" t="s">
        <v>53</v>
      </c>
      <c r="F442" s="24" t="s">
        <v>51</v>
      </c>
      <c r="G442" s="13">
        <v>2700.0</v>
      </c>
      <c r="H442" s="19">
        <v>676.0</v>
      </c>
      <c r="I442" s="21" t="s">
        <v>161</v>
      </c>
      <c r="J442" s="21"/>
      <c r="K442" s="21"/>
      <c r="L442" s="21"/>
      <c r="M442" s="15" t="s">
        <v>38</v>
      </c>
      <c r="N442" s="19">
        <v>4.0</v>
      </c>
      <c r="O442" s="21" t="s">
        <v>39</v>
      </c>
      <c r="P442" s="15" t="s">
        <v>53</v>
      </c>
      <c r="Q442" s="13" t="s">
        <v>164</v>
      </c>
      <c r="R442" s="13" t="s">
        <v>54</v>
      </c>
      <c r="S442" s="13" t="s">
        <v>55</v>
      </c>
      <c r="T442" s="21"/>
    </row>
    <row r="443" ht="56.25" customHeight="1">
      <c r="A443" s="21" t="s">
        <v>1915</v>
      </c>
      <c r="B443" s="15" t="str">
        <f>image("https://i.imgur.com/5x7R8no.png")</f>
        <v/>
      </c>
      <c r="C443" s="22" t="str">
        <f>HYPERLINK("https://imgur.com/a/fMXAaGk","Yes")</f>
        <v>Yes</v>
      </c>
      <c r="D443" s="36" t="s">
        <v>40</v>
      </c>
      <c r="E443" s="36" t="s">
        <v>40</v>
      </c>
      <c r="F443" s="13">
        <v>4100.0</v>
      </c>
      <c r="G443" s="13">
        <v>1025.0</v>
      </c>
      <c r="H443" s="19">
        <v>2776.0</v>
      </c>
      <c r="I443" s="21" t="s">
        <v>183</v>
      </c>
      <c r="J443" s="21"/>
      <c r="K443" s="21"/>
      <c r="L443" s="21"/>
      <c r="M443" s="15" t="s">
        <v>38</v>
      </c>
      <c r="N443" s="19">
        <v>2.0</v>
      </c>
      <c r="O443" s="21" t="s">
        <v>39</v>
      </c>
      <c r="P443" s="15" t="s">
        <v>53</v>
      </c>
      <c r="Q443" s="13" t="s">
        <v>41</v>
      </c>
      <c r="R443" s="13" t="s">
        <v>43</v>
      </c>
      <c r="S443" s="13" t="s">
        <v>44</v>
      </c>
      <c r="T443" s="21" t="s">
        <v>68</v>
      </c>
    </row>
    <row r="444" ht="56.25" customHeight="1">
      <c r="A444" s="21" t="s">
        <v>1917</v>
      </c>
      <c r="B444" s="15" t="str">
        <f>image("https://i.imgur.com/QTtjmWB.png")</f>
        <v/>
      </c>
      <c r="C444" s="22" t="str">
        <f>HYPERLINK("https://imgur.com/a/SoXMDpm","Yes")</f>
        <v>Yes</v>
      </c>
      <c r="D444" s="36" t="s">
        <v>40</v>
      </c>
      <c r="E444" s="36" t="s">
        <v>40</v>
      </c>
      <c r="F444" s="13">
        <v>2800.0</v>
      </c>
      <c r="G444" s="13">
        <v>700.0</v>
      </c>
      <c r="H444" s="19">
        <v>7391.0</v>
      </c>
      <c r="I444" s="21" t="s">
        <v>161</v>
      </c>
      <c r="J444" s="21"/>
      <c r="K444" s="21"/>
      <c r="L444" s="21"/>
      <c r="M444" s="15" t="s">
        <v>130</v>
      </c>
      <c r="N444" s="19">
        <v>1.0</v>
      </c>
      <c r="O444" s="21" t="s">
        <v>39</v>
      </c>
      <c r="P444" s="15" t="s">
        <v>53</v>
      </c>
      <c r="Q444" s="13" t="s">
        <v>41</v>
      </c>
      <c r="R444" s="13" t="s">
        <v>43</v>
      </c>
      <c r="S444" s="13" t="s">
        <v>44</v>
      </c>
      <c r="T444" s="21" t="s">
        <v>63</v>
      </c>
    </row>
    <row r="445" ht="56.25" customHeight="1">
      <c r="A445" s="21" t="s">
        <v>1919</v>
      </c>
      <c r="B445" s="15" t="str">
        <f>image("https://i.imgur.com/7gp8ppW.png")</f>
        <v/>
      </c>
      <c r="C445" s="22" t="str">
        <f>HYPERLINK("https://imgur.com/a/7XlXgkO","No")</f>
        <v>No</v>
      </c>
      <c r="D445" s="36" t="s">
        <v>53</v>
      </c>
      <c r="E445" s="36" t="s">
        <v>40</v>
      </c>
      <c r="F445" s="24" t="s">
        <v>51</v>
      </c>
      <c r="G445" s="13">
        <v>12350.0</v>
      </c>
      <c r="H445" s="19">
        <v>5961.0</v>
      </c>
      <c r="I445" s="21" t="s">
        <v>183</v>
      </c>
      <c r="J445" s="21" t="s">
        <v>62</v>
      </c>
      <c r="K445" s="21"/>
      <c r="L445" s="21"/>
      <c r="M445" s="15" t="s">
        <v>130</v>
      </c>
      <c r="N445" s="19"/>
      <c r="O445" s="21" t="s">
        <v>39</v>
      </c>
      <c r="P445" s="15" t="s">
        <v>40</v>
      </c>
      <c r="Q445" s="13" t="s">
        <v>41</v>
      </c>
      <c r="R445" s="13" t="s">
        <v>54</v>
      </c>
      <c r="S445" s="13" t="s">
        <v>55</v>
      </c>
      <c r="T445" s="21"/>
    </row>
    <row r="446" ht="56.25" customHeight="1">
      <c r="A446" s="21" t="s">
        <v>1921</v>
      </c>
      <c r="B446" s="15" t="str">
        <f>image("https://i.imgur.com/jx3ydvE.png")</f>
        <v/>
      </c>
      <c r="C446" s="22" t="str">
        <f>HYPERLINK("https://imgur.com/a/M0FFuxi","Yes")</f>
        <v>Yes</v>
      </c>
      <c r="D446" s="36" t="s">
        <v>53</v>
      </c>
      <c r="E446" s="36" t="s">
        <v>53</v>
      </c>
      <c r="F446" s="24" t="s">
        <v>51</v>
      </c>
      <c r="G446" s="13">
        <v>1440.0</v>
      </c>
      <c r="H446" s="19">
        <v>739.0</v>
      </c>
      <c r="I446" s="21" t="s">
        <v>161</v>
      </c>
      <c r="J446" s="21" t="s">
        <v>60</v>
      </c>
      <c r="K446" s="21"/>
      <c r="L446" s="21"/>
      <c r="M446" s="15" t="s">
        <v>106</v>
      </c>
      <c r="N446" s="19">
        <v>2.0</v>
      </c>
      <c r="O446" s="21" t="s">
        <v>39</v>
      </c>
      <c r="P446" s="15" t="s">
        <v>40</v>
      </c>
      <c r="Q446" s="13" t="s">
        <v>41</v>
      </c>
      <c r="R446" s="13" t="s">
        <v>54</v>
      </c>
      <c r="S446" s="13" t="s">
        <v>55</v>
      </c>
      <c r="T446" s="21"/>
    </row>
    <row r="447" ht="56.25" customHeight="1">
      <c r="A447" s="21" t="s">
        <v>1923</v>
      </c>
      <c r="B447" s="15" t="str">
        <f>image("https://i.imgur.com/y8LHH6O.png")</f>
        <v/>
      </c>
      <c r="C447" s="22" t="str">
        <f>HYPERLINK("https://imgur.com/a/dP6txUT","Yes")</f>
        <v>Yes</v>
      </c>
      <c r="D447" s="36" t="s">
        <v>40</v>
      </c>
      <c r="E447" s="36" t="s">
        <v>40</v>
      </c>
      <c r="F447" s="24" t="s">
        <v>51</v>
      </c>
      <c r="G447" s="13">
        <v>25000.0</v>
      </c>
      <c r="H447" s="19">
        <v>1507.0</v>
      </c>
      <c r="I447" s="21" t="s">
        <v>90</v>
      </c>
      <c r="J447" s="21" t="s">
        <v>36</v>
      </c>
      <c r="K447" s="21"/>
      <c r="L447" s="21"/>
      <c r="M447" s="15" t="s">
        <v>1133</v>
      </c>
      <c r="N447" s="19">
        <v>7.0</v>
      </c>
      <c r="O447" s="21" t="s">
        <v>39</v>
      </c>
      <c r="P447" s="15" t="s">
        <v>53</v>
      </c>
      <c r="Q447" s="13" t="s">
        <v>41</v>
      </c>
      <c r="R447" s="13" t="s">
        <v>54</v>
      </c>
      <c r="S447" s="13" t="s">
        <v>516</v>
      </c>
      <c r="T447" s="21"/>
    </row>
    <row r="448" ht="56.25" customHeight="1">
      <c r="A448" s="21" t="s">
        <v>1925</v>
      </c>
      <c r="B448" s="15" t="str">
        <f>image("https://i.imgur.com/GOpOqVn.png")</f>
        <v/>
      </c>
      <c r="C448" s="22" t="str">
        <f>HYPERLINK("https://imgur.com/a/QJryS7t","No")</f>
        <v>No</v>
      </c>
      <c r="D448" s="36" t="s">
        <v>40</v>
      </c>
      <c r="E448" s="36" t="s">
        <v>40</v>
      </c>
      <c r="F448" s="13">
        <v>5600.0</v>
      </c>
      <c r="G448" s="13">
        <v>1400.0</v>
      </c>
      <c r="H448" s="19">
        <v>1186.0</v>
      </c>
      <c r="I448" s="21" t="s">
        <v>269</v>
      </c>
      <c r="J448" s="21"/>
      <c r="K448" s="21"/>
      <c r="L448" s="21"/>
      <c r="M448" s="15" t="s">
        <v>38</v>
      </c>
      <c r="N448" s="19"/>
      <c r="O448" s="21" t="s">
        <v>39</v>
      </c>
      <c r="P448" s="15" t="s">
        <v>40</v>
      </c>
      <c r="Q448" s="13" t="s">
        <v>41</v>
      </c>
      <c r="R448" s="13" t="s">
        <v>43</v>
      </c>
      <c r="S448" s="13" t="s">
        <v>44</v>
      </c>
      <c r="T448" s="21" t="s">
        <v>63</v>
      </c>
    </row>
    <row r="449" ht="56.25" customHeight="1">
      <c r="A449" s="21" t="s">
        <v>1926</v>
      </c>
      <c r="B449" s="15" t="str">
        <f>image("https://i.imgur.com/6cK2nxJ.png")</f>
        <v/>
      </c>
      <c r="C449" s="22" t="str">
        <f>HYPERLINK("https://imgur.com/a/YJ5kpjw","No")</f>
        <v>No</v>
      </c>
      <c r="D449" s="36" t="s">
        <v>40</v>
      </c>
      <c r="E449" s="36" t="s">
        <v>40</v>
      </c>
      <c r="F449" s="13">
        <v>44000.0</v>
      </c>
      <c r="G449" s="13">
        <v>11000.0</v>
      </c>
      <c r="H449" s="19">
        <v>1181.0</v>
      </c>
      <c r="I449" s="21" t="s">
        <v>37</v>
      </c>
      <c r="J449" s="21" t="s">
        <v>80</v>
      </c>
      <c r="K449" s="21"/>
      <c r="L449" s="21"/>
      <c r="M449" s="15" t="s">
        <v>130</v>
      </c>
      <c r="N449" s="19"/>
      <c r="O449" s="21" t="s">
        <v>39</v>
      </c>
      <c r="P449" s="15" t="s">
        <v>40</v>
      </c>
      <c r="Q449" s="13" t="s">
        <v>41</v>
      </c>
      <c r="R449" s="13" t="s">
        <v>43</v>
      </c>
      <c r="S449" s="13" t="s">
        <v>44</v>
      </c>
      <c r="T449" s="21" t="s">
        <v>65</v>
      </c>
    </row>
    <row r="450" ht="56.25" customHeight="1">
      <c r="A450" s="21" t="s">
        <v>1928</v>
      </c>
      <c r="B450" s="15" t="str">
        <f>image("https://i.imgur.com/gQdYazV.png")</f>
        <v/>
      </c>
      <c r="C450" s="22" t="str">
        <f>HYPERLINK("https://imgur.com/a/WS9GKLB","No")</f>
        <v>No</v>
      </c>
      <c r="D450" s="36" t="s">
        <v>40</v>
      </c>
      <c r="E450" s="36" t="s">
        <v>40</v>
      </c>
      <c r="F450" s="24" t="s">
        <v>51</v>
      </c>
      <c r="G450" s="24">
        <v>550.0</v>
      </c>
      <c r="H450" s="19">
        <v>3415.0</v>
      </c>
      <c r="I450" s="21" t="s">
        <v>95</v>
      </c>
      <c r="J450" s="21" t="s">
        <v>90</v>
      </c>
      <c r="K450" s="21"/>
      <c r="L450" s="21"/>
      <c r="M450" s="15" t="s">
        <v>38</v>
      </c>
      <c r="N450" s="19"/>
      <c r="O450" s="21" t="s">
        <v>39</v>
      </c>
      <c r="P450" s="15" t="s">
        <v>40</v>
      </c>
      <c r="Q450" s="13" t="s">
        <v>41</v>
      </c>
      <c r="R450" s="13" t="s">
        <v>54</v>
      </c>
      <c r="S450" s="13" t="s">
        <v>264</v>
      </c>
      <c r="T450" s="21"/>
    </row>
    <row r="451" ht="56.25" customHeight="1">
      <c r="A451" s="21" t="s">
        <v>1930</v>
      </c>
      <c r="B451" s="15" t="str">
        <f>image("https://i.imgur.com/kqSLD80.png")</f>
        <v/>
      </c>
      <c r="C451" s="22" t="str">
        <f>HYPERLINK("https://imgur.com/a/OlMT252","Yes")</f>
        <v>Yes</v>
      </c>
      <c r="D451" s="36" t="s">
        <v>53</v>
      </c>
      <c r="E451" s="36" t="s">
        <v>53</v>
      </c>
      <c r="F451" s="24" t="s">
        <v>51</v>
      </c>
      <c r="G451" s="13">
        <v>7420.0</v>
      </c>
      <c r="H451" s="19">
        <v>5337.0</v>
      </c>
      <c r="I451" s="21" t="s">
        <v>745</v>
      </c>
      <c r="J451" s="21" t="s">
        <v>95</v>
      </c>
      <c r="K451" s="21"/>
      <c r="L451" s="21"/>
      <c r="M451" s="15" t="s">
        <v>38</v>
      </c>
      <c r="N451" s="19">
        <v>7.0</v>
      </c>
      <c r="O451" s="21" t="s">
        <v>39</v>
      </c>
      <c r="P451" s="15" t="s">
        <v>40</v>
      </c>
      <c r="Q451" s="13" t="s">
        <v>41</v>
      </c>
      <c r="R451" s="13" t="s">
        <v>54</v>
      </c>
      <c r="S451" s="13" t="s">
        <v>747</v>
      </c>
      <c r="T451" s="21" t="s">
        <v>749</v>
      </c>
    </row>
    <row r="452" ht="56.25" customHeight="1">
      <c r="A452" s="21" t="s">
        <v>1933</v>
      </c>
      <c r="B452" s="15" t="str">
        <f>image("https://i.imgur.com/VgHHDGk.png")</f>
        <v/>
      </c>
      <c r="C452" s="22" t="str">
        <f>HYPERLINK("https://imgur.com/a/VDtsAyb","No")</f>
        <v>No</v>
      </c>
      <c r="D452" s="36" t="s">
        <v>40</v>
      </c>
      <c r="E452" s="36" t="s">
        <v>40</v>
      </c>
      <c r="F452" s="13">
        <v>3600.0</v>
      </c>
      <c r="G452" s="13">
        <v>900.0</v>
      </c>
      <c r="H452" s="19">
        <v>4763.0</v>
      </c>
      <c r="I452" s="21" t="s">
        <v>113</v>
      </c>
      <c r="J452" s="21"/>
      <c r="K452" s="21"/>
      <c r="L452" s="21"/>
      <c r="M452" s="15" t="s">
        <v>332</v>
      </c>
      <c r="N452" s="19"/>
      <c r="O452" s="21" t="s">
        <v>39</v>
      </c>
      <c r="P452" s="15" t="s">
        <v>40</v>
      </c>
      <c r="Q452" s="13" t="s">
        <v>41</v>
      </c>
      <c r="R452" s="13" t="s">
        <v>43</v>
      </c>
      <c r="S452" s="13" t="s">
        <v>44</v>
      </c>
      <c r="T452" s="21" t="s">
        <v>68</v>
      </c>
    </row>
    <row r="453" ht="56.25" customHeight="1">
      <c r="A453" s="21" t="s">
        <v>1935</v>
      </c>
      <c r="B453" s="15" t="str">
        <f>image("https://i.imgur.com/FxOp8DS.png")</f>
        <v/>
      </c>
      <c r="C453" s="22" t="str">
        <f>HYPERLINK("https://imgur.com/a/6MHZFCe","Yes")</f>
        <v>Yes</v>
      </c>
      <c r="D453" s="36" t="s">
        <v>40</v>
      </c>
      <c r="E453" s="36" t="s">
        <v>40</v>
      </c>
      <c r="F453" s="13">
        <v>3800.0</v>
      </c>
      <c r="G453" s="13">
        <v>950.0</v>
      </c>
      <c r="H453" s="19">
        <v>4760.0</v>
      </c>
      <c r="I453" s="21" t="s">
        <v>113</v>
      </c>
      <c r="J453" s="21" t="s">
        <v>156</v>
      </c>
      <c r="K453" s="21"/>
      <c r="L453" s="21"/>
      <c r="M453" s="15" t="s">
        <v>106</v>
      </c>
      <c r="N453" s="19">
        <v>2.0</v>
      </c>
      <c r="O453" s="21" t="s">
        <v>39</v>
      </c>
      <c r="P453" s="15" t="s">
        <v>40</v>
      </c>
      <c r="Q453" s="13" t="s">
        <v>41</v>
      </c>
      <c r="R453" s="13" t="s">
        <v>43</v>
      </c>
      <c r="S453" s="13" t="s">
        <v>44</v>
      </c>
      <c r="T453" s="21" t="s">
        <v>65</v>
      </c>
    </row>
    <row r="454" ht="56.25" customHeight="1">
      <c r="A454" s="21" t="s">
        <v>1937</v>
      </c>
      <c r="B454" s="15" t="str">
        <f>image("https://i.imgur.com/ona6C6c.png")</f>
        <v/>
      </c>
      <c r="C454" s="22" t="str">
        <f>HYPERLINK("https://imgur.com/a/7w6hTzu","Yes")</f>
        <v>Yes</v>
      </c>
      <c r="D454" s="36" t="s">
        <v>40</v>
      </c>
      <c r="E454" s="36" t="s">
        <v>40</v>
      </c>
      <c r="F454" s="13">
        <v>1400.0</v>
      </c>
      <c r="G454" s="13">
        <v>350.0</v>
      </c>
      <c r="H454" s="19">
        <v>4758.0</v>
      </c>
      <c r="I454" s="21" t="s">
        <v>113</v>
      </c>
      <c r="J454" s="21" t="s">
        <v>156</v>
      </c>
      <c r="K454" s="21"/>
      <c r="L454" s="21"/>
      <c r="M454" s="15" t="s">
        <v>38</v>
      </c>
      <c r="N454" s="19">
        <v>1.0</v>
      </c>
      <c r="O454" s="21" t="s">
        <v>39</v>
      </c>
      <c r="P454" s="15" t="s">
        <v>53</v>
      </c>
      <c r="Q454" s="13" t="s">
        <v>41</v>
      </c>
      <c r="R454" s="13" t="s">
        <v>43</v>
      </c>
      <c r="S454" s="13" t="s">
        <v>44</v>
      </c>
      <c r="T454" s="21" t="s">
        <v>68</v>
      </c>
    </row>
    <row r="455" ht="56.25" customHeight="1">
      <c r="A455" s="21" t="s">
        <v>1940</v>
      </c>
      <c r="B455" s="15" t="str">
        <f>image("https://i.imgur.com/5ZLnEn5.png")</f>
        <v/>
      </c>
      <c r="C455" s="22" t="str">
        <f>HYPERLINK("https://imgur.com/a/P25uYlq","Yes")</f>
        <v>Yes</v>
      </c>
      <c r="D455" s="36" t="s">
        <v>40</v>
      </c>
      <c r="E455" s="36" t="s">
        <v>40</v>
      </c>
      <c r="F455" s="13">
        <v>3800.0</v>
      </c>
      <c r="G455" s="13">
        <v>950.0</v>
      </c>
      <c r="H455" s="19">
        <v>4759.0</v>
      </c>
      <c r="I455" s="21" t="s">
        <v>113</v>
      </c>
      <c r="J455" s="21"/>
      <c r="K455" s="21"/>
      <c r="L455" s="21"/>
      <c r="M455" s="15" t="s">
        <v>130</v>
      </c>
      <c r="N455" s="19">
        <v>2.0</v>
      </c>
      <c r="O455" s="21" t="s">
        <v>39</v>
      </c>
      <c r="P455" s="15" t="s">
        <v>53</v>
      </c>
      <c r="Q455" s="13" t="s">
        <v>41</v>
      </c>
      <c r="R455" s="13" t="s">
        <v>43</v>
      </c>
      <c r="S455" s="13" t="s">
        <v>44</v>
      </c>
      <c r="T455" s="21" t="s">
        <v>68</v>
      </c>
    </row>
    <row r="456" ht="56.25" customHeight="1">
      <c r="A456" s="21" t="s">
        <v>1944</v>
      </c>
      <c r="B456" s="15" t="str">
        <f>image("https://i.imgur.com/zrVuAQi.png")</f>
        <v/>
      </c>
      <c r="C456" s="22" t="str">
        <f>HYPERLINK("https://imgur.com/a/jGsJK0d","Yes")</f>
        <v>Yes</v>
      </c>
      <c r="D456" s="36" t="s">
        <v>40</v>
      </c>
      <c r="E456" s="36" t="s">
        <v>40</v>
      </c>
      <c r="F456" s="13">
        <v>5900.0</v>
      </c>
      <c r="G456" s="13">
        <v>1475.0</v>
      </c>
      <c r="H456" s="19">
        <v>4761.0</v>
      </c>
      <c r="I456" s="21" t="s">
        <v>113</v>
      </c>
      <c r="J456" s="21" t="s">
        <v>269</v>
      </c>
      <c r="K456" s="21"/>
      <c r="L456" s="21"/>
      <c r="M456" s="15" t="s">
        <v>38</v>
      </c>
      <c r="N456" s="19">
        <v>2.0</v>
      </c>
      <c r="O456" s="21" t="s">
        <v>39</v>
      </c>
      <c r="P456" s="15" t="s">
        <v>53</v>
      </c>
      <c r="Q456" s="13" t="s">
        <v>41</v>
      </c>
      <c r="R456" s="13" t="s">
        <v>43</v>
      </c>
      <c r="S456" s="13" t="s">
        <v>44</v>
      </c>
      <c r="T456" s="21" t="s">
        <v>68</v>
      </c>
    </row>
    <row r="457" ht="56.25" customHeight="1">
      <c r="A457" s="21" t="s">
        <v>1946</v>
      </c>
      <c r="B457" s="15" t="str">
        <f>image("https://i.imgur.com/cPBTc5m.png")</f>
        <v/>
      </c>
      <c r="C457" s="22" t="str">
        <f>HYPERLINK("https://imgur.com/a/4JFDdsd","No")</f>
        <v>No</v>
      </c>
      <c r="D457" s="36" t="s">
        <v>53</v>
      </c>
      <c r="E457" s="36" t="s">
        <v>40</v>
      </c>
      <c r="F457" s="24" t="s">
        <v>51</v>
      </c>
      <c r="G457" s="13">
        <v>650.0</v>
      </c>
      <c r="H457" s="19">
        <v>343.0</v>
      </c>
      <c r="I457" s="21" t="s">
        <v>338</v>
      </c>
      <c r="J457" s="21" t="s">
        <v>95</v>
      </c>
      <c r="K457" s="21"/>
      <c r="L457" s="21"/>
      <c r="M457" s="15" t="s">
        <v>38</v>
      </c>
      <c r="N457" s="19"/>
      <c r="O457" s="21" t="s">
        <v>39</v>
      </c>
      <c r="P457" s="15" t="s">
        <v>53</v>
      </c>
      <c r="Q457" s="13" t="s">
        <v>164</v>
      </c>
      <c r="R457" s="13" t="s">
        <v>54</v>
      </c>
      <c r="S457" s="13" t="s">
        <v>55</v>
      </c>
      <c r="T457" s="21"/>
    </row>
    <row r="458" ht="56.25" customHeight="1">
      <c r="A458" s="21" t="s">
        <v>1949</v>
      </c>
      <c r="B458" s="15" t="str">
        <f>image("https://i.imgur.com/PPdygEx.png")</f>
        <v/>
      </c>
      <c r="C458" s="22" t="str">
        <f>HYPERLINK("https://imgur.com/a/2M6KVvU","Yes")</f>
        <v>Yes</v>
      </c>
      <c r="D458" s="36" t="s">
        <v>53</v>
      </c>
      <c r="E458" s="36" t="s">
        <v>53</v>
      </c>
      <c r="F458" s="24" t="s">
        <v>51</v>
      </c>
      <c r="G458" s="13">
        <v>1035.0</v>
      </c>
      <c r="H458" s="19">
        <v>5635.0</v>
      </c>
      <c r="I458" s="21" t="s">
        <v>95</v>
      </c>
      <c r="J458" s="21"/>
      <c r="K458" s="21"/>
      <c r="L458" s="21"/>
      <c r="M458" s="15" t="s">
        <v>38</v>
      </c>
      <c r="N458" s="19">
        <v>2.0</v>
      </c>
      <c r="O458" s="21" t="s">
        <v>39</v>
      </c>
      <c r="P458" s="15" t="s">
        <v>40</v>
      </c>
      <c r="Q458" s="13" t="s">
        <v>41</v>
      </c>
      <c r="R458" s="13" t="s">
        <v>54</v>
      </c>
      <c r="S458" s="13" t="s">
        <v>55</v>
      </c>
      <c r="T458" s="21"/>
    </row>
    <row r="459" ht="56.25" customHeight="1">
      <c r="A459" s="21" t="s">
        <v>1951</v>
      </c>
      <c r="B459" s="15" t="str">
        <f>image("https://i.imgur.com/dPilkAn.png")</f>
        <v/>
      </c>
      <c r="C459" s="22" t="str">
        <f>HYPERLINK("https://imgur.com/a/NhFx9id","Yes")</f>
        <v>Yes</v>
      </c>
      <c r="D459" s="36" t="s">
        <v>53</v>
      </c>
      <c r="E459" s="36" t="s">
        <v>53</v>
      </c>
      <c r="F459" s="24" t="s">
        <v>51</v>
      </c>
      <c r="G459" s="13">
        <v>60.0</v>
      </c>
      <c r="H459" s="19">
        <v>1189.0</v>
      </c>
      <c r="I459" s="21" t="s">
        <v>243</v>
      </c>
      <c r="J459" s="21" t="s">
        <v>95</v>
      </c>
      <c r="K459" s="21"/>
      <c r="L459" s="21"/>
      <c r="M459" s="15" t="s">
        <v>38</v>
      </c>
      <c r="N459" s="19">
        <v>1.0</v>
      </c>
      <c r="O459" s="21" t="s">
        <v>39</v>
      </c>
      <c r="P459" s="15" t="s">
        <v>40</v>
      </c>
      <c r="Q459" s="13" t="s">
        <v>41</v>
      </c>
      <c r="R459" s="13" t="s">
        <v>54</v>
      </c>
      <c r="S459" s="13" t="s">
        <v>55</v>
      </c>
      <c r="T459" s="21"/>
    </row>
    <row r="460" ht="56.25" customHeight="1">
      <c r="A460" s="21" t="s">
        <v>1953</v>
      </c>
      <c r="B460" s="15" t="str">
        <f>image("https://i.imgur.com/9Xg9IZZ.png")</f>
        <v/>
      </c>
      <c r="C460" s="22" t="str">
        <f>HYPERLINK("https://imgur.com/a/HbjaXMY","Yes")</f>
        <v>Yes</v>
      </c>
      <c r="D460" s="36" t="s">
        <v>53</v>
      </c>
      <c r="E460" s="36" t="s">
        <v>53</v>
      </c>
      <c r="F460" s="24" t="s">
        <v>51</v>
      </c>
      <c r="G460" s="13">
        <v>20.0</v>
      </c>
      <c r="H460" s="19">
        <v>2329.0</v>
      </c>
      <c r="I460" s="21" t="s">
        <v>95</v>
      </c>
      <c r="J460" s="21"/>
      <c r="K460" s="21"/>
      <c r="L460" s="21"/>
      <c r="M460" s="15" t="s">
        <v>38</v>
      </c>
      <c r="N460" s="19">
        <v>1.0</v>
      </c>
      <c r="O460" s="21" t="s">
        <v>39</v>
      </c>
      <c r="P460" s="15" t="s">
        <v>53</v>
      </c>
      <c r="Q460" s="13" t="s">
        <v>41</v>
      </c>
      <c r="R460" s="13" t="s">
        <v>54</v>
      </c>
      <c r="S460" s="13" t="s">
        <v>55</v>
      </c>
      <c r="T460" s="21"/>
    </row>
    <row r="461" ht="56.25" customHeight="1">
      <c r="A461" s="21" t="s">
        <v>1956</v>
      </c>
      <c r="B461" s="15" t="str">
        <f>image("https://i.imgur.com/J3PpKiL.png")</f>
        <v/>
      </c>
      <c r="C461" s="22" t="str">
        <f>HYPERLINK("https://imgur.com/a/y84uAfP","Yes")</f>
        <v>Yes</v>
      </c>
      <c r="D461" s="36" t="s">
        <v>40</v>
      </c>
      <c r="E461" s="36" t="s">
        <v>40</v>
      </c>
      <c r="F461" s="13">
        <v>4400.0</v>
      </c>
      <c r="G461" s="13">
        <v>1100.0</v>
      </c>
      <c r="H461" s="19">
        <v>1929.0</v>
      </c>
      <c r="I461" s="21" t="s">
        <v>183</v>
      </c>
      <c r="J461" s="21"/>
      <c r="K461" s="21"/>
      <c r="L461" s="21"/>
      <c r="M461" s="15" t="s">
        <v>38</v>
      </c>
      <c r="N461" s="19">
        <v>2.0</v>
      </c>
      <c r="O461" s="21" t="s">
        <v>39</v>
      </c>
      <c r="P461" s="15" t="s">
        <v>53</v>
      </c>
      <c r="Q461" s="13" t="s">
        <v>41</v>
      </c>
      <c r="R461" s="13" t="s">
        <v>43</v>
      </c>
      <c r="S461" s="13" t="s">
        <v>44</v>
      </c>
      <c r="T461" s="21" t="s">
        <v>68</v>
      </c>
    </row>
    <row r="462" ht="56.25" customHeight="1">
      <c r="A462" s="21" t="s">
        <v>1958</v>
      </c>
      <c r="B462" s="15" t="str">
        <f>image("https://i.imgur.com/jFbj4lk.png")</f>
        <v/>
      </c>
      <c r="C462" s="22" t="str">
        <f>HYPERLINK("https://imgur.com/a/SsqbS6P","Yes")</f>
        <v>Yes</v>
      </c>
      <c r="D462" s="36" t="s">
        <v>40</v>
      </c>
      <c r="E462" s="36" t="s">
        <v>40</v>
      </c>
      <c r="F462" s="13">
        <v>670.0</v>
      </c>
      <c r="G462" s="24">
        <v>167.0</v>
      </c>
      <c r="H462" s="19">
        <v>4072.0</v>
      </c>
      <c r="I462" s="21" t="s">
        <v>183</v>
      </c>
      <c r="J462" s="21"/>
      <c r="K462" s="21"/>
      <c r="L462" s="21"/>
      <c r="M462" s="15" t="s">
        <v>38</v>
      </c>
      <c r="N462" s="19">
        <v>1.0</v>
      </c>
      <c r="O462" s="21" t="s">
        <v>39</v>
      </c>
      <c r="P462" s="15" t="s">
        <v>40</v>
      </c>
      <c r="Q462" s="13" t="s">
        <v>41</v>
      </c>
      <c r="R462" s="13" t="s">
        <v>43</v>
      </c>
      <c r="S462" s="13" t="s">
        <v>44</v>
      </c>
      <c r="T462" s="21" t="s">
        <v>63</v>
      </c>
    </row>
    <row r="463" ht="56.25" customHeight="1">
      <c r="A463" s="21" t="s">
        <v>1960</v>
      </c>
      <c r="B463" s="15" t="str">
        <f>image("https://i.imgur.com/9BcHyCJ.png")</f>
        <v/>
      </c>
      <c r="C463" s="22" t="str">
        <f>HYPERLINK("https://imgur.com/a/vKQH4kw","Yes")</f>
        <v>Yes</v>
      </c>
      <c r="D463" s="36" t="s">
        <v>40</v>
      </c>
      <c r="E463" s="36" t="s">
        <v>40</v>
      </c>
      <c r="F463" s="13">
        <v>2400.0</v>
      </c>
      <c r="G463" s="13">
        <v>600.0</v>
      </c>
      <c r="H463" s="19">
        <v>7528.0</v>
      </c>
      <c r="I463" s="21" t="s">
        <v>243</v>
      </c>
      <c r="J463" s="21"/>
      <c r="K463" s="21"/>
      <c r="L463" s="21"/>
      <c r="M463" s="15" t="s">
        <v>38</v>
      </c>
      <c r="N463" s="19">
        <v>1.0</v>
      </c>
      <c r="O463" s="21" t="s">
        <v>39</v>
      </c>
      <c r="P463" s="15" t="s">
        <v>40</v>
      </c>
      <c r="Q463" s="13" t="s">
        <v>41</v>
      </c>
      <c r="R463" s="13" t="s">
        <v>43</v>
      </c>
      <c r="S463" s="13" t="s">
        <v>44</v>
      </c>
      <c r="T463" s="21" t="s">
        <v>63</v>
      </c>
    </row>
    <row r="464" ht="56.25" customHeight="1">
      <c r="A464" s="21" t="s">
        <v>1962</v>
      </c>
      <c r="B464" s="15" t="str">
        <f>image("https://i.imgur.com/LDQO8Ca.png")</f>
        <v/>
      </c>
      <c r="C464" s="22" t="str">
        <f>HYPERLINK("https://imgur.com/a/2rnGMXd","Yes")</f>
        <v>Yes</v>
      </c>
      <c r="D464" s="36" t="s">
        <v>40</v>
      </c>
      <c r="E464" s="36" t="s">
        <v>40</v>
      </c>
      <c r="F464" s="13">
        <v>7300.0</v>
      </c>
      <c r="G464" s="13">
        <v>1825.0</v>
      </c>
      <c r="H464" s="19">
        <v>7525.0</v>
      </c>
      <c r="I464" s="21" t="s">
        <v>243</v>
      </c>
      <c r="J464" s="21" t="s">
        <v>90</v>
      </c>
      <c r="K464" s="21"/>
      <c r="L464" s="21"/>
      <c r="M464" s="15" t="s">
        <v>130</v>
      </c>
      <c r="N464" s="19">
        <v>3.0</v>
      </c>
      <c r="O464" s="21" t="s">
        <v>39</v>
      </c>
      <c r="P464" s="15" t="s">
        <v>40</v>
      </c>
      <c r="Q464" s="13" t="s">
        <v>41</v>
      </c>
      <c r="R464" s="13" t="s">
        <v>43</v>
      </c>
      <c r="S464" s="13" t="s">
        <v>44</v>
      </c>
      <c r="T464" s="21" t="s">
        <v>63</v>
      </c>
    </row>
    <row r="465" ht="56.25" customHeight="1">
      <c r="A465" s="21" t="s">
        <v>1964</v>
      </c>
      <c r="B465" s="15" t="str">
        <f>image("https://i.imgur.com/9Vwi9MS.png")</f>
        <v/>
      </c>
      <c r="C465" s="22" t="str">
        <f>HYPERLINK("https://imgur.com/a/I6e2e2T","Yes")</f>
        <v>Yes</v>
      </c>
      <c r="D465" s="36" t="s">
        <v>40</v>
      </c>
      <c r="E465" s="36" t="s">
        <v>40</v>
      </c>
      <c r="F465" s="24" t="s">
        <v>51</v>
      </c>
      <c r="G465" s="13">
        <v>10000.0</v>
      </c>
      <c r="H465" s="19">
        <v>3078.0</v>
      </c>
      <c r="I465" s="21" t="s">
        <v>269</v>
      </c>
      <c r="J465" s="21" t="s">
        <v>90</v>
      </c>
      <c r="K465" s="21"/>
      <c r="L465" s="21"/>
      <c r="M465" s="15" t="s">
        <v>38</v>
      </c>
      <c r="N465" s="19">
        <v>7.0</v>
      </c>
      <c r="O465" s="21" t="s">
        <v>39</v>
      </c>
      <c r="P465" s="15" t="s">
        <v>40</v>
      </c>
      <c r="Q465" s="13" t="s">
        <v>41</v>
      </c>
      <c r="R465" s="13" t="s">
        <v>54</v>
      </c>
      <c r="S465" s="13" t="s">
        <v>516</v>
      </c>
      <c r="T465" s="21"/>
    </row>
    <row r="466" ht="56.25" customHeight="1">
      <c r="A466" s="21" t="s">
        <v>1966</v>
      </c>
      <c r="B466" s="15" t="str">
        <f>image("https://i.imgur.com/EbnkFrA.png")</f>
        <v/>
      </c>
      <c r="C466" s="22" t="str">
        <f>HYPERLINK("https://imgur.com/a/xqcwYnI","No")</f>
        <v>No</v>
      </c>
      <c r="D466" s="36" t="s">
        <v>40</v>
      </c>
      <c r="E466" s="36" t="s">
        <v>40</v>
      </c>
      <c r="F466" s="24" t="s">
        <v>51</v>
      </c>
      <c r="G466" s="13">
        <v>2300.0</v>
      </c>
      <c r="H466" s="19">
        <v>700.0</v>
      </c>
      <c r="I466" s="21" t="s">
        <v>284</v>
      </c>
      <c r="J466" s="21"/>
      <c r="K466" s="21"/>
      <c r="L466" s="21"/>
      <c r="M466" s="15" t="s">
        <v>38</v>
      </c>
      <c r="N466" s="19"/>
      <c r="O466" s="21" t="s">
        <v>39</v>
      </c>
      <c r="P466" s="15" t="s">
        <v>40</v>
      </c>
      <c r="Q466" s="13" t="s">
        <v>41</v>
      </c>
      <c r="R466" s="13" t="s">
        <v>54</v>
      </c>
      <c r="S466" s="13" t="s">
        <v>574</v>
      </c>
      <c r="T466" s="21"/>
    </row>
    <row r="467" ht="56.25" customHeight="1">
      <c r="A467" s="21" t="s">
        <v>1968</v>
      </c>
      <c r="B467" s="15" t="str">
        <f>image("https://i.imgur.com/AvROpvO.png")</f>
        <v/>
      </c>
      <c r="C467" s="22" t="str">
        <f>HYPERLINK("https://imgur.com/a/IZJEVVZ","Yes")</f>
        <v>Yes</v>
      </c>
      <c r="D467" s="36" t="s">
        <v>40</v>
      </c>
      <c r="E467" s="36" t="s">
        <v>40</v>
      </c>
      <c r="F467" s="13">
        <v>7900.0</v>
      </c>
      <c r="G467" s="13">
        <v>1975.0</v>
      </c>
      <c r="H467" s="19">
        <v>85.0</v>
      </c>
      <c r="I467" s="21" t="s">
        <v>113</v>
      </c>
      <c r="J467" s="21"/>
      <c r="K467" s="21"/>
      <c r="L467" s="21"/>
      <c r="M467" s="15" t="s">
        <v>106</v>
      </c>
      <c r="N467" s="19">
        <v>3.0</v>
      </c>
      <c r="O467" s="21" t="s">
        <v>39</v>
      </c>
      <c r="P467" s="15" t="s">
        <v>53</v>
      </c>
      <c r="Q467" s="13" t="s">
        <v>41</v>
      </c>
      <c r="R467" s="13" t="s">
        <v>43</v>
      </c>
      <c r="S467" s="13" t="s">
        <v>44</v>
      </c>
      <c r="T467" s="21" t="s">
        <v>65</v>
      </c>
    </row>
    <row r="468" ht="56.25" customHeight="1">
      <c r="A468" s="21" t="s">
        <v>1971</v>
      </c>
      <c r="B468" s="15" t="str">
        <f>image("https://i.imgur.com/gMNPQSS.png")</f>
        <v/>
      </c>
      <c r="C468" s="22" t="str">
        <f>HYPERLINK("https://imgur.com/a/HHYuhXY","Yes")</f>
        <v>Yes</v>
      </c>
      <c r="D468" s="36" t="s">
        <v>40</v>
      </c>
      <c r="E468" s="36" t="s">
        <v>40</v>
      </c>
      <c r="F468" s="13">
        <v>64000.0</v>
      </c>
      <c r="G468" s="13">
        <v>16000.0</v>
      </c>
      <c r="H468" s="19">
        <v>290.0</v>
      </c>
      <c r="I468" s="21" t="s">
        <v>156</v>
      </c>
      <c r="J468" s="21"/>
      <c r="K468" s="21"/>
      <c r="L468" s="21"/>
      <c r="M468" s="15" t="s">
        <v>130</v>
      </c>
      <c r="N468" s="19">
        <v>7.0</v>
      </c>
      <c r="O468" s="21" t="s">
        <v>39</v>
      </c>
      <c r="P468" s="15" t="s">
        <v>53</v>
      </c>
      <c r="Q468" s="13" t="s">
        <v>41</v>
      </c>
      <c r="R468" s="13" t="s">
        <v>43</v>
      </c>
      <c r="S468" s="13" t="s">
        <v>44</v>
      </c>
      <c r="T468" s="21" t="s">
        <v>65</v>
      </c>
    </row>
    <row r="469" ht="56.25" customHeight="1">
      <c r="A469" s="21" t="s">
        <v>1973</v>
      </c>
      <c r="B469" s="15" t="str">
        <f>image("https://i.imgur.com/iaAwUzZ.png")</f>
        <v/>
      </c>
      <c r="C469" s="22" t="str">
        <f>HYPERLINK("https://imgur.com/a/zKeT9Bk","Yes")</f>
        <v>Yes</v>
      </c>
      <c r="D469" s="36" t="s">
        <v>53</v>
      </c>
      <c r="E469" s="36" t="s">
        <v>53</v>
      </c>
      <c r="F469" s="24" t="s">
        <v>51</v>
      </c>
      <c r="G469" s="13">
        <v>1560.0</v>
      </c>
      <c r="H469" s="19">
        <v>533.0</v>
      </c>
      <c r="I469" s="21" t="s">
        <v>80</v>
      </c>
      <c r="J469" s="21"/>
      <c r="K469" s="21"/>
      <c r="L469" s="21"/>
      <c r="M469" s="15" t="s">
        <v>130</v>
      </c>
      <c r="N469" s="19">
        <v>3.0</v>
      </c>
      <c r="O469" s="21" t="s">
        <v>39</v>
      </c>
      <c r="P469" s="15" t="s">
        <v>40</v>
      </c>
      <c r="Q469" s="13" t="s">
        <v>41</v>
      </c>
      <c r="R469" s="13" t="s">
        <v>54</v>
      </c>
      <c r="S469" s="13" t="s">
        <v>55</v>
      </c>
      <c r="T469" s="21"/>
    </row>
    <row r="470" ht="56.25" customHeight="1">
      <c r="A470" s="21" t="s">
        <v>1976</v>
      </c>
      <c r="B470" s="15" t="str">
        <f>image("https://i.imgur.com/cvOSNQz.png")</f>
        <v/>
      </c>
      <c r="C470" s="22" t="str">
        <f>HYPERLINK("https://imgur.com/a/6GHNxkK","Yes")</f>
        <v>Yes</v>
      </c>
      <c r="D470" s="36" t="s">
        <v>53</v>
      </c>
      <c r="E470" s="36" t="s">
        <v>53</v>
      </c>
      <c r="F470" s="24" t="s">
        <v>51</v>
      </c>
      <c r="G470" s="13">
        <v>5750.0</v>
      </c>
      <c r="H470" s="19">
        <v>6081.0</v>
      </c>
      <c r="I470" s="21" t="s">
        <v>36</v>
      </c>
      <c r="J470" s="21" t="s">
        <v>95</v>
      </c>
      <c r="K470" s="21"/>
      <c r="L470" s="21"/>
      <c r="M470" s="15" t="s">
        <v>327</v>
      </c>
      <c r="N470" s="19">
        <v>7.0</v>
      </c>
      <c r="O470" s="21" t="s">
        <v>39</v>
      </c>
      <c r="P470" s="15" t="s">
        <v>40</v>
      </c>
      <c r="Q470" s="13" t="s">
        <v>41</v>
      </c>
      <c r="R470" s="13" t="s">
        <v>54</v>
      </c>
      <c r="S470" s="13" t="s">
        <v>55</v>
      </c>
      <c r="T470" s="21" t="s">
        <v>1442</v>
      </c>
    </row>
    <row r="471" ht="56.25" customHeight="1">
      <c r="A471" s="21" t="s">
        <v>1978</v>
      </c>
      <c r="B471" s="15" t="str">
        <f>image("https://i.imgur.com/NEeqN4V.png")</f>
        <v/>
      </c>
      <c r="C471" s="22" t="str">
        <f>HYPERLINK("https://imgur.com/a/2xiHndb","Yes")</f>
        <v>Yes</v>
      </c>
      <c r="D471" s="36" t="s">
        <v>53</v>
      </c>
      <c r="E471" s="36" t="s">
        <v>53</v>
      </c>
      <c r="F471" s="24" t="s">
        <v>51</v>
      </c>
      <c r="G471" s="13">
        <v>6080.0</v>
      </c>
      <c r="H471" s="19">
        <v>6080.0</v>
      </c>
      <c r="I471" s="21" t="s">
        <v>212</v>
      </c>
      <c r="J471" s="21" t="s">
        <v>36</v>
      </c>
      <c r="K471" s="21"/>
      <c r="L471" s="21"/>
      <c r="M471" s="15" t="s">
        <v>38</v>
      </c>
      <c r="N471" s="19">
        <v>7.0</v>
      </c>
      <c r="O471" s="21" t="s">
        <v>39</v>
      </c>
      <c r="P471" s="15" t="s">
        <v>40</v>
      </c>
      <c r="Q471" s="13" t="s">
        <v>41</v>
      </c>
      <c r="R471" s="13" t="s">
        <v>54</v>
      </c>
      <c r="S471" s="13" t="s">
        <v>55</v>
      </c>
      <c r="T471" s="21" t="s">
        <v>1442</v>
      </c>
    </row>
    <row r="472" ht="56.25" customHeight="1">
      <c r="A472" s="21" t="s">
        <v>1980</v>
      </c>
      <c r="B472" s="15" t="str">
        <f>image("https://i.imgur.com/PjMpmwM.png")</f>
        <v/>
      </c>
      <c r="C472" s="22" t="str">
        <f>HYPERLINK("https://imgur.com/a/9nowZIK","Yes")</f>
        <v>Yes</v>
      </c>
      <c r="D472" s="36" t="s">
        <v>40</v>
      </c>
      <c r="E472" s="36" t="s">
        <v>40</v>
      </c>
      <c r="F472" s="13">
        <v>1600.0</v>
      </c>
      <c r="G472" s="13">
        <v>400.0</v>
      </c>
      <c r="H472" s="19">
        <v>1199.0</v>
      </c>
      <c r="I472" s="21" t="s">
        <v>95</v>
      </c>
      <c r="J472" s="21" t="s">
        <v>113</v>
      </c>
      <c r="K472" s="21"/>
      <c r="L472" s="21"/>
      <c r="M472" s="15" t="s">
        <v>38</v>
      </c>
      <c r="N472" s="19">
        <v>1.0</v>
      </c>
      <c r="O472" s="21" t="s">
        <v>39</v>
      </c>
      <c r="P472" s="15" t="s">
        <v>40</v>
      </c>
      <c r="Q472" s="13" t="s">
        <v>41</v>
      </c>
      <c r="R472" s="13" t="s">
        <v>43</v>
      </c>
      <c r="S472" s="13" t="s">
        <v>44</v>
      </c>
      <c r="T472" s="21" t="s">
        <v>63</v>
      </c>
    </row>
    <row r="473" ht="56.25" customHeight="1">
      <c r="A473" s="21" t="s">
        <v>1982</v>
      </c>
      <c r="B473" s="15" t="str">
        <f>image("https://i.imgur.com/13SZ8Oe.png")</f>
        <v/>
      </c>
      <c r="C473" s="22" t="str">
        <f>HYPERLINK("https://imgur.com/a/dRa8uiO","No")</f>
        <v>No</v>
      </c>
      <c r="D473" s="36" t="s">
        <v>53</v>
      </c>
      <c r="E473" s="36" t="s">
        <v>40</v>
      </c>
      <c r="F473" s="24" t="s">
        <v>51</v>
      </c>
      <c r="G473" s="13">
        <v>33690.0</v>
      </c>
      <c r="H473" s="19">
        <v>7261.0</v>
      </c>
      <c r="I473" s="21" t="s">
        <v>62</v>
      </c>
      <c r="J473" s="21" t="s">
        <v>60</v>
      </c>
      <c r="K473" s="21"/>
      <c r="L473" s="21"/>
      <c r="M473" s="15" t="s">
        <v>130</v>
      </c>
      <c r="N473" s="19"/>
      <c r="O473" s="21" t="s">
        <v>39</v>
      </c>
      <c r="P473" s="15" t="s">
        <v>40</v>
      </c>
      <c r="Q473" s="13" t="s">
        <v>41</v>
      </c>
      <c r="R473" s="13" t="s">
        <v>54</v>
      </c>
      <c r="S473" s="13" t="s">
        <v>55</v>
      </c>
      <c r="T473" s="21"/>
    </row>
    <row r="474" ht="56.25" customHeight="1">
      <c r="A474" s="21" t="s">
        <v>1984</v>
      </c>
      <c r="B474" s="15" t="str">
        <f>image("https://i.imgur.com/6Lp4Bea.png")</f>
        <v/>
      </c>
      <c r="C474" s="22" t="str">
        <f>HYPERLINK("https://imgur.com/a/T3nGHCv","Yes")</f>
        <v>Yes</v>
      </c>
      <c r="D474" s="36" t="s">
        <v>53</v>
      </c>
      <c r="E474" s="36" t="s">
        <v>53</v>
      </c>
      <c r="F474" s="24" t="s">
        <v>51</v>
      </c>
      <c r="G474" s="13">
        <v>760.0</v>
      </c>
      <c r="H474" s="19">
        <v>7231.0</v>
      </c>
      <c r="I474" s="21" t="s">
        <v>113</v>
      </c>
      <c r="J474" s="21" t="s">
        <v>36</v>
      </c>
      <c r="K474" s="21"/>
      <c r="L474" s="21"/>
      <c r="M474" s="15" t="s">
        <v>38</v>
      </c>
      <c r="N474" s="19">
        <v>2.0</v>
      </c>
      <c r="O474" s="21" t="s">
        <v>39</v>
      </c>
      <c r="P474" s="15" t="s">
        <v>53</v>
      </c>
      <c r="Q474" s="13" t="s">
        <v>41</v>
      </c>
      <c r="R474" s="13" t="s">
        <v>54</v>
      </c>
      <c r="S474" s="13" t="s">
        <v>55</v>
      </c>
      <c r="T474" s="21"/>
    </row>
    <row r="475" ht="56.25" customHeight="1">
      <c r="A475" s="21" t="s">
        <v>1986</v>
      </c>
      <c r="B475" s="15" t="str">
        <f>image("https://i.imgur.com/wF3vmpN.png")</f>
        <v/>
      </c>
      <c r="C475" s="22" t="str">
        <f>HYPERLINK("https://imgur.com/a/ICZv8fd","Yes")</f>
        <v>Yes</v>
      </c>
      <c r="D475" s="36" t="s">
        <v>40</v>
      </c>
      <c r="E475" s="36" t="s">
        <v>40</v>
      </c>
      <c r="F475" s="13">
        <v>14000.0</v>
      </c>
      <c r="G475" s="13">
        <v>3500.0</v>
      </c>
      <c r="H475" s="19">
        <v>1412.0</v>
      </c>
      <c r="I475" s="21" t="s">
        <v>90</v>
      </c>
      <c r="J475" s="21" t="s">
        <v>67</v>
      </c>
      <c r="K475" s="21"/>
      <c r="L475" s="21"/>
      <c r="M475" s="15" t="s">
        <v>38</v>
      </c>
      <c r="N475" s="19">
        <v>5.0</v>
      </c>
      <c r="O475" s="21" t="s">
        <v>39</v>
      </c>
      <c r="P475" s="15" t="s">
        <v>53</v>
      </c>
      <c r="Q475" s="13" t="s">
        <v>41</v>
      </c>
      <c r="R475" s="13" t="s">
        <v>43</v>
      </c>
      <c r="S475" s="13" t="s">
        <v>44</v>
      </c>
      <c r="T475" s="21" t="s">
        <v>65</v>
      </c>
    </row>
    <row r="476" ht="56.25" customHeight="1">
      <c r="A476" s="21" t="s">
        <v>1988</v>
      </c>
      <c r="B476" s="15" t="str">
        <f>image("https://i.imgur.com/tqiozR2.png")</f>
        <v/>
      </c>
      <c r="C476" s="22" t="str">
        <f>HYPERLINK("https://imgur.com/a/NTU4T9e","Yes")</f>
        <v>Yes</v>
      </c>
      <c r="D476" s="36" t="s">
        <v>40</v>
      </c>
      <c r="E476" s="36" t="s">
        <v>40</v>
      </c>
      <c r="F476" s="13">
        <v>3700.0</v>
      </c>
      <c r="G476" s="13">
        <v>925.0</v>
      </c>
      <c r="H476" s="19">
        <v>833.0</v>
      </c>
      <c r="I476" s="21" t="s">
        <v>80</v>
      </c>
      <c r="J476" s="21" t="s">
        <v>90</v>
      </c>
      <c r="K476" s="21"/>
      <c r="L476" s="21"/>
      <c r="M476" s="15" t="s">
        <v>38</v>
      </c>
      <c r="N476" s="19">
        <v>2.0</v>
      </c>
      <c r="O476" s="21" t="s">
        <v>39</v>
      </c>
      <c r="P476" s="15" t="s">
        <v>53</v>
      </c>
      <c r="Q476" s="13" t="s">
        <v>41</v>
      </c>
      <c r="R476" s="13" t="s">
        <v>43</v>
      </c>
      <c r="S476" s="13" t="s">
        <v>44</v>
      </c>
      <c r="T476" s="21" t="s">
        <v>63</v>
      </c>
    </row>
    <row r="477" ht="56.25" customHeight="1">
      <c r="A477" s="21" t="s">
        <v>1990</v>
      </c>
      <c r="B477" s="15" t="str">
        <f>image("https://i.imgur.com/oBfmIM2.png")</f>
        <v/>
      </c>
      <c r="C477" s="22" t="str">
        <f>HYPERLINK("https://imgur.com/a/0YH6GPP","Yes")</f>
        <v>Yes</v>
      </c>
      <c r="D477" s="36" t="s">
        <v>40</v>
      </c>
      <c r="E477" s="36" t="s">
        <v>40</v>
      </c>
      <c r="F477" s="13">
        <v>53000.0</v>
      </c>
      <c r="G477" s="13">
        <v>13250.0</v>
      </c>
      <c r="H477" s="19">
        <v>1081.0</v>
      </c>
      <c r="I477" s="21" t="s">
        <v>52</v>
      </c>
      <c r="J477" s="21" t="s">
        <v>62</v>
      </c>
      <c r="K477" s="21"/>
      <c r="L477" s="21"/>
      <c r="M477" s="15" t="s">
        <v>130</v>
      </c>
      <c r="N477" s="19">
        <v>7.0</v>
      </c>
      <c r="O477" s="21" t="s">
        <v>39</v>
      </c>
      <c r="P477" s="15" t="s">
        <v>53</v>
      </c>
      <c r="Q477" s="13" t="s">
        <v>41</v>
      </c>
      <c r="R477" s="13" t="s">
        <v>43</v>
      </c>
      <c r="S477" s="13" t="s">
        <v>44</v>
      </c>
      <c r="T477" s="21" t="s">
        <v>65</v>
      </c>
    </row>
    <row r="478" ht="56.25" customHeight="1">
      <c r="A478" s="21" t="s">
        <v>1992</v>
      </c>
      <c r="B478" s="15" t="str">
        <f>image("https://i.imgur.com/i0B65cI.png")</f>
        <v/>
      </c>
      <c r="C478" s="22" t="str">
        <f>HYPERLINK("https://imgur.com/a/tPLrdap","Yes")</f>
        <v>Yes</v>
      </c>
      <c r="D478" s="36" t="s">
        <v>40</v>
      </c>
      <c r="E478" s="36" t="s">
        <v>40</v>
      </c>
      <c r="F478" s="13">
        <v>2500.0</v>
      </c>
      <c r="G478" s="13">
        <v>625.0</v>
      </c>
      <c r="H478" s="19">
        <v>908.0</v>
      </c>
      <c r="I478" s="21" t="s">
        <v>60</v>
      </c>
      <c r="J478" s="21"/>
      <c r="K478" s="21"/>
      <c r="L478" s="21"/>
      <c r="M478" s="15" t="s">
        <v>38</v>
      </c>
      <c r="N478" s="19">
        <v>1.0</v>
      </c>
      <c r="O478" s="21" t="s">
        <v>39</v>
      </c>
      <c r="P478" s="15" t="s">
        <v>53</v>
      </c>
      <c r="Q478" s="13" t="s">
        <v>41</v>
      </c>
      <c r="R478" s="13" t="s">
        <v>43</v>
      </c>
      <c r="S478" s="13" t="s">
        <v>44</v>
      </c>
      <c r="T478" s="21" t="s">
        <v>68</v>
      </c>
    </row>
    <row r="479" ht="56.25" customHeight="1">
      <c r="A479" s="21" t="s">
        <v>1994</v>
      </c>
      <c r="B479" s="15" t="str">
        <f>image("https://i.imgur.com/0GbD5T6.png")</f>
        <v/>
      </c>
      <c r="C479" s="22" t="str">
        <f>HYPERLINK("https://imgur.com/a/IaPEFGu","Yes")</f>
        <v>Yes</v>
      </c>
      <c r="D479" s="36" t="s">
        <v>40</v>
      </c>
      <c r="E479" s="36" t="s">
        <v>40</v>
      </c>
      <c r="F479" s="24" t="s">
        <v>51</v>
      </c>
      <c r="G479" s="13">
        <v>5000.0</v>
      </c>
      <c r="H479" s="19">
        <v>9619.0</v>
      </c>
      <c r="I479" s="21" t="s">
        <v>95</v>
      </c>
      <c r="J479" s="21"/>
      <c r="K479" s="21"/>
      <c r="L479" s="21"/>
      <c r="M479" s="15" t="s">
        <v>38</v>
      </c>
      <c r="N479" s="19">
        <v>7.0</v>
      </c>
      <c r="O479" s="21" t="s">
        <v>39</v>
      </c>
      <c r="P479" s="15" t="s">
        <v>40</v>
      </c>
      <c r="Q479" s="13" t="s">
        <v>41</v>
      </c>
      <c r="R479" s="13" t="s">
        <v>54</v>
      </c>
      <c r="S479" s="13" t="s">
        <v>516</v>
      </c>
      <c r="T479" s="21"/>
    </row>
    <row r="480" ht="56.25" customHeight="1">
      <c r="A480" s="21" t="s">
        <v>1996</v>
      </c>
      <c r="B480" s="15" t="str">
        <f>image("https://i.imgur.com/CVo9jRZ.png")</f>
        <v/>
      </c>
      <c r="C480" s="22" t="str">
        <f>HYPERLINK("https://imgur.com/a/5FTCyjF","No")</f>
        <v>No</v>
      </c>
      <c r="D480" s="36" t="s">
        <v>40</v>
      </c>
      <c r="E480" s="36" t="s">
        <v>40</v>
      </c>
      <c r="F480" s="13">
        <v>3500.0</v>
      </c>
      <c r="G480" s="13">
        <v>875.0</v>
      </c>
      <c r="H480" s="19">
        <v>4026.0</v>
      </c>
      <c r="I480" s="21" t="s">
        <v>80</v>
      </c>
      <c r="J480" s="21" t="s">
        <v>37</v>
      </c>
      <c r="K480" s="21"/>
      <c r="L480" s="21"/>
      <c r="M480" s="15" t="s">
        <v>38</v>
      </c>
      <c r="N480" s="19"/>
      <c r="O480" s="21" t="s">
        <v>39</v>
      </c>
      <c r="P480" s="15" t="s">
        <v>53</v>
      </c>
      <c r="Q480" s="13" t="s">
        <v>41</v>
      </c>
      <c r="R480" s="13" t="s">
        <v>43</v>
      </c>
      <c r="S480" s="13" t="s">
        <v>44</v>
      </c>
      <c r="T480" s="21" t="s">
        <v>63</v>
      </c>
    </row>
    <row r="481" ht="56.25" customHeight="1">
      <c r="A481" s="21" t="s">
        <v>1998</v>
      </c>
      <c r="B481" s="15" t="str">
        <f>image("https://i.imgur.com/PvynKew.png")</f>
        <v/>
      </c>
      <c r="C481" s="22" t="str">
        <f>HYPERLINK("https://imgur.com/a/sVLEWC0","Yes")</f>
        <v>Yes</v>
      </c>
      <c r="D481" s="36" t="s">
        <v>40</v>
      </c>
      <c r="E481" s="36" t="s">
        <v>40</v>
      </c>
      <c r="F481" s="13">
        <v>3800.0</v>
      </c>
      <c r="G481" s="13">
        <v>950.0</v>
      </c>
      <c r="H481" s="19">
        <v>907.0</v>
      </c>
      <c r="I481" s="21" t="s">
        <v>60</v>
      </c>
      <c r="J481" s="21"/>
      <c r="K481" s="21"/>
      <c r="L481" s="21"/>
      <c r="M481" s="15" t="s">
        <v>38</v>
      </c>
      <c r="N481" s="19">
        <v>2.0</v>
      </c>
      <c r="O481" s="21" t="s">
        <v>39</v>
      </c>
      <c r="P481" s="15" t="s">
        <v>53</v>
      </c>
      <c r="Q481" s="13" t="s">
        <v>41</v>
      </c>
      <c r="R481" s="13" t="s">
        <v>43</v>
      </c>
      <c r="S481" s="13" t="s">
        <v>44</v>
      </c>
      <c r="T481" s="21" t="s">
        <v>63</v>
      </c>
    </row>
    <row r="482" ht="56.25" customHeight="1">
      <c r="A482" s="21" t="s">
        <v>2001</v>
      </c>
      <c r="B482" s="15" t="str">
        <f>image("https://i.imgur.com/96EyV6k.png")</f>
        <v/>
      </c>
      <c r="C482" s="22" t="str">
        <f>HYPERLINK("https://imgur.com/a/YlzHCUp","No")</f>
        <v>No</v>
      </c>
      <c r="D482" s="36" t="s">
        <v>40</v>
      </c>
      <c r="E482" s="36" t="s">
        <v>40</v>
      </c>
      <c r="F482" s="13">
        <v>1000.0</v>
      </c>
      <c r="G482" s="13">
        <v>250.0</v>
      </c>
      <c r="H482" s="19">
        <v>8465.0</v>
      </c>
      <c r="I482" s="21" t="s">
        <v>52</v>
      </c>
      <c r="J482" s="21"/>
      <c r="K482" s="21"/>
      <c r="L482" s="21"/>
      <c r="M482" s="15" t="s">
        <v>38</v>
      </c>
      <c r="N482" s="19"/>
      <c r="O482" s="21" t="s">
        <v>39</v>
      </c>
      <c r="P482" s="15" t="s">
        <v>53</v>
      </c>
      <c r="Q482" s="13" t="s">
        <v>41</v>
      </c>
      <c r="R482" s="13" t="s">
        <v>43</v>
      </c>
      <c r="S482" s="13" t="s">
        <v>44</v>
      </c>
      <c r="T482" s="21" t="s">
        <v>63</v>
      </c>
    </row>
    <row r="483" ht="56.25" customHeight="1">
      <c r="A483" s="21" t="s">
        <v>2003</v>
      </c>
      <c r="B483" s="15" t="str">
        <f>image("https://i.imgur.com/GeiHDGw.png")</f>
        <v/>
      </c>
      <c r="C483" s="22" t="str">
        <f>HYPERLINK("https://imgur.com/a/aIErqTp","Yes")</f>
        <v>Yes</v>
      </c>
      <c r="D483" s="36" t="s">
        <v>40</v>
      </c>
      <c r="E483" s="36" t="s">
        <v>40</v>
      </c>
      <c r="F483" s="13">
        <v>32000.0</v>
      </c>
      <c r="G483" s="13">
        <v>8000.0</v>
      </c>
      <c r="H483" s="19">
        <v>1221.0</v>
      </c>
      <c r="I483" s="21" t="s">
        <v>90</v>
      </c>
      <c r="J483" s="21"/>
      <c r="K483" s="21"/>
      <c r="L483" s="21"/>
      <c r="M483" s="15" t="s">
        <v>38</v>
      </c>
      <c r="N483" s="19">
        <v>7.0</v>
      </c>
      <c r="O483" s="21" t="s">
        <v>39</v>
      </c>
      <c r="P483" s="15" t="s">
        <v>53</v>
      </c>
      <c r="Q483" s="13" t="s">
        <v>41</v>
      </c>
      <c r="R483" s="13" t="s">
        <v>43</v>
      </c>
      <c r="S483" s="13" t="s">
        <v>44</v>
      </c>
      <c r="T483" s="21" t="s">
        <v>65</v>
      </c>
    </row>
    <row r="484" ht="56.25" customHeight="1">
      <c r="A484" s="21" t="s">
        <v>2006</v>
      </c>
      <c r="B484" s="15" t="str">
        <f>image("https://i.imgur.com/8A1IhVz.png")</f>
        <v/>
      </c>
      <c r="C484" s="22" t="str">
        <f>HYPERLINK("https://imgur.com/a/5IiI7xK","Yes")</f>
        <v>Yes</v>
      </c>
      <c r="D484" s="36" t="s">
        <v>40</v>
      </c>
      <c r="E484" s="36" t="s">
        <v>40</v>
      </c>
      <c r="F484" s="13">
        <v>1200.0</v>
      </c>
      <c r="G484" s="13">
        <v>300.0</v>
      </c>
      <c r="H484" s="19">
        <v>4445.0</v>
      </c>
      <c r="I484" s="21" t="s">
        <v>60</v>
      </c>
      <c r="J484" s="21"/>
      <c r="K484" s="21"/>
      <c r="L484" s="21"/>
      <c r="M484" s="15" t="s">
        <v>38</v>
      </c>
      <c r="N484" s="19">
        <v>1.0</v>
      </c>
      <c r="O484" s="21" t="s">
        <v>39</v>
      </c>
      <c r="P484" s="15" t="s">
        <v>40</v>
      </c>
      <c r="Q484" s="13" t="s">
        <v>41</v>
      </c>
      <c r="R484" s="13" t="s">
        <v>43</v>
      </c>
      <c r="S484" s="13" t="s">
        <v>44</v>
      </c>
      <c r="T484" s="21" t="s">
        <v>63</v>
      </c>
    </row>
    <row r="485" ht="56.25" customHeight="1">
      <c r="A485" s="21" t="s">
        <v>2008</v>
      </c>
      <c r="B485" s="15" t="str">
        <f>image("https://i.imgur.com/d8dIwBD.png")</f>
        <v/>
      </c>
      <c r="C485" s="22" t="str">
        <f>HYPERLINK("https://imgur.com/a/XlX8c2V","No")</f>
        <v>No</v>
      </c>
      <c r="D485" s="36" t="s">
        <v>53</v>
      </c>
      <c r="E485" s="36" t="s">
        <v>40</v>
      </c>
      <c r="F485" s="24" t="s">
        <v>51</v>
      </c>
      <c r="G485" s="13">
        <v>22050.0</v>
      </c>
      <c r="H485" s="19">
        <v>5955.0</v>
      </c>
      <c r="I485" s="21" t="s">
        <v>62</v>
      </c>
      <c r="J485" s="21" t="s">
        <v>52</v>
      </c>
      <c r="K485" s="21"/>
      <c r="L485" s="21"/>
      <c r="M485" s="15" t="s">
        <v>38</v>
      </c>
      <c r="N485" s="19"/>
      <c r="O485" s="21" t="s">
        <v>39</v>
      </c>
      <c r="P485" s="15" t="s">
        <v>53</v>
      </c>
      <c r="Q485" s="13" t="s">
        <v>41</v>
      </c>
      <c r="R485" s="13" t="s">
        <v>54</v>
      </c>
      <c r="S485" s="13" t="s">
        <v>55</v>
      </c>
      <c r="T485" s="21"/>
    </row>
    <row r="486" ht="56.25" customHeight="1">
      <c r="A486" s="21" t="s">
        <v>2011</v>
      </c>
      <c r="B486" s="15" t="str">
        <f>image("https://i.imgur.com/LXkE54l.png")</f>
        <v/>
      </c>
      <c r="C486" s="22" t="str">
        <f>HYPERLINK("https://imgur.com/a/bg5knms","Yes")</f>
        <v>Yes</v>
      </c>
      <c r="D486" s="36" t="s">
        <v>40</v>
      </c>
      <c r="E486" s="36" t="s">
        <v>40</v>
      </c>
      <c r="F486" s="13">
        <v>3400.0</v>
      </c>
      <c r="G486" s="13">
        <v>850.0</v>
      </c>
      <c r="H486" s="19">
        <v>1232.0</v>
      </c>
      <c r="I486" s="21" t="s">
        <v>60</v>
      </c>
      <c r="J486" s="21" t="s">
        <v>61</v>
      </c>
      <c r="K486" s="21"/>
      <c r="L486" s="21"/>
      <c r="M486" s="15" t="s">
        <v>38</v>
      </c>
      <c r="N486" s="19">
        <v>2.0</v>
      </c>
      <c r="O486" s="21" t="s">
        <v>39</v>
      </c>
      <c r="P486" s="15" t="s">
        <v>53</v>
      </c>
      <c r="Q486" s="13" t="s">
        <v>41</v>
      </c>
      <c r="R486" s="13" t="s">
        <v>43</v>
      </c>
      <c r="S486" s="13" t="s">
        <v>44</v>
      </c>
      <c r="T486" s="21" t="s">
        <v>63</v>
      </c>
    </row>
    <row r="487" ht="56.25" customHeight="1">
      <c r="A487" s="21" t="s">
        <v>2014</v>
      </c>
      <c r="B487" s="15" t="str">
        <f>image("https://i.imgur.com/tI7B4MS.png")</f>
        <v/>
      </c>
      <c r="C487" s="22" t="str">
        <f>HYPERLINK("https://imgur.com/a/OEQ27X8","Yes")</f>
        <v>Yes</v>
      </c>
      <c r="D487" s="36" t="s">
        <v>53</v>
      </c>
      <c r="E487" s="36" t="s">
        <v>53</v>
      </c>
      <c r="F487" s="24" t="s">
        <v>51</v>
      </c>
      <c r="G487" s="13">
        <v>2700.0</v>
      </c>
      <c r="H487" s="19">
        <v>2326.0</v>
      </c>
      <c r="I487" s="21" t="s">
        <v>95</v>
      </c>
      <c r="J487" s="21"/>
      <c r="K487" s="21"/>
      <c r="L487" s="21"/>
      <c r="M487" s="15" t="s">
        <v>38</v>
      </c>
      <c r="N487" s="19">
        <v>4.0</v>
      </c>
      <c r="O487" s="21" t="s">
        <v>39</v>
      </c>
      <c r="P487" s="15" t="s">
        <v>53</v>
      </c>
      <c r="Q487" s="13" t="s">
        <v>41</v>
      </c>
      <c r="R487" s="13" t="s">
        <v>54</v>
      </c>
      <c r="S487" s="13" t="s">
        <v>55</v>
      </c>
      <c r="T487" s="21"/>
    </row>
    <row r="488" ht="56.25" customHeight="1">
      <c r="A488" s="21" t="s">
        <v>2016</v>
      </c>
      <c r="B488" s="15" t="str">
        <f>image("https://i.imgur.com/t86QdKV.png")</f>
        <v/>
      </c>
      <c r="C488" s="22" t="str">
        <f>HYPERLINK("https://imgur.com/a/NbcuUth","No")</f>
        <v>No</v>
      </c>
      <c r="D488" s="36" t="s">
        <v>53</v>
      </c>
      <c r="E488" s="36" t="s">
        <v>40</v>
      </c>
      <c r="F488" s="24" t="s">
        <v>51</v>
      </c>
      <c r="G488" s="13">
        <v>3500.0</v>
      </c>
      <c r="H488" s="19">
        <v>665.0</v>
      </c>
      <c r="I488" s="21" t="s">
        <v>84</v>
      </c>
      <c r="J488" s="21"/>
      <c r="K488" s="21"/>
      <c r="L488" s="21"/>
      <c r="M488" s="15" t="s">
        <v>106</v>
      </c>
      <c r="N488" s="19"/>
      <c r="O488" s="21" t="s">
        <v>39</v>
      </c>
      <c r="P488" s="15" t="s">
        <v>40</v>
      </c>
      <c r="Q488" s="13" t="s">
        <v>41</v>
      </c>
      <c r="R488" s="13" t="s">
        <v>54</v>
      </c>
      <c r="S488" s="13" t="s">
        <v>516</v>
      </c>
      <c r="T488" s="21"/>
    </row>
    <row r="489" ht="56.25" customHeight="1">
      <c r="A489" s="21" t="s">
        <v>2017</v>
      </c>
      <c r="B489" s="15" t="str">
        <f>image("https://i.imgur.com/zPoweGc.png")</f>
        <v/>
      </c>
      <c r="C489" s="22" t="str">
        <f>HYPERLINK("https://imgur.com/a/iSLB51F","No")</f>
        <v>No</v>
      </c>
      <c r="D489" s="36" t="s">
        <v>40</v>
      </c>
      <c r="E489" s="36" t="s">
        <v>40</v>
      </c>
      <c r="F489" s="13">
        <v>5400.0</v>
      </c>
      <c r="G489" s="13">
        <v>1350.0</v>
      </c>
      <c r="H489" s="19">
        <v>1452.0</v>
      </c>
      <c r="I489" s="21" t="s">
        <v>156</v>
      </c>
      <c r="J489" s="21"/>
      <c r="K489" s="21"/>
      <c r="L489" s="21"/>
      <c r="M489" s="15" t="s">
        <v>130</v>
      </c>
      <c r="N489" s="19"/>
      <c r="O489" s="21" t="s">
        <v>39</v>
      </c>
      <c r="P489" s="15" t="s">
        <v>53</v>
      </c>
      <c r="Q489" s="13" t="s">
        <v>41</v>
      </c>
      <c r="R489" s="13" t="s">
        <v>43</v>
      </c>
      <c r="S489" s="13" t="s">
        <v>44</v>
      </c>
      <c r="T489" s="21" t="s">
        <v>68</v>
      </c>
    </row>
    <row r="490" ht="56.25" customHeight="1">
      <c r="A490" s="21" t="s">
        <v>2018</v>
      </c>
      <c r="B490" s="15" t="str">
        <f>image("https://i.imgur.com/2jb4Tpl.png")</f>
        <v/>
      </c>
      <c r="C490" s="22" t="str">
        <f>HYPERLINK("https://imgur.com/a/ihrQSlX","Yes")</f>
        <v>Yes</v>
      </c>
      <c r="D490" s="36" t="s">
        <v>53</v>
      </c>
      <c r="E490" s="36" t="s">
        <v>53</v>
      </c>
      <c r="F490" s="24" t="s">
        <v>51</v>
      </c>
      <c r="G490" s="13">
        <v>4500.0</v>
      </c>
      <c r="H490" s="19">
        <v>3446.0</v>
      </c>
      <c r="I490" s="21" t="s">
        <v>95</v>
      </c>
      <c r="J490" s="21" t="s">
        <v>346</v>
      </c>
      <c r="K490" s="21"/>
      <c r="L490" s="21"/>
      <c r="M490" s="15" t="s">
        <v>130</v>
      </c>
      <c r="N490" s="19">
        <v>6.0</v>
      </c>
      <c r="O490" s="21" t="s">
        <v>39</v>
      </c>
      <c r="P490" s="15" t="s">
        <v>40</v>
      </c>
      <c r="Q490" s="13" t="s">
        <v>41</v>
      </c>
      <c r="R490" s="13" t="s">
        <v>54</v>
      </c>
      <c r="S490" s="13" t="s">
        <v>55</v>
      </c>
      <c r="T490" s="21"/>
    </row>
    <row r="491" ht="56.25" customHeight="1">
      <c r="A491" s="21" t="s">
        <v>2019</v>
      </c>
      <c r="B491" s="15" t="str">
        <f>image("https://i.imgur.com/h2NvHYW.png")</f>
        <v/>
      </c>
      <c r="C491" s="25" t="s">
        <v>40</v>
      </c>
      <c r="D491" s="36" t="s">
        <v>40</v>
      </c>
      <c r="E491" s="36" t="s">
        <v>40</v>
      </c>
      <c r="F491" s="24" t="s">
        <v>51</v>
      </c>
      <c r="G491" s="13">
        <v>39000.0</v>
      </c>
      <c r="H491" s="19">
        <v>6961.0</v>
      </c>
      <c r="I491" s="21"/>
      <c r="J491" s="21"/>
      <c r="K491" s="21"/>
      <c r="L491" s="21"/>
      <c r="M491" s="15" t="s">
        <v>130</v>
      </c>
      <c r="N491" s="19"/>
      <c r="O491" s="21" t="s">
        <v>39</v>
      </c>
      <c r="P491" s="15" t="s">
        <v>40</v>
      </c>
      <c r="Q491" s="13" t="s">
        <v>41</v>
      </c>
      <c r="R491" s="13" t="s">
        <v>54</v>
      </c>
      <c r="S491" s="13" t="s">
        <v>100</v>
      </c>
      <c r="T491" s="21" t="s">
        <v>101</v>
      </c>
    </row>
    <row r="492" ht="56.25" customHeight="1">
      <c r="A492" s="21" t="s">
        <v>2020</v>
      </c>
      <c r="B492" s="15" t="str">
        <f>image("https://i.imgur.com/D5ezphq.png")</f>
        <v/>
      </c>
      <c r="C492" s="22" t="str">
        <f>HYPERLINK("https://imgur.com/a/hGoLfnQ","Yes")</f>
        <v>Yes</v>
      </c>
      <c r="D492" s="36" t="s">
        <v>40</v>
      </c>
      <c r="E492" s="36" t="s">
        <v>40</v>
      </c>
      <c r="F492" s="13">
        <v>2700.0</v>
      </c>
      <c r="G492" s="13">
        <v>675.0</v>
      </c>
      <c r="H492" s="19">
        <v>3444.0</v>
      </c>
      <c r="I492" s="21" t="s">
        <v>90</v>
      </c>
      <c r="J492" s="21"/>
      <c r="K492" s="21"/>
      <c r="L492" s="21"/>
      <c r="M492" s="15" t="s">
        <v>38</v>
      </c>
      <c r="N492" s="19">
        <v>1.0</v>
      </c>
      <c r="O492" s="21" t="s">
        <v>39</v>
      </c>
      <c r="P492" s="15" t="s">
        <v>53</v>
      </c>
      <c r="Q492" s="13" t="s">
        <v>41</v>
      </c>
      <c r="R492" s="13" t="s">
        <v>43</v>
      </c>
      <c r="S492" s="13" t="s">
        <v>44</v>
      </c>
      <c r="T492" s="21" t="s">
        <v>63</v>
      </c>
    </row>
    <row r="493" ht="56.25" customHeight="1">
      <c r="A493" s="21" t="s">
        <v>2021</v>
      </c>
      <c r="B493" s="15" t="str">
        <f>image("https://i.imgur.com/lylFebV.png")</f>
        <v/>
      </c>
      <c r="C493" s="22" t="str">
        <f>HYPERLINK("https://imgur.com/a/Ps2lUX4","Yes")</f>
        <v>Yes</v>
      </c>
      <c r="D493" s="36" t="s">
        <v>40</v>
      </c>
      <c r="E493" s="36" t="s">
        <v>40</v>
      </c>
      <c r="F493" s="13">
        <v>130000.0</v>
      </c>
      <c r="G493" s="13">
        <v>32500.0</v>
      </c>
      <c r="H493" s="19">
        <v>1840.0</v>
      </c>
      <c r="I493" s="21" t="s">
        <v>183</v>
      </c>
      <c r="J493" s="21" t="s">
        <v>62</v>
      </c>
      <c r="K493" s="21"/>
      <c r="L493" s="21"/>
      <c r="M493" s="15" t="s">
        <v>106</v>
      </c>
      <c r="N493" s="19">
        <v>7.0</v>
      </c>
      <c r="O493" s="21" t="s">
        <v>39</v>
      </c>
      <c r="P493" s="15" t="s">
        <v>53</v>
      </c>
      <c r="Q493" s="13" t="s">
        <v>41</v>
      </c>
      <c r="R493" s="13" t="s">
        <v>43</v>
      </c>
      <c r="S493" s="13" t="s">
        <v>44</v>
      </c>
      <c r="T493" s="21" t="s">
        <v>65</v>
      </c>
    </row>
    <row r="494" ht="56.25" customHeight="1">
      <c r="A494" s="21" t="s">
        <v>2022</v>
      </c>
      <c r="B494" s="15" t="str">
        <f>image("https://i.imgur.com/mFFrV1s.png")</f>
        <v/>
      </c>
      <c r="C494" s="22" t="str">
        <f>HYPERLINK("https://imgur.com/a/PtcfMLC","Yes")</f>
        <v>Yes</v>
      </c>
      <c r="D494" s="36" t="s">
        <v>40</v>
      </c>
      <c r="E494" s="36" t="s">
        <v>40</v>
      </c>
      <c r="F494" s="13">
        <v>2600.0</v>
      </c>
      <c r="G494" s="13">
        <v>650.0</v>
      </c>
      <c r="H494" s="19">
        <v>4116.0</v>
      </c>
      <c r="I494" s="21" t="s">
        <v>61</v>
      </c>
      <c r="J494" s="21"/>
      <c r="K494" s="21"/>
      <c r="L494" s="21"/>
      <c r="M494" s="15" t="s">
        <v>130</v>
      </c>
      <c r="N494" s="19">
        <v>1.0</v>
      </c>
      <c r="O494" s="21" t="s">
        <v>39</v>
      </c>
      <c r="P494" s="15" t="s">
        <v>40</v>
      </c>
      <c r="Q494" s="13" t="s">
        <v>41</v>
      </c>
      <c r="R494" s="13" t="s">
        <v>43</v>
      </c>
      <c r="S494" s="13" t="s">
        <v>44</v>
      </c>
      <c r="T494" s="21" t="s">
        <v>68</v>
      </c>
    </row>
    <row r="495" ht="56.25" customHeight="1">
      <c r="A495" s="21" t="s">
        <v>2023</v>
      </c>
      <c r="B495" s="15" t="str">
        <f>image("https://i.imgur.com/hYCsSbA.png")</f>
        <v/>
      </c>
      <c r="C495" s="22" t="str">
        <f>HYPERLINK("https://imgur.com/a/RdhsDxB","Yes")</f>
        <v>Yes</v>
      </c>
      <c r="D495" s="36" t="s">
        <v>53</v>
      </c>
      <c r="E495" s="36" t="s">
        <v>53</v>
      </c>
      <c r="F495" s="24" t="s">
        <v>51</v>
      </c>
      <c r="G495" s="13">
        <v>960.0</v>
      </c>
      <c r="H495" s="19">
        <v>5972.0</v>
      </c>
      <c r="I495" s="21" t="s">
        <v>95</v>
      </c>
      <c r="J495" s="21"/>
      <c r="K495" s="21"/>
      <c r="L495" s="21"/>
      <c r="M495" s="15" t="s">
        <v>130</v>
      </c>
      <c r="N495" s="19">
        <v>2.0</v>
      </c>
      <c r="O495" s="21" t="s">
        <v>39</v>
      </c>
      <c r="P495" s="15" t="s">
        <v>53</v>
      </c>
      <c r="Q495" s="13" t="s">
        <v>41</v>
      </c>
      <c r="R495" s="13" t="s">
        <v>54</v>
      </c>
      <c r="S495" s="13" t="s">
        <v>55</v>
      </c>
      <c r="T495" s="21"/>
    </row>
    <row r="496" ht="56.25" customHeight="1">
      <c r="A496" s="21" t="s">
        <v>2024</v>
      </c>
      <c r="B496" s="15" t="str">
        <f>image("https://i.imgur.com/6PITKOn.png")</f>
        <v/>
      </c>
      <c r="C496" s="22" t="str">
        <f>HYPERLINK("https://imgur.com/a/8LgzB29","Yes")</f>
        <v>Yes</v>
      </c>
      <c r="D496" s="36" t="s">
        <v>40</v>
      </c>
      <c r="E496" s="36" t="s">
        <v>40</v>
      </c>
      <c r="F496" s="24" t="s">
        <v>51</v>
      </c>
      <c r="G496" s="13">
        <v>20000.0</v>
      </c>
      <c r="H496" s="19">
        <v>7379.0</v>
      </c>
      <c r="I496" s="21" t="s">
        <v>95</v>
      </c>
      <c r="J496" s="21"/>
      <c r="K496" s="21"/>
      <c r="L496" s="21"/>
      <c r="M496" s="15" t="s">
        <v>130</v>
      </c>
      <c r="N496" s="19">
        <v>7.0</v>
      </c>
      <c r="O496" s="21" t="s">
        <v>39</v>
      </c>
      <c r="P496" s="15" t="s">
        <v>40</v>
      </c>
      <c r="Q496" s="13" t="s">
        <v>41</v>
      </c>
      <c r="R496" s="13" t="s">
        <v>54</v>
      </c>
      <c r="S496" s="13" t="s">
        <v>516</v>
      </c>
      <c r="T496" s="21"/>
    </row>
    <row r="497" ht="56.25" customHeight="1">
      <c r="A497" s="21" t="s">
        <v>2025</v>
      </c>
      <c r="B497" s="15" t="str">
        <f>image("https://i.imgur.com/hRxEc4J.png")</f>
        <v/>
      </c>
      <c r="C497" s="22" t="str">
        <f>HYPERLINK("https://imgur.com/a/C7ddoaZ","No")</f>
        <v>No</v>
      </c>
      <c r="D497" s="36" t="s">
        <v>40</v>
      </c>
      <c r="E497" s="36" t="s">
        <v>40</v>
      </c>
      <c r="F497" s="13">
        <v>2100.0</v>
      </c>
      <c r="G497" s="13">
        <v>525.0</v>
      </c>
      <c r="H497" s="19">
        <v>4117.0</v>
      </c>
      <c r="I497" s="21" t="s">
        <v>37</v>
      </c>
      <c r="J497" s="21"/>
      <c r="K497" s="21"/>
      <c r="L497" s="21"/>
      <c r="M497" s="15" t="s">
        <v>38</v>
      </c>
      <c r="N497" s="19"/>
      <c r="O497" s="21" t="s">
        <v>39</v>
      </c>
      <c r="P497" s="15" t="s">
        <v>53</v>
      </c>
      <c r="Q497" s="13" t="s">
        <v>41</v>
      </c>
      <c r="R497" s="13" t="s">
        <v>43</v>
      </c>
      <c r="S497" s="13" t="s">
        <v>44</v>
      </c>
      <c r="T497" s="21" t="s">
        <v>68</v>
      </c>
    </row>
    <row r="498" ht="56.25" customHeight="1">
      <c r="A498" s="21" t="s">
        <v>2026</v>
      </c>
      <c r="B498" s="15" t="str">
        <f>image("https://i.imgur.com/QFWfPtG.png")</f>
        <v/>
      </c>
      <c r="C498" s="22" t="str">
        <f>HYPERLINK("https://imgur.com/a/QpPYRMf","Yes")</f>
        <v>Yes</v>
      </c>
      <c r="D498" s="36" t="s">
        <v>53</v>
      </c>
      <c r="E498" s="36" t="s">
        <v>53</v>
      </c>
      <c r="F498" s="24" t="s">
        <v>51</v>
      </c>
      <c r="G498" s="13">
        <v>1925.0</v>
      </c>
      <c r="H498" s="19">
        <v>4125.0</v>
      </c>
      <c r="I498" s="21" t="s">
        <v>113</v>
      </c>
      <c r="J498" s="21" t="s">
        <v>60</v>
      </c>
      <c r="K498" s="21"/>
      <c r="L498" s="21"/>
      <c r="M498" s="15" t="s">
        <v>332</v>
      </c>
      <c r="N498" s="19">
        <v>3.0</v>
      </c>
      <c r="O498" s="21" t="s">
        <v>39</v>
      </c>
      <c r="P498" s="15" t="s">
        <v>40</v>
      </c>
      <c r="Q498" s="13" t="s">
        <v>41</v>
      </c>
      <c r="R498" s="13" t="s">
        <v>54</v>
      </c>
      <c r="S498" s="13" t="s">
        <v>55</v>
      </c>
      <c r="T498" s="21"/>
    </row>
    <row r="499" ht="56.25" customHeight="1">
      <c r="A499" s="21" t="s">
        <v>2027</v>
      </c>
      <c r="B499" s="15" t="str">
        <f>image("https://i.imgur.com/lzclHuU.png")</f>
        <v/>
      </c>
      <c r="C499" s="22" t="str">
        <f>HYPERLINK("https://imgur.com/a/zlvDYMt","No")</f>
        <v>No</v>
      </c>
      <c r="D499" s="36" t="s">
        <v>53</v>
      </c>
      <c r="E499" s="36" t="s">
        <v>40</v>
      </c>
      <c r="F499" s="24" t="s">
        <v>51</v>
      </c>
      <c r="G499" s="13">
        <v>1110.0</v>
      </c>
      <c r="H499" s="19">
        <v>880.0</v>
      </c>
      <c r="I499" s="21" t="s">
        <v>95</v>
      </c>
      <c r="J499" s="21"/>
      <c r="K499" s="21"/>
      <c r="L499" s="21"/>
      <c r="M499" s="15" t="s">
        <v>38</v>
      </c>
      <c r="N499" s="19"/>
      <c r="O499" s="21" t="s">
        <v>39</v>
      </c>
      <c r="P499" s="15" t="s">
        <v>40</v>
      </c>
      <c r="Q499" s="13" t="s">
        <v>41</v>
      </c>
      <c r="R499" s="13" t="s">
        <v>54</v>
      </c>
      <c r="S499" s="13" t="s">
        <v>55</v>
      </c>
      <c r="T499" s="21"/>
    </row>
    <row r="500" ht="56.25" customHeight="1">
      <c r="A500" s="21" t="s">
        <v>2029</v>
      </c>
      <c r="B500" s="15" t="str">
        <f>image("https://i.imgur.com/kj2SVDK.png")</f>
        <v/>
      </c>
      <c r="C500" s="22" t="str">
        <f>HYPERLINK("https://imgur.com/a/ASg5vM3","Yes")</f>
        <v>Yes</v>
      </c>
      <c r="D500" s="36" t="s">
        <v>53</v>
      </c>
      <c r="E500" s="36" t="s">
        <v>53</v>
      </c>
      <c r="F500" s="24" t="s">
        <v>51</v>
      </c>
      <c r="G500" s="13">
        <v>720.0</v>
      </c>
      <c r="H500" s="19">
        <v>1913.0</v>
      </c>
      <c r="I500" s="21" t="s">
        <v>113</v>
      </c>
      <c r="J500" s="21" t="s">
        <v>60</v>
      </c>
      <c r="K500" s="21"/>
      <c r="L500" s="21"/>
      <c r="M500" s="15" t="s">
        <v>38</v>
      </c>
      <c r="N500" s="19">
        <v>1.0</v>
      </c>
      <c r="O500" s="21" t="s">
        <v>39</v>
      </c>
      <c r="P500" s="15" t="s">
        <v>53</v>
      </c>
      <c r="Q500" s="13" t="s">
        <v>41</v>
      </c>
      <c r="R500" s="13" t="s">
        <v>54</v>
      </c>
      <c r="S500" s="13" t="s">
        <v>55</v>
      </c>
      <c r="T500" s="21"/>
    </row>
    <row r="501" ht="56.25" customHeight="1">
      <c r="A501" s="21" t="s">
        <v>2031</v>
      </c>
      <c r="B501" s="15" t="str">
        <f>image("https://i.imgur.com/PJcCF62.png")</f>
        <v/>
      </c>
      <c r="C501" s="22" t="str">
        <f>HYPERLINK("https://imgur.com/a/FxPsZLU","Yes")</f>
        <v>Yes</v>
      </c>
      <c r="D501" s="36" t="s">
        <v>53</v>
      </c>
      <c r="E501" s="36" t="s">
        <v>53</v>
      </c>
      <c r="F501" s="24" t="s">
        <v>51</v>
      </c>
      <c r="G501" s="13">
        <v>1920.0</v>
      </c>
      <c r="H501" s="19">
        <v>2560.0</v>
      </c>
      <c r="I501" s="21" t="s">
        <v>113</v>
      </c>
      <c r="J501" s="21" t="s">
        <v>60</v>
      </c>
      <c r="K501" s="21"/>
      <c r="L501" s="21"/>
      <c r="M501" s="15" t="s">
        <v>130</v>
      </c>
      <c r="N501" s="19">
        <v>3.0</v>
      </c>
      <c r="O501" s="21" t="s">
        <v>39</v>
      </c>
      <c r="P501" s="15" t="s">
        <v>53</v>
      </c>
      <c r="Q501" s="13" t="s">
        <v>41</v>
      </c>
      <c r="R501" s="13" t="s">
        <v>54</v>
      </c>
      <c r="S501" s="13" t="s">
        <v>55</v>
      </c>
      <c r="T501" s="21"/>
    </row>
    <row r="502" ht="56.25" customHeight="1">
      <c r="A502" s="21" t="s">
        <v>2034</v>
      </c>
      <c r="B502" s="15" t="str">
        <f>image("https://i.imgur.com/9qbVpbe.png")</f>
        <v/>
      </c>
      <c r="C502" s="22" t="str">
        <f>HYPERLINK("https://imgur.com/a/sMWhHd6","Yes")</f>
        <v>Yes</v>
      </c>
      <c r="D502" s="36" t="s">
        <v>53</v>
      </c>
      <c r="E502" s="36" t="s">
        <v>53</v>
      </c>
      <c r="F502" s="24" t="s">
        <v>51</v>
      </c>
      <c r="G502" s="13">
        <v>3600.0</v>
      </c>
      <c r="H502" s="19">
        <v>7132.0</v>
      </c>
      <c r="I502" s="21" t="s">
        <v>113</v>
      </c>
      <c r="J502" s="21" t="s">
        <v>60</v>
      </c>
      <c r="K502" s="21"/>
      <c r="L502" s="21"/>
      <c r="M502" s="15" t="s">
        <v>106</v>
      </c>
      <c r="N502" s="19">
        <v>6.0</v>
      </c>
      <c r="O502" s="21" t="s">
        <v>39</v>
      </c>
      <c r="P502" s="15" t="s">
        <v>53</v>
      </c>
      <c r="Q502" s="13" t="s">
        <v>41</v>
      </c>
      <c r="R502" s="13" t="s">
        <v>54</v>
      </c>
      <c r="S502" s="13" t="s">
        <v>55</v>
      </c>
      <c r="T502" s="21"/>
    </row>
    <row r="503" ht="56.25" customHeight="1">
      <c r="A503" s="21" t="s">
        <v>2037</v>
      </c>
      <c r="B503" s="15" t="str">
        <f>image("https://i.imgur.com/PJXdEQT.png")</f>
        <v/>
      </c>
      <c r="C503" s="22" t="str">
        <f>HYPERLINK("https://imgur.com/a/1AVz68W","Yes")</f>
        <v>Yes</v>
      </c>
      <c r="D503" s="36" t="s">
        <v>53</v>
      </c>
      <c r="E503" s="36" t="s">
        <v>53</v>
      </c>
      <c r="F503" s="24" t="s">
        <v>51</v>
      </c>
      <c r="G503" s="13">
        <v>960.0</v>
      </c>
      <c r="H503" s="19">
        <v>3438.0</v>
      </c>
      <c r="I503" s="21" t="s">
        <v>113</v>
      </c>
      <c r="J503" s="21" t="s">
        <v>60</v>
      </c>
      <c r="K503" s="21"/>
      <c r="L503" s="21"/>
      <c r="M503" s="15" t="s">
        <v>38</v>
      </c>
      <c r="N503" s="19">
        <v>2.0</v>
      </c>
      <c r="O503" s="21" t="s">
        <v>39</v>
      </c>
      <c r="P503" s="15" t="s">
        <v>40</v>
      </c>
      <c r="Q503" s="13" t="s">
        <v>41</v>
      </c>
      <c r="R503" s="13" t="s">
        <v>54</v>
      </c>
      <c r="S503" s="13" t="s">
        <v>55</v>
      </c>
      <c r="T503" s="21"/>
    </row>
    <row r="504" ht="56.25" customHeight="1">
      <c r="A504" s="21" t="s">
        <v>2039</v>
      </c>
      <c r="B504" s="15" t="str">
        <f>image("https://i.imgur.com/uWj8ThI.png")</f>
        <v/>
      </c>
      <c r="C504" s="22" t="str">
        <f>HYPERLINK("https://imgur.com/a/rhn3ece","Yes")</f>
        <v>Yes</v>
      </c>
      <c r="D504" s="36" t="s">
        <v>53</v>
      </c>
      <c r="E504" s="36" t="s">
        <v>53</v>
      </c>
      <c r="F504" s="24" t="s">
        <v>51</v>
      </c>
      <c r="G504" s="13">
        <v>1350.0</v>
      </c>
      <c r="H504" s="19">
        <v>7137.0</v>
      </c>
      <c r="I504" s="21" t="s">
        <v>113</v>
      </c>
      <c r="J504" s="21" t="s">
        <v>60</v>
      </c>
      <c r="K504" s="21"/>
      <c r="L504" s="21"/>
      <c r="M504" s="15" t="s">
        <v>38</v>
      </c>
      <c r="N504" s="19">
        <v>2.0</v>
      </c>
      <c r="O504" s="21" t="s">
        <v>39</v>
      </c>
      <c r="P504" s="15" t="s">
        <v>53</v>
      </c>
      <c r="Q504" s="13" t="s">
        <v>41</v>
      </c>
      <c r="R504" s="13" t="s">
        <v>54</v>
      </c>
      <c r="S504" s="13" t="s">
        <v>55</v>
      </c>
      <c r="T504" s="21"/>
    </row>
    <row r="505" ht="56.25" customHeight="1">
      <c r="A505" s="21" t="s">
        <v>2042</v>
      </c>
      <c r="B505" s="15" t="str">
        <f>image("https://i.imgur.com/GO9ZlMM.png")</f>
        <v/>
      </c>
      <c r="C505" s="22" t="str">
        <f>HYPERLINK("https://imgur.com/a/pwWtUOI","Yes")</f>
        <v>Yes</v>
      </c>
      <c r="D505" s="36" t="s">
        <v>53</v>
      </c>
      <c r="E505" s="36" t="s">
        <v>53</v>
      </c>
      <c r="F505" s="24" t="s">
        <v>51</v>
      </c>
      <c r="G505" s="13">
        <v>1200.0</v>
      </c>
      <c r="H505" s="19">
        <v>7134.0</v>
      </c>
      <c r="I505" s="21" t="s">
        <v>113</v>
      </c>
      <c r="J505" s="21" t="s">
        <v>60</v>
      </c>
      <c r="K505" s="21"/>
      <c r="L505" s="21"/>
      <c r="M505" s="15" t="s">
        <v>130</v>
      </c>
      <c r="N505" s="19">
        <v>2.0</v>
      </c>
      <c r="O505" s="21" t="s">
        <v>39</v>
      </c>
      <c r="P505" s="15" t="s">
        <v>40</v>
      </c>
      <c r="Q505" s="13" t="s">
        <v>41</v>
      </c>
      <c r="R505" s="13" t="s">
        <v>54</v>
      </c>
      <c r="S505" s="13" t="s">
        <v>55</v>
      </c>
      <c r="T505" s="21"/>
    </row>
    <row r="506" ht="56.25" customHeight="1">
      <c r="A506" s="21" t="s">
        <v>2045</v>
      </c>
      <c r="B506" s="15" t="str">
        <f>image("https://i.imgur.com/Q8TWmBE.png")</f>
        <v/>
      </c>
      <c r="C506" s="22" t="str">
        <f>HYPERLINK("https://imgur.com/a/ra18cva","Yes")</f>
        <v>Yes</v>
      </c>
      <c r="D506" s="36" t="s">
        <v>53</v>
      </c>
      <c r="E506" s="36" t="s">
        <v>53</v>
      </c>
      <c r="F506" s="24" t="s">
        <v>51</v>
      </c>
      <c r="G506" s="13">
        <v>720.0</v>
      </c>
      <c r="H506" s="19">
        <v>7133.0</v>
      </c>
      <c r="I506" s="21" t="s">
        <v>113</v>
      </c>
      <c r="J506" s="21" t="s">
        <v>60</v>
      </c>
      <c r="K506" s="21"/>
      <c r="L506" s="21"/>
      <c r="M506" s="15" t="s">
        <v>38</v>
      </c>
      <c r="N506" s="19">
        <v>2.0</v>
      </c>
      <c r="O506" s="21" t="s">
        <v>39</v>
      </c>
      <c r="P506" s="15" t="s">
        <v>40</v>
      </c>
      <c r="Q506" s="13" t="s">
        <v>41</v>
      </c>
      <c r="R506" s="13" t="s">
        <v>54</v>
      </c>
      <c r="S506" s="13" t="s">
        <v>55</v>
      </c>
      <c r="T506" s="21"/>
    </row>
    <row r="507" ht="56.25" customHeight="1">
      <c r="A507" s="21" t="s">
        <v>2048</v>
      </c>
      <c r="B507" s="15" t="str">
        <f>image("https://i.imgur.com/MuCo9Se.png")</f>
        <v/>
      </c>
      <c r="C507" s="22" t="str">
        <f>HYPERLINK("https://imgur.com/a/31pHggS","Yes")</f>
        <v>Yes</v>
      </c>
      <c r="D507" s="36" t="s">
        <v>53</v>
      </c>
      <c r="E507" s="36" t="s">
        <v>53</v>
      </c>
      <c r="F507" s="24" t="s">
        <v>51</v>
      </c>
      <c r="G507" s="13">
        <v>2160.0</v>
      </c>
      <c r="H507" s="19">
        <v>2605.0</v>
      </c>
      <c r="I507" s="21" t="s">
        <v>113</v>
      </c>
      <c r="J507" s="21" t="s">
        <v>60</v>
      </c>
      <c r="K507" s="21"/>
      <c r="L507" s="21"/>
      <c r="M507" s="15" t="s">
        <v>130</v>
      </c>
      <c r="N507" s="19">
        <v>4.0</v>
      </c>
      <c r="O507" s="21" t="s">
        <v>39</v>
      </c>
      <c r="P507" s="15" t="s">
        <v>53</v>
      </c>
      <c r="Q507" s="13" t="s">
        <v>41</v>
      </c>
      <c r="R507" s="13" t="s">
        <v>54</v>
      </c>
      <c r="S507" s="13" t="s">
        <v>55</v>
      </c>
      <c r="T507" s="21"/>
    </row>
    <row r="508" ht="56.25" customHeight="1">
      <c r="A508" s="21" t="s">
        <v>2050</v>
      </c>
      <c r="B508" s="15" t="str">
        <f>image("https://i.imgur.com/SUlk01A.png")</f>
        <v/>
      </c>
      <c r="C508" s="22" t="str">
        <f>HYPERLINK("https://imgur.com/a/sZzwbaL","Yes")</f>
        <v>Yes</v>
      </c>
      <c r="D508" s="36" t="s">
        <v>53</v>
      </c>
      <c r="E508" s="36" t="s">
        <v>53</v>
      </c>
      <c r="F508" s="24" t="s">
        <v>51</v>
      </c>
      <c r="G508" s="13">
        <v>480.0</v>
      </c>
      <c r="H508" s="19">
        <v>3449.0</v>
      </c>
      <c r="I508" s="21" t="s">
        <v>113</v>
      </c>
      <c r="J508" s="21" t="s">
        <v>60</v>
      </c>
      <c r="K508" s="21"/>
      <c r="L508" s="21"/>
      <c r="M508" s="15" t="s">
        <v>38</v>
      </c>
      <c r="N508" s="19">
        <v>2.0</v>
      </c>
      <c r="O508" s="21" t="s">
        <v>39</v>
      </c>
      <c r="P508" s="15" t="s">
        <v>53</v>
      </c>
      <c r="Q508" s="13" t="s">
        <v>41</v>
      </c>
      <c r="R508" s="13" t="s">
        <v>54</v>
      </c>
      <c r="S508" s="13" t="s">
        <v>55</v>
      </c>
      <c r="T508" s="21"/>
    </row>
    <row r="509" ht="56.25" customHeight="1">
      <c r="A509" s="21" t="s">
        <v>2054</v>
      </c>
      <c r="B509" s="15" t="str">
        <f>image("https://i.imgur.com/UndSmHY.png")</f>
        <v/>
      </c>
      <c r="C509" s="22" t="str">
        <f>HYPERLINK("https://imgur.com/a/wTL7Asv","Yes")</f>
        <v>Yes</v>
      </c>
      <c r="D509" s="36" t="s">
        <v>53</v>
      </c>
      <c r="E509" s="36" t="s">
        <v>53</v>
      </c>
      <c r="F509" s="24" t="s">
        <v>51</v>
      </c>
      <c r="G509" s="13">
        <v>1800.0</v>
      </c>
      <c r="H509" s="19">
        <v>3439.0</v>
      </c>
      <c r="I509" s="21" t="s">
        <v>113</v>
      </c>
      <c r="J509" s="21" t="s">
        <v>60</v>
      </c>
      <c r="K509" s="21"/>
      <c r="L509" s="21"/>
      <c r="M509" s="15" t="s">
        <v>106</v>
      </c>
      <c r="N509" s="19">
        <v>4.0</v>
      </c>
      <c r="O509" s="21" t="s">
        <v>39</v>
      </c>
      <c r="P509" s="15" t="s">
        <v>40</v>
      </c>
      <c r="Q509" s="13" t="s">
        <v>41</v>
      </c>
      <c r="R509" s="13" t="s">
        <v>54</v>
      </c>
      <c r="S509" s="13" t="s">
        <v>55</v>
      </c>
      <c r="T509" s="21"/>
    </row>
    <row r="510" ht="56.25" customHeight="1">
      <c r="A510" s="21" t="s">
        <v>2057</v>
      </c>
      <c r="B510" s="15" t="str">
        <f>image("https://i.imgur.com/IFxp3n9.png")</f>
        <v/>
      </c>
      <c r="C510" s="22" t="str">
        <f>HYPERLINK("https://imgur.com/a/3zxS0iB","Yes")</f>
        <v>Yes</v>
      </c>
      <c r="D510" s="36" t="s">
        <v>53</v>
      </c>
      <c r="E510" s="36" t="s">
        <v>53</v>
      </c>
      <c r="F510" s="24" t="s">
        <v>51</v>
      </c>
      <c r="G510" s="13">
        <v>1440.0</v>
      </c>
      <c r="H510" s="19">
        <v>3436.0</v>
      </c>
      <c r="I510" s="21" t="s">
        <v>113</v>
      </c>
      <c r="J510" s="21" t="s">
        <v>60</v>
      </c>
      <c r="K510" s="21"/>
      <c r="L510" s="21"/>
      <c r="M510" s="15" t="s">
        <v>38</v>
      </c>
      <c r="N510" s="19">
        <v>2.0</v>
      </c>
      <c r="O510" s="21" t="s">
        <v>39</v>
      </c>
      <c r="P510" s="15" t="s">
        <v>53</v>
      </c>
      <c r="Q510" s="13" t="s">
        <v>41</v>
      </c>
      <c r="R510" s="13" t="s">
        <v>54</v>
      </c>
      <c r="S510" s="13" t="s">
        <v>55</v>
      </c>
      <c r="T510" s="21"/>
    </row>
    <row r="511" ht="56.25" customHeight="1">
      <c r="A511" s="21" t="s">
        <v>2060</v>
      </c>
      <c r="B511" s="15" t="str">
        <f>image("https://i.imgur.com/yPZZC5z.png")</f>
        <v/>
      </c>
      <c r="C511" s="22" t="str">
        <f>HYPERLINK("https://imgur.com/a/LDUs6Et","Yes")</f>
        <v>Yes</v>
      </c>
      <c r="D511" s="36" t="s">
        <v>53</v>
      </c>
      <c r="E511" s="36" t="s">
        <v>53</v>
      </c>
      <c r="F511" s="24" t="s">
        <v>51</v>
      </c>
      <c r="G511" s="13">
        <v>480.0</v>
      </c>
      <c r="H511" s="19">
        <v>3490.0</v>
      </c>
      <c r="I511" s="21" t="s">
        <v>113</v>
      </c>
      <c r="J511" s="21" t="s">
        <v>60</v>
      </c>
      <c r="K511" s="21"/>
      <c r="L511" s="21"/>
      <c r="M511" s="15" t="s">
        <v>38</v>
      </c>
      <c r="N511" s="19">
        <v>1.0</v>
      </c>
      <c r="O511" s="21" t="s">
        <v>39</v>
      </c>
      <c r="P511" s="15" t="s">
        <v>53</v>
      </c>
      <c r="Q511" s="13" t="s">
        <v>41</v>
      </c>
      <c r="R511" s="13" t="s">
        <v>54</v>
      </c>
      <c r="S511" s="13" t="s">
        <v>55</v>
      </c>
      <c r="T511" s="21"/>
    </row>
    <row r="512" ht="56.25" customHeight="1">
      <c r="A512" s="21" t="s">
        <v>2063</v>
      </c>
      <c r="B512" s="15" t="str">
        <f>image("https://i.imgur.com/0YSN3mS.png")</f>
        <v/>
      </c>
      <c r="C512" s="22" t="str">
        <f>HYPERLINK("https://imgur.com/a/b7IKDcf","Yes")</f>
        <v>Yes</v>
      </c>
      <c r="D512" s="36" t="s">
        <v>53</v>
      </c>
      <c r="E512" s="36" t="s">
        <v>53</v>
      </c>
      <c r="F512" s="24" t="s">
        <v>51</v>
      </c>
      <c r="G512" s="13">
        <v>2400.0</v>
      </c>
      <c r="H512" s="19">
        <v>1557.0</v>
      </c>
      <c r="I512" s="21" t="s">
        <v>113</v>
      </c>
      <c r="J512" s="21"/>
      <c r="K512" s="21"/>
      <c r="L512" s="21"/>
      <c r="M512" s="15" t="s">
        <v>130</v>
      </c>
      <c r="N512" s="19">
        <v>4.0</v>
      </c>
      <c r="O512" s="21" t="s">
        <v>39</v>
      </c>
      <c r="P512" s="15" t="s">
        <v>53</v>
      </c>
      <c r="Q512" s="13" t="s">
        <v>41</v>
      </c>
      <c r="R512" s="13" t="s">
        <v>54</v>
      </c>
      <c r="S512" s="13" t="s">
        <v>55</v>
      </c>
      <c r="T512" s="21"/>
    </row>
    <row r="513" ht="56.25" customHeight="1">
      <c r="A513" s="21" t="s">
        <v>2066</v>
      </c>
      <c r="B513" s="15" t="str">
        <f>image("https://i.imgur.com/kqJwzkJ.png")</f>
        <v/>
      </c>
      <c r="C513" s="22" t="str">
        <f>HYPERLINK("https://imgur.com/a/QJLljHT","Yes")</f>
        <v>Yes</v>
      </c>
      <c r="D513" s="36" t="s">
        <v>53</v>
      </c>
      <c r="E513" s="36" t="s">
        <v>53</v>
      </c>
      <c r="F513" s="24" t="s">
        <v>51</v>
      </c>
      <c r="G513" s="13">
        <v>840.0</v>
      </c>
      <c r="H513" s="19">
        <v>1559.0</v>
      </c>
      <c r="I513" s="21" t="s">
        <v>113</v>
      </c>
      <c r="J513" s="21"/>
      <c r="K513" s="21"/>
      <c r="L513" s="21"/>
      <c r="M513" s="15" t="s">
        <v>130</v>
      </c>
      <c r="N513" s="19">
        <v>2.0</v>
      </c>
      <c r="O513" s="21" t="s">
        <v>39</v>
      </c>
      <c r="P513" s="15" t="s">
        <v>53</v>
      </c>
      <c r="Q513" s="13" t="s">
        <v>41</v>
      </c>
      <c r="R513" s="13" t="s">
        <v>54</v>
      </c>
      <c r="S513" s="13" t="s">
        <v>55</v>
      </c>
      <c r="T513" s="21"/>
    </row>
    <row r="514" ht="56.25" customHeight="1">
      <c r="A514" s="21" t="s">
        <v>2068</v>
      </c>
      <c r="B514" s="15" t="str">
        <f>image("https://i.imgur.com/o42bPes.png")</f>
        <v/>
      </c>
      <c r="C514" s="22" t="str">
        <f>HYPERLINK("https://imgur.com/a/c413C1k","Yes")</f>
        <v>Yes</v>
      </c>
      <c r="D514" s="36" t="s">
        <v>53</v>
      </c>
      <c r="E514" s="36" t="s">
        <v>53</v>
      </c>
      <c r="F514" s="24" t="s">
        <v>51</v>
      </c>
      <c r="G514" s="13">
        <v>720.0</v>
      </c>
      <c r="H514" s="19">
        <v>1558.0</v>
      </c>
      <c r="I514" s="21" t="s">
        <v>113</v>
      </c>
      <c r="J514" s="21"/>
      <c r="K514" s="21"/>
      <c r="L514" s="21"/>
      <c r="M514" s="15" t="s">
        <v>38</v>
      </c>
      <c r="N514" s="19">
        <v>1.0</v>
      </c>
      <c r="O514" s="21" t="s">
        <v>39</v>
      </c>
      <c r="P514" s="15" t="s">
        <v>40</v>
      </c>
      <c r="Q514" s="13" t="s">
        <v>41</v>
      </c>
      <c r="R514" s="13" t="s">
        <v>54</v>
      </c>
      <c r="S514" s="13" t="s">
        <v>55</v>
      </c>
      <c r="T514" s="21"/>
    </row>
    <row r="515" ht="56.25" customHeight="1">
      <c r="A515" s="21" t="s">
        <v>2071</v>
      </c>
      <c r="B515" s="15" t="str">
        <f>image("https://i.imgur.com/6gs40WN.png")</f>
        <v/>
      </c>
      <c r="C515" s="22" t="str">
        <f>HYPERLINK("https://imgur.com/a/uU9f0TA","Yes")</f>
        <v>Yes</v>
      </c>
      <c r="D515" s="36" t="s">
        <v>53</v>
      </c>
      <c r="E515" s="36" t="s">
        <v>53</v>
      </c>
      <c r="F515" s="24" t="s">
        <v>51</v>
      </c>
      <c r="G515" s="13">
        <v>720.0</v>
      </c>
      <c r="H515" s="19">
        <v>2558.0</v>
      </c>
      <c r="I515" s="21" t="s">
        <v>113</v>
      </c>
      <c r="J515" s="21"/>
      <c r="K515" s="21"/>
      <c r="L515" s="21"/>
      <c r="M515" s="15" t="s">
        <v>38</v>
      </c>
      <c r="N515" s="19">
        <v>1.0</v>
      </c>
      <c r="O515" s="21" t="s">
        <v>39</v>
      </c>
      <c r="P515" s="15" t="s">
        <v>53</v>
      </c>
      <c r="Q515" s="13" t="s">
        <v>41</v>
      </c>
      <c r="R515" s="13" t="s">
        <v>54</v>
      </c>
      <c r="S515" s="13" t="s">
        <v>55</v>
      </c>
      <c r="T515" s="21"/>
    </row>
    <row r="516" ht="56.25" customHeight="1">
      <c r="A516" s="21" t="s">
        <v>2074</v>
      </c>
      <c r="B516" s="15" t="str">
        <f>image("https://i.imgur.com/H4sdOsT.png")</f>
        <v/>
      </c>
      <c r="C516" s="22" t="str">
        <f>HYPERLINK("https://imgur.com/a/kPCUfkV","Yes")</f>
        <v>Yes</v>
      </c>
      <c r="D516" s="36" t="s">
        <v>53</v>
      </c>
      <c r="E516" s="36" t="s">
        <v>53</v>
      </c>
      <c r="F516" s="24" t="s">
        <v>51</v>
      </c>
      <c r="G516" s="13">
        <v>1800.0</v>
      </c>
      <c r="H516" s="19">
        <v>1561.0</v>
      </c>
      <c r="I516" s="21" t="s">
        <v>113</v>
      </c>
      <c r="J516" s="21"/>
      <c r="K516" s="21"/>
      <c r="L516" s="21"/>
      <c r="M516" s="15" t="s">
        <v>130</v>
      </c>
      <c r="N516" s="19">
        <v>3.0</v>
      </c>
      <c r="O516" s="21" t="s">
        <v>39</v>
      </c>
      <c r="P516" s="15" t="s">
        <v>53</v>
      </c>
      <c r="Q516" s="13" t="s">
        <v>41</v>
      </c>
      <c r="R516" s="13" t="s">
        <v>54</v>
      </c>
      <c r="S516" s="13" t="s">
        <v>55</v>
      </c>
      <c r="T516" s="21"/>
    </row>
    <row r="517" ht="56.25" customHeight="1">
      <c r="A517" s="21" t="s">
        <v>2077</v>
      </c>
      <c r="B517" s="15" t="str">
        <f>image("https://i.imgur.com/BZM0akX.png")</f>
        <v/>
      </c>
      <c r="C517" s="22" t="str">
        <f>HYPERLINK("https://imgur.com/a/hctYqCz","Yes")</f>
        <v>Yes</v>
      </c>
      <c r="D517" s="36" t="s">
        <v>53</v>
      </c>
      <c r="E517" s="36" t="s">
        <v>53</v>
      </c>
      <c r="F517" s="24" t="s">
        <v>51</v>
      </c>
      <c r="G517" s="13">
        <v>2460.0</v>
      </c>
      <c r="H517" s="19">
        <v>3205.0</v>
      </c>
      <c r="I517" s="21" t="s">
        <v>113</v>
      </c>
      <c r="J517" s="21"/>
      <c r="K517" s="21"/>
      <c r="L517" s="21"/>
      <c r="M517" s="15" t="s">
        <v>130</v>
      </c>
      <c r="N517" s="19">
        <v>4.0</v>
      </c>
      <c r="O517" s="21" t="s">
        <v>950</v>
      </c>
      <c r="P517" s="15" t="s">
        <v>53</v>
      </c>
      <c r="Q517" s="13" t="s">
        <v>41</v>
      </c>
      <c r="R517" s="13" t="s">
        <v>54</v>
      </c>
      <c r="S517" s="13" t="s">
        <v>55</v>
      </c>
      <c r="T517" s="21"/>
    </row>
    <row r="518" ht="56.25" customHeight="1">
      <c r="A518" s="21" t="s">
        <v>2080</v>
      </c>
      <c r="B518" s="15" t="str">
        <f>image("https://i.imgur.com/y05Xs7d.png")</f>
        <v/>
      </c>
      <c r="C518" s="22" t="str">
        <f>HYPERLINK("https://imgur.com/a/ovzP1hy","Yes")</f>
        <v>Yes</v>
      </c>
      <c r="D518" s="36" t="s">
        <v>53</v>
      </c>
      <c r="E518" s="36" t="s">
        <v>53</v>
      </c>
      <c r="F518" s="24" t="s">
        <v>51</v>
      </c>
      <c r="G518" s="13">
        <v>600.0</v>
      </c>
      <c r="H518" s="19">
        <v>5543.0</v>
      </c>
      <c r="I518" s="21" t="s">
        <v>113</v>
      </c>
      <c r="J518" s="21"/>
      <c r="K518" s="21"/>
      <c r="L518" s="21"/>
      <c r="M518" s="15" t="s">
        <v>38</v>
      </c>
      <c r="N518" s="19">
        <v>1.0</v>
      </c>
      <c r="O518" s="21" t="s">
        <v>39</v>
      </c>
      <c r="P518" s="15" t="s">
        <v>53</v>
      </c>
      <c r="Q518" s="13" t="s">
        <v>41</v>
      </c>
      <c r="R518" s="13" t="s">
        <v>54</v>
      </c>
      <c r="S518" s="13" t="s">
        <v>55</v>
      </c>
      <c r="T518" s="21"/>
    </row>
    <row r="519" ht="56.25" customHeight="1">
      <c r="A519" s="21" t="s">
        <v>2083</v>
      </c>
      <c r="B519" s="15" t="str">
        <f>image("https://i.imgur.com/GwsvFyh.png")</f>
        <v/>
      </c>
      <c r="C519" s="22" t="str">
        <f>HYPERLINK("https://imgur.com/a/UF0YWLi","Yes")</f>
        <v>Yes</v>
      </c>
      <c r="D519" s="36" t="s">
        <v>53</v>
      </c>
      <c r="E519" s="36" t="s">
        <v>53</v>
      </c>
      <c r="F519" s="24" t="s">
        <v>51</v>
      </c>
      <c r="G519" s="13">
        <v>1320.0</v>
      </c>
      <c r="H519" s="19">
        <v>1565.0</v>
      </c>
      <c r="I519" s="21" t="s">
        <v>113</v>
      </c>
      <c r="J519" s="21"/>
      <c r="K519" s="21"/>
      <c r="L519" s="21"/>
      <c r="M519" s="15" t="s">
        <v>106</v>
      </c>
      <c r="N519" s="19">
        <v>2.0</v>
      </c>
      <c r="O519" s="21" t="s">
        <v>39</v>
      </c>
      <c r="P519" s="15" t="s">
        <v>40</v>
      </c>
      <c r="Q519" s="13" t="s">
        <v>41</v>
      </c>
      <c r="R519" s="13" t="s">
        <v>54</v>
      </c>
      <c r="S519" s="13" t="s">
        <v>55</v>
      </c>
      <c r="T519" s="21"/>
    </row>
    <row r="520" ht="56.25" customHeight="1">
      <c r="A520" s="21" t="s">
        <v>2086</v>
      </c>
      <c r="B520" s="15" t="str">
        <f>image("https://i.imgur.com/Jngecrl.png")</f>
        <v/>
      </c>
      <c r="C520" s="22" t="str">
        <f>HYPERLINK("https://imgur.com/a/xGifKTc","Yes")</f>
        <v>Yes</v>
      </c>
      <c r="D520" s="36" t="s">
        <v>40</v>
      </c>
      <c r="E520" s="36" t="s">
        <v>40</v>
      </c>
      <c r="F520" s="13">
        <v>1700.0</v>
      </c>
      <c r="G520" s="13">
        <v>425.0</v>
      </c>
      <c r="H520" s="19">
        <v>3702.0</v>
      </c>
      <c r="I520" s="21" t="s">
        <v>113</v>
      </c>
      <c r="J520" s="21"/>
      <c r="K520" s="21"/>
      <c r="L520" s="21" t="s">
        <v>136</v>
      </c>
      <c r="M520" s="15" t="s">
        <v>38</v>
      </c>
      <c r="N520" s="19">
        <v>1.0</v>
      </c>
      <c r="O520" s="21" t="s">
        <v>39</v>
      </c>
      <c r="P520" s="15" t="s">
        <v>53</v>
      </c>
      <c r="Q520" s="13" t="s">
        <v>41</v>
      </c>
      <c r="R520" s="13" t="s">
        <v>43</v>
      </c>
      <c r="S520" s="13" t="s">
        <v>44</v>
      </c>
      <c r="T520" s="21" t="s">
        <v>63</v>
      </c>
    </row>
    <row r="521" ht="56.25" customHeight="1">
      <c r="A521" s="21" t="s">
        <v>2089</v>
      </c>
      <c r="B521" s="15" t="str">
        <f>image("https://i.imgur.com/FljLqoY.png")</f>
        <v/>
      </c>
      <c r="C521" s="22" t="str">
        <f>HYPERLINK("https://imgur.com/a/NJsWufo","Yes")</f>
        <v>Yes</v>
      </c>
      <c r="D521" s="36" t="s">
        <v>40</v>
      </c>
      <c r="E521" s="36" t="s">
        <v>40</v>
      </c>
      <c r="F521" s="13">
        <v>7100.0</v>
      </c>
      <c r="G521" s="13">
        <v>1775.0</v>
      </c>
      <c r="H521" s="19">
        <v>3701.0</v>
      </c>
      <c r="I521" s="21" t="s">
        <v>113</v>
      </c>
      <c r="J521" s="21"/>
      <c r="K521" s="21"/>
      <c r="L521" s="21" t="s">
        <v>136</v>
      </c>
      <c r="M521" s="15" t="s">
        <v>130</v>
      </c>
      <c r="N521" s="19">
        <v>3.0</v>
      </c>
      <c r="O521" s="21" t="s">
        <v>39</v>
      </c>
      <c r="P521" s="15" t="s">
        <v>53</v>
      </c>
      <c r="Q521" s="13" t="s">
        <v>215</v>
      </c>
      <c r="R521" s="13" t="s">
        <v>43</v>
      </c>
      <c r="S521" s="13" t="s">
        <v>44</v>
      </c>
      <c r="T521" s="21" t="s">
        <v>63</v>
      </c>
    </row>
    <row r="522" ht="56.25" customHeight="1">
      <c r="A522" s="21" t="s">
        <v>2093</v>
      </c>
      <c r="B522" s="15" t="str">
        <f>image("https://i.imgur.com/lGGiKEY.png")</f>
        <v/>
      </c>
      <c r="C522" s="22" t="str">
        <f>HYPERLINK("https://imgur.com/a/pSdiNCk","No")</f>
        <v>No</v>
      </c>
      <c r="D522" s="36" t="s">
        <v>53</v>
      </c>
      <c r="E522" s="36" t="s">
        <v>40</v>
      </c>
      <c r="F522" s="24" t="s">
        <v>51</v>
      </c>
      <c r="G522" s="13">
        <v>1300.0</v>
      </c>
      <c r="H522" s="19">
        <v>4270.0</v>
      </c>
      <c r="I522" s="21" t="s">
        <v>95</v>
      </c>
      <c r="J522" s="21"/>
      <c r="K522" s="21"/>
      <c r="L522" s="21"/>
      <c r="M522" s="15" t="s">
        <v>506</v>
      </c>
      <c r="N522" s="19"/>
      <c r="O522" s="21" t="s">
        <v>39</v>
      </c>
      <c r="P522" s="15" t="s">
        <v>53</v>
      </c>
      <c r="Q522" s="13" t="s">
        <v>41</v>
      </c>
      <c r="R522" s="13" t="s">
        <v>54</v>
      </c>
      <c r="S522" s="13" t="s">
        <v>55</v>
      </c>
      <c r="T522" s="21" t="s">
        <v>1181</v>
      </c>
    </row>
    <row r="523" ht="56.25" customHeight="1">
      <c r="A523" s="21" t="s">
        <v>2096</v>
      </c>
      <c r="B523" s="15" t="str">
        <f>image("https://i.imgur.com/cDrwQsC.png")</f>
        <v/>
      </c>
      <c r="C523" s="22" t="str">
        <f>HYPERLINK("https://imgur.com/a/AP58jIX","Yes")</f>
        <v>Yes</v>
      </c>
      <c r="D523" s="36" t="s">
        <v>40</v>
      </c>
      <c r="E523" s="36" t="s">
        <v>40</v>
      </c>
      <c r="F523" s="13">
        <v>2100.0</v>
      </c>
      <c r="G523" s="13">
        <v>525.0</v>
      </c>
      <c r="H523" s="19">
        <v>4132.0</v>
      </c>
      <c r="I523" s="21" t="s">
        <v>60</v>
      </c>
      <c r="J523" s="21"/>
      <c r="K523" s="21"/>
      <c r="L523" s="21"/>
      <c r="M523" s="15" t="s">
        <v>38</v>
      </c>
      <c r="N523" s="19">
        <v>1.0</v>
      </c>
      <c r="O523" s="21" t="s">
        <v>39</v>
      </c>
      <c r="P523" s="15" t="s">
        <v>40</v>
      </c>
      <c r="Q523" s="13" t="s">
        <v>41</v>
      </c>
      <c r="R523" s="13" t="s">
        <v>43</v>
      </c>
      <c r="S523" s="13" t="s">
        <v>44</v>
      </c>
      <c r="T523" s="21" t="s">
        <v>63</v>
      </c>
    </row>
    <row r="524" ht="56.25" customHeight="1">
      <c r="A524" s="21" t="s">
        <v>2099</v>
      </c>
      <c r="B524" s="15" t="str">
        <f>image("https://i.imgur.com/ptpkMsk.png")</f>
        <v/>
      </c>
      <c r="C524" s="22" t="str">
        <f>HYPERLINK("https://imgur.com/a/pf56lTn","Yes")</f>
        <v>Yes</v>
      </c>
      <c r="D524" s="36" t="s">
        <v>40</v>
      </c>
      <c r="E524" s="36" t="s">
        <v>53</v>
      </c>
      <c r="F524" s="13">
        <v>500.0</v>
      </c>
      <c r="G524" s="13">
        <v>125.0</v>
      </c>
      <c r="H524" s="19">
        <v>7047.0</v>
      </c>
      <c r="I524" s="21" t="s">
        <v>161</v>
      </c>
      <c r="J524" s="21" t="s">
        <v>60</v>
      </c>
      <c r="K524" s="21"/>
      <c r="L524" s="21"/>
      <c r="M524" s="15" t="s">
        <v>38</v>
      </c>
      <c r="N524" s="19">
        <v>1.0</v>
      </c>
      <c r="O524" s="21" t="s">
        <v>39</v>
      </c>
      <c r="P524" s="15" t="s">
        <v>53</v>
      </c>
      <c r="Q524" s="13" t="s">
        <v>41</v>
      </c>
      <c r="R524" s="13" t="s">
        <v>43</v>
      </c>
      <c r="S524" s="13" t="s">
        <v>44</v>
      </c>
      <c r="T524" s="21" t="s">
        <v>63</v>
      </c>
    </row>
    <row r="525" ht="56.25" customHeight="1">
      <c r="A525" s="21" t="s">
        <v>2101</v>
      </c>
      <c r="B525" s="15" t="str">
        <f>image("https://i.imgur.com/CGGYoXV.png")</f>
        <v/>
      </c>
      <c r="C525" s="22" t="str">
        <f>HYPERLINK("https://imgur.com/a/DBf5cP9","Yes")</f>
        <v>Yes</v>
      </c>
      <c r="D525" s="36" t="s">
        <v>53</v>
      </c>
      <c r="E525" s="36" t="s">
        <v>53</v>
      </c>
      <c r="F525" s="24" t="s">
        <v>51</v>
      </c>
      <c r="G525" s="13">
        <v>4500.0</v>
      </c>
      <c r="H525" s="19">
        <v>7317.0</v>
      </c>
      <c r="I525" s="21" t="s">
        <v>161</v>
      </c>
      <c r="J525" s="21" t="s">
        <v>346</v>
      </c>
      <c r="K525" s="21"/>
      <c r="L525" s="21"/>
      <c r="M525" s="15" t="s">
        <v>38</v>
      </c>
      <c r="N525" s="19">
        <v>6.0</v>
      </c>
      <c r="O525" s="21" t="s">
        <v>39</v>
      </c>
      <c r="P525" s="15" t="s">
        <v>40</v>
      </c>
      <c r="Q525" s="13" t="s">
        <v>41</v>
      </c>
      <c r="R525" s="13" t="s">
        <v>54</v>
      </c>
      <c r="S525" s="13" t="s">
        <v>55</v>
      </c>
      <c r="T525" s="21"/>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57"/>
    <col customWidth="1" min="2" max="2" width="10.86"/>
    <col customWidth="1" min="3" max="3" width="4.29"/>
    <col customWidth="1" min="4" max="4" width="8.29"/>
    <col customWidth="1" min="5" max="5" width="6.14"/>
    <col customWidth="1" min="6" max="6" width="5.71"/>
    <col customWidth="1" min="7" max="7" width="10.57"/>
    <col customWidth="1" min="8" max="9" width="9.43"/>
    <col customWidth="1" min="10" max="10" width="5.14"/>
    <col customWidth="1" min="11" max="11" width="10.57"/>
    <col customWidth="1" min="12" max="12" width="15.29"/>
    <col customWidth="1" min="13" max="13" width="20.71"/>
  </cols>
  <sheetData>
    <row r="1" ht="21.0" customHeight="1">
      <c r="A1" s="47" t="s">
        <v>0</v>
      </c>
      <c r="B1" s="3" t="s">
        <v>1</v>
      </c>
      <c r="C1" s="55" t="s">
        <v>4</v>
      </c>
      <c r="D1" s="55" t="s">
        <v>2111</v>
      </c>
      <c r="E1" s="1" t="s">
        <v>6</v>
      </c>
      <c r="F1" s="1" t="s">
        <v>7</v>
      </c>
      <c r="G1" s="7" t="s">
        <v>8</v>
      </c>
      <c r="H1" s="7" t="s">
        <v>1602</v>
      </c>
      <c r="I1" s="7" t="s">
        <v>1603</v>
      </c>
      <c r="J1" s="7" t="s">
        <v>12</v>
      </c>
      <c r="K1" s="7" t="s">
        <v>18</v>
      </c>
      <c r="L1" s="7" t="s">
        <v>19</v>
      </c>
      <c r="M1" s="7" t="s">
        <v>20</v>
      </c>
    </row>
    <row r="2" ht="56.25" customHeight="1">
      <c r="A2" s="23" t="s">
        <v>4211</v>
      </c>
      <c r="B2" s="15" t="str">
        <f>IMAGE("https://i.imgur.com/VIPorWm.png")</f>
        <v/>
      </c>
      <c r="C2" s="25" t="s">
        <v>50</v>
      </c>
      <c r="D2" s="25" t="s">
        <v>28</v>
      </c>
      <c r="E2" s="13">
        <v>5600.0</v>
      </c>
      <c r="F2" s="13">
        <v>1400.0</v>
      </c>
      <c r="G2" s="19">
        <v>9948.0</v>
      </c>
      <c r="H2" s="19" t="s">
        <v>211</v>
      </c>
      <c r="I2" s="19" t="s">
        <v>208</v>
      </c>
      <c r="J2" s="19" t="s">
        <v>38</v>
      </c>
      <c r="K2" s="19" t="s">
        <v>54</v>
      </c>
      <c r="L2" s="19" t="s">
        <v>55</v>
      </c>
      <c r="M2" s="19"/>
    </row>
    <row r="3" ht="56.25" customHeight="1">
      <c r="A3" s="23" t="s">
        <v>4213</v>
      </c>
      <c r="B3" s="15" t="str">
        <f>IMAGE("https://i.imgur.com/Qw4sEXf.png")</f>
        <v/>
      </c>
      <c r="C3" s="25" t="s">
        <v>28</v>
      </c>
      <c r="D3" s="25" t="s">
        <v>50</v>
      </c>
      <c r="E3" s="13">
        <v>840.0</v>
      </c>
      <c r="F3" s="13">
        <v>210.0</v>
      </c>
      <c r="G3" s="19">
        <v>6919.0</v>
      </c>
      <c r="H3" s="19" t="s">
        <v>99</v>
      </c>
      <c r="I3" s="19" t="s">
        <v>99</v>
      </c>
      <c r="J3" s="19" t="s">
        <v>38</v>
      </c>
      <c r="K3" s="19" t="s">
        <v>43</v>
      </c>
      <c r="L3" s="19" t="s">
        <v>44</v>
      </c>
      <c r="M3" s="19"/>
    </row>
    <row r="4" ht="56.25" customHeight="1">
      <c r="A4" s="23" t="s">
        <v>4214</v>
      </c>
      <c r="B4" s="15" t="str">
        <f>IMAGE("https://i.imgur.com/jj8ttnR.png")</f>
        <v/>
      </c>
      <c r="C4" s="15" t="s">
        <v>28</v>
      </c>
      <c r="D4" s="15" t="s">
        <v>50</v>
      </c>
      <c r="E4" s="13">
        <v>770.0</v>
      </c>
      <c r="F4" s="13">
        <v>192.0</v>
      </c>
      <c r="G4" s="19">
        <v>9957.0</v>
      </c>
      <c r="H4" s="19" t="s">
        <v>112</v>
      </c>
      <c r="I4" s="19" t="s">
        <v>82</v>
      </c>
      <c r="J4" s="19" t="s">
        <v>38</v>
      </c>
      <c r="K4" s="19" t="s">
        <v>43</v>
      </c>
      <c r="L4" s="19" t="s">
        <v>44</v>
      </c>
      <c r="M4" s="19"/>
    </row>
    <row r="5" ht="56.25" customHeight="1">
      <c r="A5" s="23" t="s">
        <v>4216</v>
      </c>
      <c r="B5" s="15" t="str">
        <f>IMAGE("https://i.imgur.com/Z1DSp8t.png")</f>
        <v/>
      </c>
      <c r="C5" s="25" t="s">
        <v>28</v>
      </c>
      <c r="D5" s="15" t="s">
        <v>50</v>
      </c>
      <c r="E5" s="13">
        <v>1570.0</v>
      </c>
      <c r="F5" s="13">
        <v>392.0</v>
      </c>
      <c r="G5" s="19">
        <v>7167.0</v>
      </c>
      <c r="H5" s="19" t="s">
        <v>118</v>
      </c>
      <c r="I5" s="19" t="s">
        <v>1608</v>
      </c>
      <c r="J5" s="19" t="s">
        <v>38</v>
      </c>
      <c r="K5" s="19" t="s">
        <v>43</v>
      </c>
      <c r="L5" s="19" t="s">
        <v>44</v>
      </c>
      <c r="M5" s="19" t="s">
        <v>2512</v>
      </c>
    </row>
    <row r="6" ht="56.25" customHeight="1">
      <c r="A6" s="23" t="s">
        <v>4219</v>
      </c>
      <c r="B6" s="15" t="str">
        <f>IMAGE("https://i.imgur.com/iguWCfL.png")</f>
        <v/>
      </c>
      <c r="C6" s="25" t="s">
        <v>28</v>
      </c>
      <c r="D6" s="15" t="s">
        <v>50</v>
      </c>
      <c r="E6" s="13">
        <v>1620.0</v>
      </c>
      <c r="F6" s="13">
        <v>405.0</v>
      </c>
      <c r="G6" s="19">
        <v>12137.0</v>
      </c>
      <c r="H6" s="19" t="s">
        <v>99</v>
      </c>
      <c r="I6" s="19" t="s">
        <v>99</v>
      </c>
      <c r="J6" s="19" t="s">
        <v>38</v>
      </c>
      <c r="K6" s="19" t="s">
        <v>43</v>
      </c>
      <c r="L6" s="19" t="s">
        <v>44</v>
      </c>
      <c r="M6" s="19" t="s">
        <v>2512</v>
      </c>
    </row>
    <row r="7" ht="56.25" customHeight="1">
      <c r="A7" s="23" t="s">
        <v>4220</v>
      </c>
      <c r="B7" s="15" t="str">
        <f>IMAGE("https://i.imgur.com/xSJeeh7.png")</f>
        <v/>
      </c>
      <c r="C7" s="25" t="s">
        <v>28</v>
      </c>
      <c r="D7" s="15" t="s">
        <v>50</v>
      </c>
      <c r="E7" s="13">
        <v>750.0</v>
      </c>
      <c r="F7" s="13">
        <v>187.0</v>
      </c>
      <c r="G7" s="19">
        <v>6915.0</v>
      </c>
      <c r="H7" s="19" t="s">
        <v>99</v>
      </c>
      <c r="I7" s="19" t="s">
        <v>82</v>
      </c>
      <c r="J7" s="19" t="s">
        <v>38</v>
      </c>
      <c r="K7" s="19" t="s">
        <v>43</v>
      </c>
      <c r="L7" s="19" t="s">
        <v>44</v>
      </c>
      <c r="M7" s="19"/>
    </row>
    <row r="8" ht="56.25" customHeight="1">
      <c r="A8" s="23" t="s">
        <v>4222</v>
      </c>
      <c r="B8" s="15" t="str">
        <f>IMAGE("https://i.imgur.com/GNC7TpB.png")</f>
        <v/>
      </c>
      <c r="C8" s="25" t="s">
        <v>28</v>
      </c>
      <c r="D8" s="15" t="s">
        <v>50</v>
      </c>
      <c r="E8" s="13">
        <v>750.0</v>
      </c>
      <c r="F8" s="13">
        <v>187.0</v>
      </c>
      <c r="G8" s="19">
        <v>9956.0</v>
      </c>
      <c r="H8" s="19" t="s">
        <v>112</v>
      </c>
      <c r="I8" s="19" t="s">
        <v>82</v>
      </c>
      <c r="J8" s="19" t="s">
        <v>38</v>
      </c>
      <c r="K8" s="19" t="s">
        <v>43</v>
      </c>
      <c r="L8" s="19" t="s">
        <v>44</v>
      </c>
      <c r="M8" s="19"/>
    </row>
    <row r="9" ht="56.25" customHeight="1">
      <c r="A9" s="23" t="s">
        <v>4223</v>
      </c>
      <c r="B9" s="15" t="str">
        <f>IMAGE("https://i.imgur.com/hF1IZNb.png")</f>
        <v/>
      </c>
      <c r="C9" s="25" t="s">
        <v>28</v>
      </c>
      <c r="D9" s="15" t="s">
        <v>50</v>
      </c>
      <c r="E9" s="13">
        <v>1620.0</v>
      </c>
      <c r="F9" s="13">
        <v>405.0</v>
      </c>
      <c r="G9" s="19">
        <v>12134.0</v>
      </c>
      <c r="H9" s="19" t="s">
        <v>112</v>
      </c>
      <c r="I9" s="19" t="s">
        <v>82</v>
      </c>
      <c r="J9" s="19" t="s">
        <v>38</v>
      </c>
      <c r="K9" s="19" t="s">
        <v>43</v>
      </c>
      <c r="L9" s="19" t="s">
        <v>44</v>
      </c>
      <c r="M9" s="19" t="s">
        <v>2512</v>
      </c>
    </row>
    <row r="10" ht="56.25" customHeight="1">
      <c r="A10" s="23" t="s">
        <v>4225</v>
      </c>
      <c r="B10" s="15" t="str">
        <f>IMAGE("https://i.imgur.com/kEqwW4l.png")</f>
        <v/>
      </c>
      <c r="C10" s="15" t="s">
        <v>28</v>
      </c>
      <c r="D10" s="15" t="s">
        <v>50</v>
      </c>
      <c r="E10" s="13">
        <v>770.0</v>
      </c>
      <c r="F10" s="13">
        <v>192.0</v>
      </c>
      <c r="G10" s="19">
        <v>9959.0</v>
      </c>
      <c r="H10" s="19" t="s">
        <v>112</v>
      </c>
      <c r="I10" s="19" t="s">
        <v>112</v>
      </c>
      <c r="J10" s="19" t="s">
        <v>38</v>
      </c>
      <c r="K10" s="19" t="s">
        <v>43</v>
      </c>
      <c r="L10" s="19" t="s">
        <v>44</v>
      </c>
      <c r="M10" s="19"/>
    </row>
    <row r="11" ht="56.25" customHeight="1">
      <c r="A11" s="23" t="s">
        <v>4228</v>
      </c>
      <c r="B11" s="15" t="str">
        <f>IMAGE("https://i.imgur.com/N0NFZkg.png")</f>
        <v/>
      </c>
      <c r="C11" s="25" t="s">
        <v>28</v>
      </c>
      <c r="D11" s="15" t="s">
        <v>50</v>
      </c>
      <c r="E11" s="13">
        <v>1570.0</v>
      </c>
      <c r="F11" s="13">
        <v>392.0</v>
      </c>
      <c r="G11" s="19">
        <v>7182.0</v>
      </c>
      <c r="H11" s="19" t="s">
        <v>99</v>
      </c>
      <c r="I11" s="19" t="s">
        <v>99</v>
      </c>
      <c r="J11" s="19" t="s">
        <v>38</v>
      </c>
      <c r="K11" s="19" t="s">
        <v>43</v>
      </c>
      <c r="L11" s="19" t="s">
        <v>44</v>
      </c>
      <c r="M11" s="19" t="s">
        <v>2512</v>
      </c>
    </row>
    <row r="12" ht="56.25" customHeight="1">
      <c r="A12" s="23" t="s">
        <v>4230</v>
      </c>
      <c r="B12" s="15" t="str">
        <f>IMAGE("https://i.imgur.com/VMZ2nxg.png")</f>
        <v/>
      </c>
      <c r="C12" s="25" t="s">
        <v>28</v>
      </c>
      <c r="D12" s="15" t="s">
        <v>50</v>
      </c>
      <c r="E12" s="13">
        <v>650.0</v>
      </c>
      <c r="F12" s="13">
        <v>162.0</v>
      </c>
      <c r="G12" s="19">
        <v>6923.0</v>
      </c>
      <c r="H12" s="19" t="s">
        <v>369</v>
      </c>
      <c r="I12" s="19" t="s">
        <v>1608</v>
      </c>
      <c r="J12" s="19" t="s">
        <v>38</v>
      </c>
      <c r="K12" s="19" t="s">
        <v>43</v>
      </c>
      <c r="L12" s="19" t="s">
        <v>44</v>
      </c>
      <c r="M12" s="19"/>
    </row>
    <row r="13" ht="56.25" customHeight="1">
      <c r="A13" s="23" t="s">
        <v>4231</v>
      </c>
      <c r="B13" s="41" t="str">
        <f>IMAGE("https://i.imgur.com/Iy0ks4B.png")</f>
        <v/>
      </c>
      <c r="C13" s="25" t="s">
        <v>28</v>
      </c>
      <c r="D13" s="15" t="s">
        <v>50</v>
      </c>
      <c r="E13" s="13">
        <v>770.0</v>
      </c>
      <c r="F13" s="13">
        <v>192.0</v>
      </c>
      <c r="G13" s="19">
        <v>6926.0</v>
      </c>
      <c r="H13" s="19" t="s">
        <v>107</v>
      </c>
      <c r="I13" s="19" t="s">
        <v>82</v>
      </c>
      <c r="J13" s="19" t="s">
        <v>38</v>
      </c>
      <c r="K13" s="19" t="s">
        <v>43</v>
      </c>
      <c r="L13" s="19" t="s">
        <v>44</v>
      </c>
      <c r="M13" s="19"/>
    </row>
    <row r="14" ht="56.25" customHeight="1">
      <c r="A14" s="23" t="s">
        <v>4233</v>
      </c>
      <c r="B14" s="15" t="str">
        <f>IMAGE("https://i.imgur.com/PktLlrK.png")</f>
        <v/>
      </c>
      <c r="C14" s="25" t="s">
        <v>50</v>
      </c>
      <c r="D14" s="25" t="s">
        <v>28</v>
      </c>
      <c r="E14" s="13">
        <v>5600.0</v>
      </c>
      <c r="F14" s="13">
        <v>1400.0</v>
      </c>
      <c r="G14" s="19">
        <v>9949.0</v>
      </c>
      <c r="H14" s="19" t="s">
        <v>208</v>
      </c>
      <c r="I14" s="19" t="s">
        <v>208</v>
      </c>
      <c r="J14" s="19" t="s">
        <v>38</v>
      </c>
      <c r="K14" s="19" t="s">
        <v>54</v>
      </c>
      <c r="L14" s="19" t="s">
        <v>55</v>
      </c>
      <c r="M14" s="19"/>
    </row>
    <row r="15" ht="56.25" customHeight="1">
      <c r="A15" s="23" t="s">
        <v>4234</v>
      </c>
      <c r="B15" s="15" t="str">
        <f>IMAGE("https://i.imgur.com/9bNkuab.png")</f>
        <v/>
      </c>
      <c r="C15" s="25" t="s">
        <v>50</v>
      </c>
      <c r="D15" s="25" t="s">
        <v>28</v>
      </c>
      <c r="E15" s="13">
        <v>11200.0</v>
      </c>
      <c r="F15" s="13">
        <v>2800.0</v>
      </c>
      <c r="G15" s="19">
        <v>9945.0</v>
      </c>
      <c r="H15" s="19" t="s">
        <v>107</v>
      </c>
      <c r="I15" s="19" t="s">
        <v>369</v>
      </c>
      <c r="J15" s="19" t="s">
        <v>38</v>
      </c>
      <c r="K15" s="19" t="s">
        <v>54</v>
      </c>
      <c r="L15" s="19" t="s">
        <v>55</v>
      </c>
      <c r="M15" s="19" t="s">
        <v>282</v>
      </c>
    </row>
    <row r="16" ht="56.25" customHeight="1">
      <c r="A16" s="23" t="s">
        <v>4236</v>
      </c>
      <c r="B16" s="15" t="str">
        <f>IMAGE("https://i.imgur.com/0XVVDS5.png")</f>
        <v/>
      </c>
      <c r="C16" s="25" t="s">
        <v>28</v>
      </c>
      <c r="D16" s="25" t="s">
        <v>28</v>
      </c>
      <c r="E16" s="13">
        <v>4040.0</v>
      </c>
      <c r="F16" s="13">
        <v>1010.0</v>
      </c>
      <c r="G16" s="19">
        <v>9560.0</v>
      </c>
      <c r="H16" s="19" t="s">
        <v>112</v>
      </c>
      <c r="I16" s="19" t="s">
        <v>112</v>
      </c>
      <c r="J16" s="19" t="s">
        <v>38</v>
      </c>
      <c r="K16" s="19" t="s">
        <v>54</v>
      </c>
      <c r="L16" s="19" t="s">
        <v>563</v>
      </c>
      <c r="M16" s="19" t="s">
        <v>565</v>
      </c>
    </row>
    <row r="17" ht="56.25" customHeight="1">
      <c r="A17" s="23" t="s">
        <v>4237</v>
      </c>
      <c r="B17" s="15" t="str">
        <f>IMAGE("https://i.imgur.com/cLdTHIt.png")</f>
        <v/>
      </c>
      <c r="C17" s="15" t="s">
        <v>28</v>
      </c>
      <c r="D17" s="15" t="s">
        <v>50</v>
      </c>
      <c r="E17" s="13">
        <v>750.0</v>
      </c>
      <c r="F17" s="13">
        <v>187.0</v>
      </c>
      <c r="G17" s="19">
        <v>9955.0</v>
      </c>
      <c r="H17" s="19" t="s">
        <v>211</v>
      </c>
      <c r="I17" s="19" t="s">
        <v>82</v>
      </c>
      <c r="J17" s="19" t="s">
        <v>38</v>
      </c>
      <c r="K17" s="19" t="s">
        <v>43</v>
      </c>
      <c r="L17" s="19" t="s">
        <v>44</v>
      </c>
      <c r="M17" s="19"/>
    </row>
    <row r="18" ht="56.25" customHeight="1">
      <c r="A18" s="23" t="s">
        <v>4239</v>
      </c>
      <c r="B18" s="41" t="str">
        <f>IMAGE("https://i.imgur.com/4hR7Txc.png")</f>
        <v/>
      </c>
      <c r="C18" s="25" t="s">
        <v>28</v>
      </c>
      <c r="D18" s="15" t="s">
        <v>50</v>
      </c>
      <c r="E18" s="13">
        <v>1670.0</v>
      </c>
      <c r="F18" s="24">
        <v>417.0</v>
      </c>
      <c r="G18" s="19">
        <v>7171.0</v>
      </c>
      <c r="H18" s="19" t="s">
        <v>211</v>
      </c>
      <c r="I18" s="19" t="s">
        <v>107</v>
      </c>
      <c r="J18" s="19" t="s">
        <v>38</v>
      </c>
      <c r="K18" s="19" t="s">
        <v>43</v>
      </c>
      <c r="L18" s="19" t="s">
        <v>44</v>
      </c>
      <c r="M18" s="19" t="s">
        <v>2512</v>
      </c>
    </row>
    <row r="19" ht="56.25" customHeight="1">
      <c r="A19" s="23" t="s">
        <v>4240</v>
      </c>
      <c r="B19" s="15" t="str">
        <f>IMAGE("https://i.imgur.com/xFO7bvA.png")</f>
        <v/>
      </c>
      <c r="C19" s="25" t="s">
        <v>28</v>
      </c>
      <c r="D19" s="25" t="s">
        <v>50</v>
      </c>
      <c r="E19" s="13">
        <v>820.0</v>
      </c>
      <c r="F19" s="13">
        <v>205.0</v>
      </c>
      <c r="G19" s="19">
        <v>7175.0</v>
      </c>
      <c r="H19" s="19" t="s">
        <v>369</v>
      </c>
      <c r="I19" s="19" t="s">
        <v>211</v>
      </c>
      <c r="J19" s="19" t="s">
        <v>38</v>
      </c>
      <c r="K19" s="19" t="s">
        <v>43</v>
      </c>
      <c r="L19" s="19" t="s">
        <v>44</v>
      </c>
      <c r="M19" s="19"/>
    </row>
    <row r="20" ht="56.25" customHeight="1">
      <c r="A20" s="23" t="s">
        <v>4241</v>
      </c>
      <c r="B20" s="15" t="str">
        <f>IMAGE("https://i.imgur.com/6zRFARV.png")</f>
        <v/>
      </c>
      <c r="C20" s="25" t="s">
        <v>28</v>
      </c>
      <c r="D20" s="25" t="s">
        <v>50</v>
      </c>
      <c r="E20" s="13">
        <v>320.0</v>
      </c>
      <c r="F20" s="13">
        <v>80.0</v>
      </c>
      <c r="G20" s="19">
        <v>8768.0</v>
      </c>
      <c r="H20" s="19" t="s">
        <v>112</v>
      </c>
      <c r="I20" s="19" t="s">
        <v>1614</v>
      </c>
      <c r="J20" s="19" t="s">
        <v>38</v>
      </c>
      <c r="K20" s="19" t="s">
        <v>54</v>
      </c>
      <c r="L20" s="19" t="s">
        <v>85</v>
      </c>
      <c r="M20" s="19"/>
    </row>
    <row r="21" ht="56.25" customHeight="1">
      <c r="A21" s="23" t="s">
        <v>4243</v>
      </c>
      <c r="B21" s="15" t="str">
        <f>IMAGE("https://i.imgur.com/pISglCH.png")</f>
        <v/>
      </c>
      <c r="C21" s="25" t="s">
        <v>28</v>
      </c>
      <c r="D21" s="25" t="s">
        <v>50</v>
      </c>
      <c r="E21" s="13">
        <v>1570.0</v>
      </c>
      <c r="F21" s="13">
        <v>392.0</v>
      </c>
      <c r="G21" s="19">
        <v>6925.0</v>
      </c>
      <c r="H21" s="19" t="s">
        <v>369</v>
      </c>
      <c r="I21" s="19" t="s">
        <v>369</v>
      </c>
      <c r="J21" s="19" t="s">
        <v>38</v>
      </c>
      <c r="K21" s="19" t="s">
        <v>43</v>
      </c>
      <c r="L21" s="19" t="s">
        <v>44</v>
      </c>
      <c r="M21" s="19" t="s">
        <v>2512</v>
      </c>
    </row>
    <row r="22" ht="56.25" customHeight="1">
      <c r="A22" s="23" t="s">
        <v>4245</v>
      </c>
      <c r="B22" s="15" t="str">
        <f>IMAGE("https://i.imgur.com/FJ51W4V.png")</f>
        <v/>
      </c>
      <c r="C22" s="15" t="s">
        <v>28</v>
      </c>
      <c r="D22" s="25" t="s">
        <v>50</v>
      </c>
      <c r="E22" s="13">
        <v>750.0</v>
      </c>
      <c r="F22" s="13">
        <v>187.0</v>
      </c>
      <c r="G22" s="19">
        <v>7180.0</v>
      </c>
      <c r="H22" s="19" t="s">
        <v>258</v>
      </c>
      <c r="I22" s="19" t="s">
        <v>258</v>
      </c>
      <c r="J22" s="19" t="s">
        <v>38</v>
      </c>
      <c r="K22" s="19" t="s">
        <v>43</v>
      </c>
      <c r="L22" s="19" t="s">
        <v>44</v>
      </c>
      <c r="M22" s="19"/>
    </row>
    <row r="23" ht="56.25" customHeight="1">
      <c r="A23" s="23" t="s">
        <v>4248</v>
      </c>
      <c r="B23" s="15" t="str">
        <f>IMAGE("https://i.imgur.com/C9VorZs.png")</f>
        <v/>
      </c>
      <c r="C23" s="25" t="s">
        <v>28</v>
      </c>
      <c r="D23" s="25" t="s">
        <v>50</v>
      </c>
      <c r="E23" s="13">
        <v>1670.0</v>
      </c>
      <c r="F23" s="13">
        <v>417.0</v>
      </c>
      <c r="G23" s="19">
        <v>6924.0</v>
      </c>
      <c r="H23" s="19" t="s">
        <v>82</v>
      </c>
      <c r="I23" s="19" t="s">
        <v>82</v>
      </c>
      <c r="J23" s="19" t="s">
        <v>38</v>
      </c>
      <c r="K23" s="19" t="s">
        <v>43</v>
      </c>
      <c r="L23" s="19" t="s">
        <v>44</v>
      </c>
      <c r="M23" s="19" t="s">
        <v>2512</v>
      </c>
    </row>
    <row r="24" ht="56.25" customHeight="1">
      <c r="A24" s="23" t="s">
        <v>4250</v>
      </c>
      <c r="B24" s="15" t="str">
        <f>IMAGE("https://i.imgur.com/ByiedAf.png")</f>
        <v/>
      </c>
      <c r="C24" s="25" t="s">
        <v>28</v>
      </c>
      <c r="D24" s="25" t="s">
        <v>50</v>
      </c>
      <c r="E24" s="13">
        <v>1550.0</v>
      </c>
      <c r="F24" s="13">
        <v>387.0</v>
      </c>
      <c r="G24" s="19">
        <v>6911.0</v>
      </c>
      <c r="H24" s="19" t="s">
        <v>464</v>
      </c>
      <c r="I24" s="19" t="s">
        <v>369</v>
      </c>
      <c r="J24" s="19" t="s">
        <v>38</v>
      </c>
      <c r="K24" s="19" t="s">
        <v>43</v>
      </c>
      <c r="L24" s="19" t="s">
        <v>44</v>
      </c>
      <c r="M24" s="19" t="s">
        <v>2512</v>
      </c>
    </row>
    <row r="25" ht="56.25" customHeight="1">
      <c r="A25" s="23" t="s">
        <v>4251</v>
      </c>
      <c r="B25" s="15" t="str">
        <f>IMAGE("https://i.imgur.com/2FZQveu.png")</f>
        <v/>
      </c>
      <c r="C25" s="25" t="s">
        <v>28</v>
      </c>
      <c r="D25" s="25" t="s">
        <v>50</v>
      </c>
      <c r="E25" s="13">
        <v>1620.0</v>
      </c>
      <c r="F25" s="13">
        <v>405.0</v>
      </c>
      <c r="G25" s="19">
        <v>12136.0</v>
      </c>
      <c r="H25" s="19" t="s">
        <v>369</v>
      </c>
      <c r="I25" s="19" t="s">
        <v>99</v>
      </c>
      <c r="J25" s="19" t="s">
        <v>38</v>
      </c>
      <c r="K25" s="19" t="s">
        <v>43</v>
      </c>
      <c r="L25" s="19" t="s">
        <v>44</v>
      </c>
      <c r="M25" s="19" t="s">
        <v>2512</v>
      </c>
    </row>
    <row r="26" ht="56.25" customHeight="1">
      <c r="A26" s="23" t="s">
        <v>4254</v>
      </c>
      <c r="B26" s="15" t="str">
        <f>IMAGE("https://i.imgur.com/rOBJipJ.png")</f>
        <v/>
      </c>
      <c r="C26" s="15" t="s">
        <v>28</v>
      </c>
      <c r="D26" s="25" t="s">
        <v>50</v>
      </c>
      <c r="E26" s="13">
        <v>770.0</v>
      </c>
      <c r="F26" s="13">
        <v>192.0</v>
      </c>
      <c r="G26" s="19">
        <v>9960.0</v>
      </c>
      <c r="H26" s="19" t="s">
        <v>369</v>
      </c>
      <c r="I26" s="19" t="s">
        <v>369</v>
      </c>
      <c r="J26" s="19" t="s">
        <v>38</v>
      </c>
      <c r="K26" s="19" t="s">
        <v>43</v>
      </c>
      <c r="L26" s="19" t="s">
        <v>44</v>
      </c>
      <c r="M26" s="19"/>
    </row>
    <row r="27" ht="56.25" customHeight="1">
      <c r="A27" s="23" t="s">
        <v>4256</v>
      </c>
      <c r="B27" s="15" t="str">
        <f>IMAGE("https://i.imgur.com/pofQlAE.png")</f>
        <v/>
      </c>
      <c r="C27" s="25" t="s">
        <v>28</v>
      </c>
      <c r="D27" s="25" t="s">
        <v>50</v>
      </c>
      <c r="E27" s="13">
        <v>750.0</v>
      </c>
      <c r="F27" s="13">
        <v>187.0</v>
      </c>
      <c r="G27" s="19">
        <v>6906.0</v>
      </c>
      <c r="H27" s="19" t="s">
        <v>1614</v>
      </c>
      <c r="I27" s="19" t="s">
        <v>82</v>
      </c>
      <c r="J27" s="19" t="s">
        <v>38</v>
      </c>
      <c r="K27" s="19" t="s">
        <v>43</v>
      </c>
      <c r="L27" s="19" t="s">
        <v>44</v>
      </c>
      <c r="M27" s="19"/>
    </row>
    <row r="28" ht="56.25" customHeight="1">
      <c r="A28" s="23" t="s">
        <v>4258</v>
      </c>
      <c r="B28" s="15" t="str">
        <f>IMAGE("https://i.imgur.com/YasTbEs.png")</f>
        <v/>
      </c>
      <c r="C28" s="25" t="s">
        <v>28</v>
      </c>
      <c r="D28" s="25" t="s">
        <v>50</v>
      </c>
      <c r="E28" s="13">
        <v>1670.0</v>
      </c>
      <c r="F28" s="13">
        <v>417.0</v>
      </c>
      <c r="G28" s="19">
        <v>7177.0</v>
      </c>
      <c r="H28" s="19" t="s">
        <v>464</v>
      </c>
      <c r="I28" s="19" t="s">
        <v>82</v>
      </c>
      <c r="J28" s="19" t="s">
        <v>38</v>
      </c>
      <c r="K28" s="19" t="s">
        <v>43</v>
      </c>
      <c r="L28" s="19" t="s">
        <v>44</v>
      </c>
      <c r="M28" s="19" t="s">
        <v>2512</v>
      </c>
    </row>
    <row r="29" ht="56.25" customHeight="1">
      <c r="A29" s="23" t="s">
        <v>4261</v>
      </c>
      <c r="B29" s="15" t="str">
        <f>IMAGE("https://i.imgur.com/QFlT03N.png")</f>
        <v/>
      </c>
      <c r="C29" s="25" t="s">
        <v>28</v>
      </c>
      <c r="D29" s="25" t="s">
        <v>50</v>
      </c>
      <c r="E29" s="13">
        <v>1550.0</v>
      </c>
      <c r="F29" s="13">
        <v>387.0</v>
      </c>
      <c r="G29" s="19">
        <v>6908.0</v>
      </c>
      <c r="H29" s="19" t="s">
        <v>369</v>
      </c>
      <c r="I29" s="19" t="s">
        <v>118</v>
      </c>
      <c r="J29" s="19" t="s">
        <v>38</v>
      </c>
      <c r="K29" s="19" t="s">
        <v>43</v>
      </c>
      <c r="L29" s="19" t="s">
        <v>44</v>
      </c>
      <c r="M29" s="19" t="s">
        <v>2512</v>
      </c>
    </row>
    <row r="30" ht="56.25" customHeight="1">
      <c r="A30" s="23" t="s">
        <v>4263</v>
      </c>
      <c r="B30" s="15" t="str">
        <f>IMAGE("https://i.imgur.com/60E36hj.png")</f>
        <v/>
      </c>
      <c r="C30" s="25" t="s">
        <v>28</v>
      </c>
      <c r="D30" s="25" t="s">
        <v>50</v>
      </c>
      <c r="E30" s="13">
        <v>1550.0</v>
      </c>
      <c r="F30" s="13">
        <v>387.0</v>
      </c>
      <c r="G30" s="19">
        <v>9946.0</v>
      </c>
      <c r="H30" s="19" t="s">
        <v>82</v>
      </c>
      <c r="I30" s="19" t="s">
        <v>82</v>
      </c>
      <c r="J30" s="19" t="s">
        <v>38</v>
      </c>
      <c r="K30" s="19" t="s">
        <v>43</v>
      </c>
      <c r="L30" s="19" t="s">
        <v>44</v>
      </c>
      <c r="M30" s="19" t="s">
        <v>2512</v>
      </c>
    </row>
    <row r="31" ht="56.25" customHeight="1">
      <c r="A31" s="23" t="s">
        <v>4265</v>
      </c>
      <c r="B31" s="15" t="str">
        <f>IMAGE("https://i.imgur.com/eCACSYf.png")</f>
        <v/>
      </c>
      <c r="C31" s="25" t="s">
        <v>28</v>
      </c>
      <c r="D31" s="25" t="s">
        <v>50</v>
      </c>
      <c r="E31" s="13">
        <v>320.0</v>
      </c>
      <c r="F31" s="13">
        <v>80.0</v>
      </c>
      <c r="G31" s="19">
        <v>8767.0</v>
      </c>
      <c r="H31" s="19" t="s">
        <v>208</v>
      </c>
      <c r="I31" s="19" t="s">
        <v>99</v>
      </c>
      <c r="J31" s="19" t="s">
        <v>38</v>
      </c>
      <c r="K31" s="19" t="s">
        <v>54</v>
      </c>
      <c r="L31" s="19" t="s">
        <v>264</v>
      </c>
      <c r="M31" s="19"/>
    </row>
    <row r="32" ht="56.25" customHeight="1">
      <c r="A32" s="23" t="s">
        <v>4266</v>
      </c>
      <c r="B32" s="15" t="str">
        <f>IMAGE("https://i.imgur.com/tmiXF2j.png")</f>
        <v/>
      </c>
      <c r="C32" s="15" t="s">
        <v>50</v>
      </c>
      <c r="D32" s="15" t="s">
        <v>28</v>
      </c>
      <c r="E32" s="13">
        <v>1200.0</v>
      </c>
      <c r="F32" s="13">
        <v>300.0</v>
      </c>
      <c r="G32" s="19">
        <v>6840.0</v>
      </c>
      <c r="H32" s="19" t="s">
        <v>369</v>
      </c>
      <c r="I32" s="19" t="s">
        <v>369</v>
      </c>
      <c r="J32" s="19" t="s">
        <v>38</v>
      </c>
      <c r="K32" s="19" t="s">
        <v>54</v>
      </c>
      <c r="L32" s="19" t="s">
        <v>55</v>
      </c>
      <c r="M32" s="19"/>
    </row>
    <row r="33" ht="56.25" customHeight="1">
      <c r="A33" s="23" t="s">
        <v>4267</v>
      </c>
      <c r="B33" s="15" t="str">
        <f>IMAGE("https://i.imgur.com/Ngm0yIN.png")</f>
        <v/>
      </c>
      <c r="C33" s="15" t="s">
        <v>28</v>
      </c>
      <c r="D33" s="15" t="s">
        <v>50</v>
      </c>
      <c r="E33" s="13">
        <v>770.0</v>
      </c>
      <c r="F33" s="13">
        <v>192.0</v>
      </c>
      <c r="G33" s="19">
        <v>9954.0</v>
      </c>
      <c r="H33" s="19" t="s">
        <v>211</v>
      </c>
      <c r="I33" s="19" t="s">
        <v>82</v>
      </c>
      <c r="J33" s="19" t="s">
        <v>38</v>
      </c>
      <c r="K33" s="19" t="s">
        <v>43</v>
      </c>
      <c r="L33" s="19" t="s">
        <v>44</v>
      </c>
      <c r="M33" s="19"/>
    </row>
    <row r="34" ht="56.25" customHeight="1">
      <c r="A34" s="23" t="s">
        <v>4268</v>
      </c>
      <c r="B34" s="15" t="str">
        <f>IMAGE("https://i.imgur.com/5Xd9AKb.png")</f>
        <v/>
      </c>
      <c r="C34" s="15" t="s">
        <v>28</v>
      </c>
      <c r="D34" s="15" t="s">
        <v>50</v>
      </c>
      <c r="E34" s="13">
        <v>650.0</v>
      </c>
      <c r="F34" s="13">
        <v>162.0</v>
      </c>
      <c r="G34" s="19">
        <v>7172.0</v>
      </c>
      <c r="H34" s="19" t="s">
        <v>112</v>
      </c>
      <c r="I34" s="19" t="s">
        <v>82</v>
      </c>
      <c r="J34" s="19" t="s">
        <v>38</v>
      </c>
      <c r="K34" s="19" t="s">
        <v>43</v>
      </c>
      <c r="L34" s="19" t="s">
        <v>44</v>
      </c>
      <c r="M34" s="19"/>
    </row>
    <row r="35" ht="56.25" customHeight="1">
      <c r="A35" s="23" t="s">
        <v>4270</v>
      </c>
      <c r="B35" s="15" t="str">
        <f>IMAGE("https://i.imgur.com/0UPyROf.png")</f>
        <v/>
      </c>
      <c r="C35" s="25" t="s">
        <v>50</v>
      </c>
      <c r="D35" s="25" t="s">
        <v>28</v>
      </c>
      <c r="E35" s="13">
        <v>11200.0</v>
      </c>
      <c r="F35" s="13">
        <v>2800.0</v>
      </c>
      <c r="G35" s="19">
        <v>7169.0</v>
      </c>
      <c r="H35" s="19" t="s">
        <v>521</v>
      </c>
      <c r="I35" s="19" t="s">
        <v>521</v>
      </c>
      <c r="J35" s="19" t="s">
        <v>38</v>
      </c>
      <c r="K35" s="19" t="s">
        <v>54</v>
      </c>
      <c r="L35" s="19" t="s">
        <v>55</v>
      </c>
      <c r="M35" s="19" t="s">
        <v>1442</v>
      </c>
    </row>
    <row r="36" ht="56.25" customHeight="1">
      <c r="A36" s="23" t="s">
        <v>4271</v>
      </c>
      <c r="B36" s="15" t="str">
        <f>IMAGE("https://i.imgur.com/AK0CvoF.png")</f>
        <v/>
      </c>
      <c r="C36" s="25" t="s">
        <v>28</v>
      </c>
      <c r="D36" s="25" t="s">
        <v>50</v>
      </c>
      <c r="E36" s="13">
        <v>770.0</v>
      </c>
      <c r="F36" s="13">
        <v>192.0</v>
      </c>
      <c r="G36" s="19">
        <v>9951.0</v>
      </c>
      <c r="H36" s="19" t="s">
        <v>369</v>
      </c>
      <c r="I36" s="19" t="s">
        <v>82</v>
      </c>
      <c r="J36" s="19" t="s">
        <v>38</v>
      </c>
      <c r="K36" s="19" t="s">
        <v>43</v>
      </c>
      <c r="L36" s="19" t="s">
        <v>44</v>
      </c>
      <c r="M36" s="19"/>
    </row>
    <row r="37" ht="56.25" customHeight="1">
      <c r="A37" s="23" t="s">
        <v>4273</v>
      </c>
      <c r="B37" s="15" t="str">
        <f>IMAGE("https://i.imgur.com/a5kQGvF.png")</f>
        <v/>
      </c>
      <c r="C37" s="25" t="s">
        <v>28</v>
      </c>
      <c r="D37" s="25" t="s">
        <v>50</v>
      </c>
      <c r="E37" s="13">
        <v>750.0</v>
      </c>
      <c r="F37" s="13">
        <v>187.0</v>
      </c>
      <c r="G37" s="19">
        <v>6914.0</v>
      </c>
      <c r="H37" s="19" t="s">
        <v>107</v>
      </c>
      <c r="I37" s="19" t="s">
        <v>82</v>
      </c>
      <c r="J37" s="19" t="s">
        <v>38</v>
      </c>
      <c r="K37" s="19" t="s">
        <v>43</v>
      </c>
      <c r="L37" s="19" t="s">
        <v>44</v>
      </c>
      <c r="M37" s="19"/>
    </row>
    <row r="38" ht="56.25" customHeight="1">
      <c r="A38" s="23" t="s">
        <v>4274</v>
      </c>
      <c r="B38" s="15" t="str">
        <f>IMAGE("https://i.imgur.com/GcwpbLN.png")</f>
        <v/>
      </c>
      <c r="C38" s="15" t="s">
        <v>28</v>
      </c>
      <c r="D38" s="15" t="s">
        <v>50</v>
      </c>
      <c r="E38" s="13">
        <v>770.0</v>
      </c>
      <c r="F38" s="13">
        <v>192.0</v>
      </c>
      <c r="G38" s="19">
        <v>9952.0</v>
      </c>
      <c r="H38" s="19" t="s">
        <v>118</v>
      </c>
      <c r="I38" s="19" t="s">
        <v>369</v>
      </c>
      <c r="J38" s="19" t="s">
        <v>38</v>
      </c>
      <c r="K38" s="19" t="s">
        <v>43</v>
      </c>
      <c r="L38" s="19" t="s">
        <v>44</v>
      </c>
      <c r="M38" s="19"/>
    </row>
    <row r="39" ht="56.25" customHeight="1">
      <c r="A39" s="23" t="s">
        <v>4276</v>
      </c>
      <c r="B39" s="15" t="str">
        <f>IMAGE("https://i.imgur.com/1Q3BX4o.png")</f>
        <v/>
      </c>
      <c r="C39" s="25" t="s">
        <v>50</v>
      </c>
      <c r="D39" s="25" t="s">
        <v>28</v>
      </c>
      <c r="E39" s="13">
        <v>4800.0</v>
      </c>
      <c r="F39" s="13">
        <v>1200.0</v>
      </c>
      <c r="G39" s="19">
        <v>7174.0</v>
      </c>
      <c r="H39" s="19" t="s">
        <v>118</v>
      </c>
      <c r="I39" s="19" t="s">
        <v>1608</v>
      </c>
      <c r="J39" s="19" t="s">
        <v>38</v>
      </c>
      <c r="K39" s="19" t="s">
        <v>54</v>
      </c>
      <c r="L39" s="19" t="s">
        <v>55</v>
      </c>
      <c r="M39" s="19"/>
    </row>
    <row r="40" ht="56.25" customHeight="1">
      <c r="A40" s="23" t="s">
        <v>4278</v>
      </c>
      <c r="B40" s="15" t="str">
        <f>IMAGE("https://i.imgur.com/mSWIY8x.png")</f>
        <v/>
      </c>
      <c r="C40" s="15" t="s">
        <v>28</v>
      </c>
      <c r="D40" s="15" t="s">
        <v>28</v>
      </c>
      <c r="E40" s="13">
        <v>14000.0</v>
      </c>
      <c r="F40" s="13">
        <v>3500.0</v>
      </c>
      <c r="G40" s="19">
        <v>9561.0</v>
      </c>
      <c r="H40" s="19" t="s">
        <v>369</v>
      </c>
      <c r="I40" s="19" t="s">
        <v>82</v>
      </c>
      <c r="J40" s="19" t="s">
        <v>38</v>
      </c>
      <c r="K40" s="19" t="s">
        <v>54</v>
      </c>
      <c r="L40" s="19" t="s">
        <v>516</v>
      </c>
      <c r="M40" s="19"/>
    </row>
    <row r="41" ht="56.25" customHeight="1">
      <c r="A41" s="23" t="s">
        <v>4279</v>
      </c>
      <c r="B41" s="15" t="str">
        <f>IMAGE("https://i.imgur.com/7iswCgi.png")</f>
        <v/>
      </c>
      <c r="C41" s="25" t="s">
        <v>50</v>
      </c>
      <c r="D41" s="25" t="s">
        <v>28</v>
      </c>
      <c r="E41" s="13">
        <v>5600.0</v>
      </c>
      <c r="F41" s="13">
        <v>1400.0</v>
      </c>
      <c r="G41" s="19">
        <v>6912.0</v>
      </c>
      <c r="H41" s="19" t="s">
        <v>521</v>
      </c>
      <c r="I41" s="19" t="s">
        <v>211</v>
      </c>
      <c r="J41" s="19" t="s">
        <v>38</v>
      </c>
      <c r="K41" s="19" t="s">
        <v>54</v>
      </c>
      <c r="L41" s="19" t="s">
        <v>55</v>
      </c>
      <c r="M41" s="19"/>
    </row>
    <row r="42" ht="56.25" customHeight="1">
      <c r="A42" s="23" t="s">
        <v>4281</v>
      </c>
      <c r="B42" s="15" t="str">
        <f>IMAGE("https://i.imgur.com/Mz0VfvL.png")</f>
        <v/>
      </c>
      <c r="C42" s="25" t="s">
        <v>28</v>
      </c>
      <c r="D42" s="15" t="s">
        <v>50</v>
      </c>
      <c r="E42" s="13">
        <v>1570.0</v>
      </c>
      <c r="F42" s="13">
        <v>392.0</v>
      </c>
      <c r="G42" s="19">
        <v>7170.0</v>
      </c>
      <c r="H42" s="19" t="s">
        <v>82</v>
      </c>
      <c r="I42" s="19" t="s">
        <v>99</v>
      </c>
      <c r="J42" s="19" t="s">
        <v>38</v>
      </c>
      <c r="K42" s="19" t="s">
        <v>43</v>
      </c>
      <c r="L42" s="19" t="s">
        <v>44</v>
      </c>
      <c r="M42" s="19" t="s">
        <v>2512</v>
      </c>
    </row>
    <row r="43" ht="56.25" customHeight="1">
      <c r="A43" s="23" t="s">
        <v>4284</v>
      </c>
      <c r="B43" s="15" t="str">
        <f>IMAGE("https://i.imgur.com/RDf0PxG.png")</f>
        <v/>
      </c>
      <c r="C43" s="15" t="s">
        <v>28</v>
      </c>
      <c r="D43" s="15" t="s">
        <v>50</v>
      </c>
      <c r="E43" s="13">
        <v>870.0</v>
      </c>
      <c r="F43" s="13">
        <v>217.0</v>
      </c>
      <c r="G43" s="19">
        <v>7178.0</v>
      </c>
      <c r="H43" s="19" t="s">
        <v>118</v>
      </c>
      <c r="I43" s="19" t="s">
        <v>369</v>
      </c>
      <c r="J43" s="19" t="s">
        <v>38</v>
      </c>
      <c r="K43" s="19" t="s">
        <v>43</v>
      </c>
      <c r="L43" s="19" t="s">
        <v>44</v>
      </c>
      <c r="M43" s="19"/>
    </row>
    <row r="44" ht="56.25" customHeight="1">
      <c r="A44" s="23" t="s">
        <v>4286</v>
      </c>
      <c r="B44" s="15" t="str">
        <f>IMAGE("https://i.imgur.com/HWHz80L.png")</f>
        <v/>
      </c>
      <c r="C44" s="25" t="s">
        <v>28</v>
      </c>
      <c r="D44" s="25" t="s">
        <v>50</v>
      </c>
      <c r="E44" s="13">
        <v>750.0</v>
      </c>
      <c r="F44" s="13">
        <v>187.0</v>
      </c>
      <c r="G44" s="19">
        <v>6918.0</v>
      </c>
      <c r="H44" s="19" t="s">
        <v>82</v>
      </c>
      <c r="I44" s="19" t="s">
        <v>82</v>
      </c>
      <c r="J44" s="19" t="s">
        <v>38</v>
      </c>
      <c r="K44" s="19" t="s">
        <v>43</v>
      </c>
      <c r="L44" s="19" t="s">
        <v>44</v>
      </c>
      <c r="M44" s="19"/>
    </row>
    <row r="45" ht="56.25" customHeight="1">
      <c r="A45" s="23" t="s">
        <v>4288</v>
      </c>
      <c r="B45" s="15" t="str">
        <f>IMAGE("https://i.imgur.com/MXQPRSj.png")</f>
        <v/>
      </c>
      <c r="C45" s="25" t="s">
        <v>50</v>
      </c>
      <c r="D45" s="25" t="s">
        <v>28</v>
      </c>
      <c r="E45" s="13">
        <v>5600.0</v>
      </c>
      <c r="F45" s="13">
        <v>1400.0</v>
      </c>
      <c r="G45" s="19">
        <v>9947.0</v>
      </c>
      <c r="H45" s="19" t="s">
        <v>107</v>
      </c>
      <c r="I45" s="19" t="s">
        <v>369</v>
      </c>
      <c r="J45" s="19" t="s">
        <v>38</v>
      </c>
      <c r="K45" s="19" t="s">
        <v>54</v>
      </c>
      <c r="L45" s="19" t="s">
        <v>55</v>
      </c>
      <c r="M45" s="19"/>
    </row>
    <row r="46" ht="56.25" customHeight="1">
      <c r="A46" s="23" t="s">
        <v>4289</v>
      </c>
      <c r="B46" s="15" t="str">
        <f>IMAGE("https://i.imgur.com/FAIQ1tC.png")</f>
        <v/>
      </c>
      <c r="C46" s="25" t="s">
        <v>50</v>
      </c>
      <c r="D46" s="25" t="s">
        <v>28</v>
      </c>
      <c r="E46" s="13">
        <v>5600.0</v>
      </c>
      <c r="F46" s="13">
        <v>1400.0</v>
      </c>
      <c r="G46" s="19">
        <v>9950.0</v>
      </c>
      <c r="H46" s="19" t="s">
        <v>211</v>
      </c>
      <c r="I46" s="19" t="s">
        <v>369</v>
      </c>
      <c r="J46" s="19" t="s">
        <v>38</v>
      </c>
      <c r="K46" s="19" t="s">
        <v>54</v>
      </c>
      <c r="L46" s="19" t="s">
        <v>55</v>
      </c>
      <c r="M46" s="19"/>
    </row>
    <row r="47" ht="56.25" customHeight="1">
      <c r="A47" s="23" t="s">
        <v>4291</v>
      </c>
      <c r="B47" s="15" t="str">
        <f>IMAGE("https://i.imgur.com/Xhr2Yin.png")</f>
        <v/>
      </c>
      <c r="C47" s="25" t="s">
        <v>28</v>
      </c>
      <c r="D47" s="15" t="s">
        <v>50</v>
      </c>
      <c r="E47" s="13">
        <v>1590.0</v>
      </c>
      <c r="F47" s="13">
        <v>397.0</v>
      </c>
      <c r="G47" s="19">
        <v>7181.0</v>
      </c>
      <c r="H47" s="19" t="s">
        <v>82</v>
      </c>
      <c r="I47" s="19" t="s">
        <v>211</v>
      </c>
      <c r="J47" s="19" t="s">
        <v>38</v>
      </c>
      <c r="K47" s="19" t="s">
        <v>43</v>
      </c>
      <c r="L47" s="19" t="s">
        <v>44</v>
      </c>
      <c r="M47" s="19" t="s">
        <v>2512</v>
      </c>
    </row>
    <row r="48" ht="56.25" customHeight="1">
      <c r="A48" s="23" t="s">
        <v>4292</v>
      </c>
      <c r="B48" s="15" t="str">
        <f>IMAGE("https://i.imgur.com/ywo50PP.png")</f>
        <v/>
      </c>
      <c r="C48" s="25" t="s">
        <v>28</v>
      </c>
      <c r="D48" s="15" t="s">
        <v>50</v>
      </c>
      <c r="E48" s="13">
        <v>770.0</v>
      </c>
      <c r="F48" s="13">
        <v>192.0</v>
      </c>
      <c r="G48" s="19">
        <v>9953.0</v>
      </c>
      <c r="H48" s="19" t="s">
        <v>464</v>
      </c>
      <c r="I48" s="19" t="s">
        <v>107</v>
      </c>
      <c r="J48" s="19" t="s">
        <v>38</v>
      </c>
      <c r="K48" s="19" t="s">
        <v>43</v>
      </c>
      <c r="L48" s="19" t="s">
        <v>44</v>
      </c>
      <c r="M48" s="19"/>
    </row>
    <row r="49" ht="56.25" customHeight="1">
      <c r="A49" s="37" t="s">
        <v>4294</v>
      </c>
      <c r="B49" s="15" t="str">
        <f>IMAGE("https://i.imgur.com/UzXJdvu.png")</f>
        <v/>
      </c>
      <c r="C49" s="25" t="s">
        <v>28</v>
      </c>
      <c r="D49" s="15" t="s">
        <v>50</v>
      </c>
      <c r="E49" s="13">
        <v>1550.0</v>
      </c>
      <c r="F49" s="13">
        <v>387.0</v>
      </c>
      <c r="G49" s="19">
        <v>6910.0</v>
      </c>
      <c r="H49" s="19" t="s">
        <v>211</v>
      </c>
      <c r="I49" s="19" t="s">
        <v>369</v>
      </c>
      <c r="J49" s="19" t="s">
        <v>38</v>
      </c>
      <c r="K49" s="19" t="s">
        <v>43</v>
      </c>
      <c r="L49" s="19" t="s">
        <v>44</v>
      </c>
      <c r="M49" s="19" t="s">
        <v>2512</v>
      </c>
    </row>
    <row r="50" ht="56.25" customHeight="1">
      <c r="A50" s="23" t="s">
        <v>4297</v>
      </c>
      <c r="B50" s="15" t="str">
        <f>IMAGE("https://i.imgur.com/wNKsyvJ.png")</f>
        <v/>
      </c>
      <c r="C50" s="25" t="s">
        <v>28</v>
      </c>
      <c r="D50" s="15" t="s">
        <v>50</v>
      </c>
      <c r="E50" s="13">
        <v>1620.0</v>
      </c>
      <c r="F50" s="13">
        <v>405.0</v>
      </c>
      <c r="G50" s="19">
        <v>7176.0</v>
      </c>
      <c r="H50" s="19" t="s">
        <v>107</v>
      </c>
      <c r="I50" s="19" t="s">
        <v>82</v>
      </c>
      <c r="J50" s="19" t="s">
        <v>38</v>
      </c>
      <c r="K50" s="19" t="s">
        <v>43</v>
      </c>
      <c r="L50" s="19" t="s">
        <v>44</v>
      </c>
      <c r="M50" s="19" t="s">
        <v>2512</v>
      </c>
    </row>
    <row r="51" ht="56.25" customHeight="1">
      <c r="A51" s="23" t="s">
        <v>4298</v>
      </c>
      <c r="B51" s="15" t="str">
        <f>IMAGE("https://i.imgur.com/IdYaSDy.png")</f>
        <v/>
      </c>
      <c r="C51" s="25" t="s">
        <v>28</v>
      </c>
      <c r="D51" s="15" t="s">
        <v>50</v>
      </c>
      <c r="E51" s="13">
        <v>770.0</v>
      </c>
      <c r="F51" s="13">
        <v>192.0</v>
      </c>
      <c r="G51" s="19">
        <v>7164.0</v>
      </c>
      <c r="H51" s="19" t="s">
        <v>107</v>
      </c>
      <c r="I51" s="19" t="s">
        <v>107</v>
      </c>
      <c r="J51" s="19" t="s">
        <v>38</v>
      </c>
      <c r="K51" s="19" t="s">
        <v>43</v>
      </c>
      <c r="L51" s="19" t="s">
        <v>44</v>
      </c>
      <c r="M51" s="19"/>
    </row>
    <row r="52" ht="56.25" customHeight="1">
      <c r="A52" s="23" t="s">
        <v>4300</v>
      </c>
      <c r="B52" s="15" t="str">
        <f>IMAGE("https://i.imgur.com/yAUR6qz.png")</f>
        <v/>
      </c>
      <c r="C52" s="25" t="s">
        <v>28</v>
      </c>
      <c r="D52" s="15" t="s">
        <v>50</v>
      </c>
      <c r="E52" s="13">
        <v>1620.0</v>
      </c>
      <c r="F52" s="13">
        <v>405.0</v>
      </c>
      <c r="G52" s="19">
        <v>7183.0</v>
      </c>
      <c r="H52" s="19" t="s">
        <v>464</v>
      </c>
      <c r="I52" s="19" t="s">
        <v>99</v>
      </c>
      <c r="J52" s="19" t="s">
        <v>38</v>
      </c>
      <c r="K52" s="19" t="s">
        <v>43</v>
      </c>
      <c r="L52" s="19" t="s">
        <v>44</v>
      </c>
      <c r="M52" s="19" t="s">
        <v>2512</v>
      </c>
    </row>
    <row r="53" ht="56.25" customHeight="1">
      <c r="A53" s="23" t="s">
        <v>4302</v>
      </c>
      <c r="B53" s="15" t="str">
        <f>IMAGE("https://i.imgur.com/ljYYoGh.png")</f>
        <v/>
      </c>
      <c r="C53" s="25" t="s">
        <v>28</v>
      </c>
      <c r="D53" s="15" t="s">
        <v>50</v>
      </c>
      <c r="E53" s="13">
        <v>1620.0</v>
      </c>
      <c r="F53" s="13">
        <v>405.0</v>
      </c>
      <c r="G53" s="19">
        <v>12133.0</v>
      </c>
      <c r="H53" s="19" t="s">
        <v>464</v>
      </c>
      <c r="I53" s="19" t="s">
        <v>82</v>
      </c>
      <c r="J53" s="19" t="s">
        <v>38</v>
      </c>
      <c r="K53" s="19" t="s">
        <v>43</v>
      </c>
      <c r="L53" s="19" t="s">
        <v>44</v>
      </c>
      <c r="M53" s="19" t="s">
        <v>2512</v>
      </c>
    </row>
    <row r="54" ht="56.25" customHeight="1">
      <c r="A54" s="23" t="s">
        <v>4303</v>
      </c>
      <c r="B54" s="15" t="str">
        <f>IMAGE("https://i.imgur.com/xuLaFB2.png")</f>
        <v/>
      </c>
      <c r="C54" s="25" t="s">
        <v>28</v>
      </c>
      <c r="D54" s="15" t="s">
        <v>50</v>
      </c>
      <c r="E54" s="13">
        <v>840.0</v>
      </c>
      <c r="F54" s="13">
        <v>210.0</v>
      </c>
      <c r="G54" s="19">
        <v>7179.0</v>
      </c>
      <c r="H54" s="19" t="s">
        <v>258</v>
      </c>
      <c r="I54" s="19" t="s">
        <v>258</v>
      </c>
      <c r="J54" s="19" t="s">
        <v>38</v>
      </c>
      <c r="K54" s="19" t="s">
        <v>43</v>
      </c>
      <c r="L54" s="19" t="s">
        <v>44</v>
      </c>
      <c r="M54" s="19"/>
    </row>
    <row r="55" ht="56.25" customHeight="1">
      <c r="A55" s="23" t="s">
        <v>4305</v>
      </c>
      <c r="B55" s="15" t="str">
        <f>IMAGE("https://i.imgur.com/2DjoN9D.png")</f>
        <v/>
      </c>
      <c r="C55" s="25" t="s">
        <v>28</v>
      </c>
      <c r="D55" s="15" t="s">
        <v>50</v>
      </c>
      <c r="E55" s="13">
        <v>750.0</v>
      </c>
      <c r="F55" s="13">
        <v>187.0</v>
      </c>
      <c r="G55" s="19">
        <v>6913.0</v>
      </c>
      <c r="H55" s="19" t="s">
        <v>211</v>
      </c>
      <c r="I55" s="19" t="s">
        <v>1614</v>
      </c>
      <c r="J55" s="19" t="s">
        <v>38</v>
      </c>
      <c r="K55" s="19" t="s">
        <v>43</v>
      </c>
      <c r="L55" s="19" t="s">
        <v>44</v>
      </c>
      <c r="M55" s="19"/>
    </row>
    <row r="56" ht="56.25" customHeight="1">
      <c r="A56" s="23" t="s">
        <v>4307</v>
      </c>
      <c r="B56" s="15" t="str">
        <f>IMAGE("https://i.imgur.com/6jN4eDQ.png")</f>
        <v/>
      </c>
      <c r="C56" s="25" t="s">
        <v>28</v>
      </c>
      <c r="D56" s="15" t="s">
        <v>50</v>
      </c>
      <c r="E56" s="13">
        <v>1620.0</v>
      </c>
      <c r="F56" s="13">
        <v>405.0</v>
      </c>
      <c r="G56" s="19">
        <v>12138.0</v>
      </c>
      <c r="H56" s="19" t="s">
        <v>208</v>
      </c>
      <c r="I56" s="19" t="s">
        <v>99</v>
      </c>
      <c r="J56" s="19" t="s">
        <v>38</v>
      </c>
      <c r="K56" s="19" t="s">
        <v>43</v>
      </c>
      <c r="L56" s="19" t="s">
        <v>44</v>
      </c>
      <c r="M56" s="19" t="s">
        <v>2512</v>
      </c>
    </row>
    <row r="57" ht="56.25" customHeight="1">
      <c r="A57" s="23" t="s">
        <v>4309</v>
      </c>
      <c r="B57" s="15" t="str">
        <f>IMAGE("https://i.imgur.com/TR7b3NL.png")</f>
        <v/>
      </c>
      <c r="C57" s="25" t="s">
        <v>28</v>
      </c>
      <c r="D57" s="15" t="s">
        <v>50</v>
      </c>
      <c r="E57" s="13">
        <v>770.0</v>
      </c>
      <c r="F57" s="13">
        <v>192.0</v>
      </c>
      <c r="G57" s="19">
        <v>9958.0</v>
      </c>
      <c r="H57" s="19" t="s">
        <v>208</v>
      </c>
      <c r="I57" s="19" t="s">
        <v>208</v>
      </c>
      <c r="J57" s="19" t="s">
        <v>38</v>
      </c>
      <c r="K57" s="19" t="s">
        <v>43</v>
      </c>
      <c r="L57" s="19" t="s">
        <v>44</v>
      </c>
      <c r="M57" s="19"/>
    </row>
    <row r="58" ht="56.25" customHeight="1">
      <c r="A58" s="23" t="s">
        <v>4311</v>
      </c>
      <c r="B58" s="15" t="str">
        <f>IMAGE("https://i.imgur.com/nCsC143.png")</f>
        <v/>
      </c>
      <c r="C58" s="25" t="s">
        <v>28</v>
      </c>
      <c r="D58" s="15" t="s">
        <v>50</v>
      </c>
      <c r="E58" s="13">
        <v>1550.0</v>
      </c>
      <c r="F58" s="13">
        <v>387.0</v>
      </c>
      <c r="G58" s="19">
        <v>6905.0</v>
      </c>
      <c r="H58" s="19" t="s">
        <v>1614</v>
      </c>
      <c r="I58" s="19" t="s">
        <v>1614</v>
      </c>
      <c r="J58" s="19" t="s">
        <v>38</v>
      </c>
      <c r="K58" s="19" t="s">
        <v>43</v>
      </c>
      <c r="L58" s="19" t="s">
        <v>44</v>
      </c>
      <c r="M58" s="19" t="s">
        <v>2512</v>
      </c>
    </row>
    <row r="59" ht="56.25" customHeight="1">
      <c r="A59" s="23" t="s">
        <v>4313</v>
      </c>
      <c r="B59" s="15" t="str">
        <f>IMAGE("https://i.imgur.com/glzv3u9.png")</f>
        <v/>
      </c>
      <c r="C59" s="25" t="s">
        <v>28</v>
      </c>
      <c r="D59" s="15" t="s">
        <v>50</v>
      </c>
      <c r="E59" s="13">
        <v>840.0</v>
      </c>
      <c r="F59" s="13">
        <v>210.0</v>
      </c>
      <c r="G59" s="19">
        <v>7173.0</v>
      </c>
      <c r="H59" s="19" t="s">
        <v>99</v>
      </c>
      <c r="I59" s="19" t="s">
        <v>82</v>
      </c>
      <c r="J59" s="19" t="s">
        <v>38</v>
      </c>
      <c r="K59" s="19" t="s">
        <v>43</v>
      </c>
      <c r="L59" s="19" t="s">
        <v>44</v>
      </c>
      <c r="M59" s="19"/>
    </row>
    <row r="60" ht="56.25" customHeight="1">
      <c r="A60" s="23" t="s">
        <v>4314</v>
      </c>
      <c r="B60" s="15" t="str">
        <f>IMAGE("https://i.imgur.com/mKBlgUo.png")</f>
        <v/>
      </c>
      <c r="C60" s="25" t="s">
        <v>28</v>
      </c>
      <c r="D60" s="15" t="s">
        <v>50</v>
      </c>
      <c r="E60" s="13">
        <v>1550.0</v>
      </c>
      <c r="F60" s="13">
        <v>387.0</v>
      </c>
      <c r="G60" s="19">
        <v>6907.0</v>
      </c>
      <c r="H60" s="19" t="s">
        <v>107</v>
      </c>
      <c r="I60" s="19" t="s">
        <v>369</v>
      </c>
      <c r="J60" s="19" t="s">
        <v>38</v>
      </c>
      <c r="K60" s="19" t="s">
        <v>43</v>
      </c>
      <c r="L60" s="19" t="s">
        <v>44</v>
      </c>
      <c r="M60" s="19" t="s">
        <v>2512</v>
      </c>
    </row>
    <row r="61" ht="56.25" customHeight="1">
      <c r="A61" s="23" t="s">
        <v>4317</v>
      </c>
      <c r="B61" s="15" t="str">
        <f>IMAGE("https://i.imgur.com/ikpY8YY.png")</f>
        <v/>
      </c>
      <c r="C61" s="25" t="s">
        <v>28</v>
      </c>
      <c r="D61" s="15" t="s">
        <v>50</v>
      </c>
      <c r="E61" s="13">
        <v>750.0</v>
      </c>
      <c r="F61" s="13">
        <v>187.0</v>
      </c>
      <c r="G61" s="19">
        <v>6916.0</v>
      </c>
      <c r="H61" s="19" t="s">
        <v>94</v>
      </c>
      <c r="I61" s="19" t="s">
        <v>82</v>
      </c>
      <c r="J61" s="19" t="s">
        <v>38</v>
      </c>
      <c r="K61" s="19" t="s">
        <v>43</v>
      </c>
      <c r="L61" s="19" t="s">
        <v>44</v>
      </c>
      <c r="M61" s="19"/>
    </row>
    <row r="62" ht="56.25" customHeight="1">
      <c r="A62" s="23" t="s">
        <v>4319</v>
      </c>
      <c r="B62" s="15" t="str">
        <f>IMAGE("https://i.imgur.com/mwBSfXc.png")</f>
        <v/>
      </c>
      <c r="C62" s="25" t="s">
        <v>28</v>
      </c>
      <c r="D62" s="15" t="s">
        <v>50</v>
      </c>
      <c r="E62" s="13">
        <v>750.0</v>
      </c>
      <c r="F62" s="13">
        <v>187.0</v>
      </c>
      <c r="G62" s="19">
        <v>6904.0</v>
      </c>
      <c r="H62" s="19" t="s">
        <v>211</v>
      </c>
      <c r="I62" s="19" t="s">
        <v>82</v>
      </c>
      <c r="J62" s="19" t="s">
        <v>38</v>
      </c>
      <c r="K62" s="19" t="s">
        <v>43</v>
      </c>
      <c r="L62" s="19" t="s">
        <v>44</v>
      </c>
      <c r="M62" s="19"/>
    </row>
    <row r="63" ht="56.25" customHeight="1">
      <c r="A63" s="23" t="s">
        <v>4320</v>
      </c>
      <c r="B63" s="15" t="str">
        <f>IMAGE("https://i.imgur.com/NnAMp0c.png")</f>
        <v/>
      </c>
      <c r="C63" s="25" t="s">
        <v>28</v>
      </c>
      <c r="D63" s="25" t="s">
        <v>50</v>
      </c>
      <c r="E63" s="13">
        <v>750.0</v>
      </c>
      <c r="F63" s="13">
        <v>187.0</v>
      </c>
      <c r="G63" s="19">
        <v>6917.0</v>
      </c>
      <c r="H63" s="19" t="s">
        <v>208</v>
      </c>
      <c r="I63" s="19" t="s">
        <v>369</v>
      </c>
      <c r="J63" s="19" t="s">
        <v>38</v>
      </c>
      <c r="K63" s="19" t="s">
        <v>43</v>
      </c>
      <c r="L63" s="19" t="s">
        <v>44</v>
      </c>
      <c r="M63" s="19"/>
    </row>
    <row r="64" ht="56.25" customHeight="1">
      <c r="A64" s="23" t="s">
        <v>4322</v>
      </c>
      <c r="B64" s="15" t="str">
        <f>IMAGE("https://i.imgur.com/rpYLOJL.png")</f>
        <v/>
      </c>
      <c r="C64" s="25" t="s">
        <v>28</v>
      </c>
      <c r="D64" s="25" t="s">
        <v>50</v>
      </c>
      <c r="E64" s="13">
        <v>750.0</v>
      </c>
      <c r="F64" s="13">
        <v>187.0</v>
      </c>
      <c r="G64" s="19">
        <v>5861.0</v>
      </c>
      <c r="H64" s="19" t="s">
        <v>208</v>
      </c>
      <c r="I64" s="19" t="s">
        <v>82</v>
      </c>
      <c r="J64" s="19" t="s">
        <v>38</v>
      </c>
      <c r="K64" s="19" t="s">
        <v>43</v>
      </c>
      <c r="L64" s="19" t="s">
        <v>44</v>
      </c>
      <c r="M64" s="19"/>
    </row>
    <row r="65" ht="56.25" customHeight="1">
      <c r="A65" s="23" t="s">
        <v>4323</v>
      </c>
      <c r="B65" s="15" t="str">
        <f>IMAGE("https://i.imgur.com/4kIZsOA.png")</f>
        <v/>
      </c>
      <c r="C65" s="25" t="s">
        <v>28</v>
      </c>
      <c r="D65" s="15" t="s">
        <v>50</v>
      </c>
      <c r="E65" s="13">
        <v>770.0</v>
      </c>
      <c r="F65" s="13">
        <v>192.0</v>
      </c>
      <c r="G65" s="19">
        <v>7166.0</v>
      </c>
      <c r="H65" s="19" t="s">
        <v>208</v>
      </c>
      <c r="I65" s="19" t="s">
        <v>211</v>
      </c>
      <c r="J65" s="19" t="s">
        <v>38</v>
      </c>
      <c r="K65" s="19" t="s">
        <v>43</v>
      </c>
      <c r="L65" s="19" t="s">
        <v>44</v>
      </c>
      <c r="M65" s="19"/>
    </row>
    <row r="66" ht="56.25" customHeight="1">
      <c r="A66" s="23" t="s">
        <v>4325</v>
      </c>
      <c r="B66" s="15" t="str">
        <f>IMAGE("https://i.imgur.com/i2CaEV3.png")</f>
        <v/>
      </c>
      <c r="C66" s="25" t="s">
        <v>28</v>
      </c>
      <c r="D66" s="15" t="s">
        <v>50</v>
      </c>
      <c r="E66" s="13">
        <v>770.0</v>
      </c>
      <c r="F66" s="13">
        <v>192.0</v>
      </c>
      <c r="G66" s="19">
        <v>7165.0</v>
      </c>
      <c r="H66" s="19" t="s">
        <v>82</v>
      </c>
      <c r="I66" s="19" t="s">
        <v>82</v>
      </c>
      <c r="J66" s="19" t="s">
        <v>38</v>
      </c>
      <c r="K66" s="19" t="s">
        <v>43</v>
      </c>
      <c r="L66" s="19" t="s">
        <v>44</v>
      </c>
      <c r="M66" s="19"/>
    </row>
    <row r="67" ht="56.25" customHeight="1">
      <c r="A67" s="23" t="s">
        <v>4328</v>
      </c>
      <c r="B67" s="15" t="str">
        <f>IMAGE("https://i.imgur.com/Ba5vCDX.png")</f>
        <v/>
      </c>
      <c r="C67" s="25" t="s">
        <v>28</v>
      </c>
      <c r="D67" s="15" t="s">
        <v>50</v>
      </c>
      <c r="E67" s="13">
        <v>1550.0</v>
      </c>
      <c r="F67" s="13">
        <v>387.0</v>
      </c>
      <c r="G67" s="19">
        <v>6909.0</v>
      </c>
      <c r="H67" s="19" t="s">
        <v>208</v>
      </c>
      <c r="I67" s="19" t="s">
        <v>369</v>
      </c>
      <c r="J67" s="19" t="s">
        <v>38</v>
      </c>
      <c r="K67" s="19" t="s">
        <v>43</v>
      </c>
      <c r="L67" s="19" t="s">
        <v>44</v>
      </c>
      <c r="M67" s="19" t="s">
        <v>2512</v>
      </c>
    </row>
    <row r="68" ht="56.25" customHeight="1">
      <c r="A68" s="23" t="s">
        <v>4329</v>
      </c>
      <c r="B68" s="15" t="str">
        <f>IMAGE("https://i.imgur.com/i3Gq5ty.png")</f>
        <v/>
      </c>
      <c r="C68" s="25" t="s">
        <v>28</v>
      </c>
      <c r="D68" s="15" t="s">
        <v>50</v>
      </c>
      <c r="E68" s="13">
        <v>1620.0</v>
      </c>
      <c r="F68" s="13">
        <v>405.0</v>
      </c>
      <c r="G68" s="19">
        <v>12135.0</v>
      </c>
      <c r="H68" s="19" t="s">
        <v>82</v>
      </c>
      <c r="I68" s="19" t="s">
        <v>82</v>
      </c>
      <c r="J68" s="19" t="s">
        <v>38</v>
      </c>
      <c r="K68" s="19" t="s">
        <v>43</v>
      </c>
      <c r="L68" s="19" t="s">
        <v>44</v>
      </c>
      <c r="M68" s="19" t="s">
        <v>2512</v>
      </c>
    </row>
  </sheetData>
  <printOptions gridLines="1" horizontalCentered="1"/>
  <pageMargins bottom="0.75" footer="0.0" header="0.0" left="0.7" right="0.7" top="0.75"/>
  <pageSetup fitToHeight="0" paperSize="9" cellComments="atEnd" orientation="portrait" pageOrder="overThenDown"/>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10.86"/>
    <col customWidth="1" min="3" max="4" width="5.29"/>
    <col customWidth="1" min="5" max="5" width="10.57"/>
    <col customWidth="1" min="6" max="6" width="7.57"/>
    <col customWidth="1" min="7" max="7" width="9.43"/>
    <col customWidth="1" min="8" max="8" width="5.14"/>
    <col customWidth="1" min="9" max="9" width="12.57"/>
    <col customWidth="1" min="10" max="10" width="13.71"/>
    <col customWidth="1" min="11" max="11" width="24.29"/>
  </cols>
  <sheetData>
    <row r="1" ht="21.0" customHeight="1">
      <c r="A1" s="47" t="s">
        <v>0</v>
      </c>
      <c r="B1" s="3" t="s">
        <v>1</v>
      </c>
      <c r="C1" s="1" t="s">
        <v>6</v>
      </c>
      <c r="D1" s="1" t="s">
        <v>7</v>
      </c>
      <c r="E1" s="7" t="s">
        <v>8</v>
      </c>
      <c r="F1" s="7" t="s">
        <v>1602</v>
      </c>
      <c r="G1" s="7" t="s">
        <v>1603</v>
      </c>
      <c r="H1" s="7" t="s">
        <v>12</v>
      </c>
      <c r="I1" s="7" t="s">
        <v>18</v>
      </c>
      <c r="J1" s="7" t="s">
        <v>19</v>
      </c>
      <c r="K1" s="7" t="s">
        <v>20</v>
      </c>
    </row>
    <row r="2" ht="56.25" customHeight="1">
      <c r="A2" s="13" t="s">
        <v>4337</v>
      </c>
      <c r="B2" s="15" t="str">
        <f>IMAGE("https://imgur.com/uu45Wv1.png")</f>
        <v/>
      </c>
      <c r="C2" s="13">
        <v>3200.0</v>
      </c>
      <c r="D2" s="13">
        <v>800.0</v>
      </c>
      <c r="E2" s="19">
        <v>2472.0</v>
      </c>
      <c r="F2" s="19" t="s">
        <v>118</v>
      </c>
      <c r="G2" s="19" t="s">
        <v>521</v>
      </c>
      <c r="H2" s="19" t="s">
        <v>38</v>
      </c>
      <c r="I2" s="19" t="s">
        <v>43</v>
      </c>
      <c r="J2" s="19" t="s">
        <v>4339</v>
      </c>
      <c r="K2" s="19" t="s">
        <v>4341</v>
      </c>
    </row>
    <row r="3" ht="56.25" customHeight="1">
      <c r="A3" s="13" t="s">
        <v>4342</v>
      </c>
      <c r="B3" s="15" t="str">
        <f>IMAGE("https://i.imgur.com/bv5xczE.png")</f>
        <v/>
      </c>
      <c r="C3" s="13">
        <v>3200.0</v>
      </c>
      <c r="D3" s="13">
        <v>800.0</v>
      </c>
      <c r="E3" s="19">
        <v>2423.0</v>
      </c>
      <c r="F3" s="19" t="s">
        <v>118</v>
      </c>
      <c r="G3" s="19" t="s">
        <v>1614</v>
      </c>
      <c r="H3" s="19" t="s">
        <v>38</v>
      </c>
      <c r="I3" s="19" t="s">
        <v>43</v>
      </c>
      <c r="J3" s="19" t="s">
        <v>4339</v>
      </c>
      <c r="K3" s="19" t="s">
        <v>4343</v>
      </c>
    </row>
    <row r="4" ht="56.25" customHeight="1">
      <c r="A4" s="13" t="s">
        <v>4344</v>
      </c>
      <c r="B4" s="15" t="str">
        <f>IMAGE("https://imgur.com/MoIHhRi.png")</f>
        <v/>
      </c>
      <c r="C4" s="13">
        <v>3200.0</v>
      </c>
      <c r="D4" s="13">
        <v>800.0</v>
      </c>
      <c r="E4" s="19">
        <v>4312.0</v>
      </c>
      <c r="F4" s="19" t="s">
        <v>118</v>
      </c>
      <c r="G4" s="19" t="s">
        <v>1467</v>
      </c>
      <c r="H4" s="19" t="s">
        <v>38</v>
      </c>
      <c r="I4" s="19" t="s">
        <v>54</v>
      </c>
      <c r="J4" s="19" t="s">
        <v>4346</v>
      </c>
      <c r="K4" s="19" t="s">
        <v>4347</v>
      </c>
    </row>
    <row r="5" ht="56.25" customHeight="1">
      <c r="A5" s="13" t="s">
        <v>4348</v>
      </c>
      <c r="B5" s="15" t="str">
        <f>IMAGE("https://imgur.com/bZRtvO6.png")</f>
        <v/>
      </c>
      <c r="C5" s="13">
        <v>3200.0</v>
      </c>
      <c r="D5" s="13">
        <v>800.0</v>
      </c>
      <c r="E5" s="19">
        <v>2492.0</v>
      </c>
      <c r="F5" s="19" t="s">
        <v>118</v>
      </c>
      <c r="G5" s="19" t="s">
        <v>1614</v>
      </c>
      <c r="H5" s="19" t="s">
        <v>38</v>
      </c>
      <c r="I5" s="19" t="s">
        <v>43</v>
      </c>
      <c r="J5" s="19" t="s">
        <v>4339</v>
      </c>
      <c r="K5" s="19" t="s">
        <v>4349</v>
      </c>
    </row>
    <row r="6" ht="56.25" customHeight="1">
      <c r="A6" s="13" t="s">
        <v>4351</v>
      </c>
      <c r="B6" s="15" t="str">
        <f>IMAGE("https://imgur.com/hFvBdHI.png")</f>
        <v/>
      </c>
      <c r="C6" s="13">
        <v>3200.0</v>
      </c>
      <c r="D6" s="13">
        <v>800.0</v>
      </c>
      <c r="E6" s="19">
        <v>2454.0</v>
      </c>
      <c r="F6" s="19" t="s">
        <v>118</v>
      </c>
      <c r="G6" s="19" t="s">
        <v>258</v>
      </c>
      <c r="H6" s="19" t="s">
        <v>38</v>
      </c>
      <c r="I6" s="19" t="s">
        <v>43</v>
      </c>
      <c r="J6" s="19" t="s">
        <v>4339</v>
      </c>
      <c r="K6" s="19" t="s">
        <v>4349</v>
      </c>
    </row>
    <row r="7" ht="56.25" customHeight="1">
      <c r="A7" s="13" t="s">
        <v>4352</v>
      </c>
      <c r="B7" s="15" t="str">
        <f>IMAGE("https://imgur.com/AIB0nez.png")</f>
        <v/>
      </c>
      <c r="C7" s="13">
        <v>3200.0</v>
      </c>
      <c r="D7" s="13">
        <v>800.0</v>
      </c>
      <c r="E7" s="19">
        <v>2448.0</v>
      </c>
      <c r="F7" s="19" t="s">
        <v>118</v>
      </c>
      <c r="G7" s="19" t="s">
        <v>82</v>
      </c>
      <c r="H7" s="19" t="s">
        <v>38</v>
      </c>
      <c r="I7" s="19" t="s">
        <v>43</v>
      </c>
      <c r="J7" s="19" t="s">
        <v>4339</v>
      </c>
      <c r="K7" s="19" t="s">
        <v>4353</v>
      </c>
    </row>
    <row r="8" ht="56.25" customHeight="1">
      <c r="A8" s="13" t="s">
        <v>4354</v>
      </c>
      <c r="B8" s="15" t="str">
        <f>IMAGE("https://imgur.com/fqYjOMM.png")</f>
        <v/>
      </c>
      <c r="C8" s="13">
        <v>3200.0</v>
      </c>
      <c r="D8" s="13">
        <v>800.0</v>
      </c>
      <c r="E8" s="19">
        <v>2443.0</v>
      </c>
      <c r="F8" s="19" t="s">
        <v>118</v>
      </c>
      <c r="G8" s="19" t="s">
        <v>107</v>
      </c>
      <c r="H8" s="19" t="s">
        <v>38</v>
      </c>
      <c r="I8" s="19" t="s">
        <v>43</v>
      </c>
      <c r="J8" s="19" t="s">
        <v>4339</v>
      </c>
      <c r="K8" s="19" t="s">
        <v>4356</v>
      </c>
    </row>
    <row r="9" ht="56.25" customHeight="1">
      <c r="A9" s="13" t="s">
        <v>4357</v>
      </c>
      <c r="B9" s="15" t="str">
        <f>IMAGE("https://imgur.com/FIxhfT6.png")</f>
        <v/>
      </c>
      <c r="C9" s="13">
        <v>3200.0</v>
      </c>
      <c r="D9" s="13">
        <v>800.0</v>
      </c>
      <c r="E9" s="19">
        <v>4314.0</v>
      </c>
      <c r="F9" s="19" t="s">
        <v>118</v>
      </c>
      <c r="G9" s="19" t="s">
        <v>1467</v>
      </c>
      <c r="H9" s="19" t="s">
        <v>38</v>
      </c>
      <c r="I9" s="19" t="s">
        <v>54</v>
      </c>
      <c r="J9" s="19" t="s">
        <v>4346</v>
      </c>
      <c r="K9" s="19" t="s">
        <v>4347</v>
      </c>
    </row>
    <row r="10" ht="56.25" customHeight="1">
      <c r="A10" s="13" t="s">
        <v>4359</v>
      </c>
      <c r="B10" s="15" t="str">
        <f>IMAGE("https://imgur.com/L6ZMZHX.png")</f>
        <v/>
      </c>
      <c r="C10" s="13">
        <v>3200.0</v>
      </c>
      <c r="D10" s="13">
        <v>800.0</v>
      </c>
      <c r="E10" s="19">
        <v>4313.0</v>
      </c>
      <c r="F10" s="19" t="s">
        <v>118</v>
      </c>
      <c r="G10" s="19" t="s">
        <v>1467</v>
      </c>
      <c r="H10" s="19" t="s">
        <v>38</v>
      </c>
      <c r="I10" s="19" t="s">
        <v>54</v>
      </c>
      <c r="J10" s="19" t="s">
        <v>4346</v>
      </c>
      <c r="K10" s="19" t="s">
        <v>4347</v>
      </c>
    </row>
    <row r="11" ht="56.25" customHeight="1">
      <c r="A11" s="13" t="s">
        <v>4360</v>
      </c>
      <c r="B11" s="15" t="str">
        <f>IMAGE("https://imgur.com/BfXaP4K.png")</f>
        <v/>
      </c>
      <c r="C11" s="13">
        <v>3200.0</v>
      </c>
      <c r="D11" s="13">
        <v>800.0</v>
      </c>
      <c r="E11" s="19">
        <v>2461.0</v>
      </c>
      <c r="F11" s="19" t="s">
        <v>118</v>
      </c>
      <c r="G11" s="19" t="s">
        <v>211</v>
      </c>
      <c r="H11" s="19" t="s">
        <v>38</v>
      </c>
      <c r="I11" s="19" t="s">
        <v>43</v>
      </c>
      <c r="J11" s="19" t="s">
        <v>4339</v>
      </c>
      <c r="K11" s="19" t="s">
        <v>4343</v>
      </c>
    </row>
    <row r="12" ht="56.25" customHeight="1">
      <c r="A12" s="13" t="s">
        <v>4363</v>
      </c>
      <c r="B12" s="15" t="str">
        <f>IMAGE("https://imgur.com/RZImOmz.png")</f>
        <v/>
      </c>
      <c r="C12" s="13">
        <v>3200.0</v>
      </c>
      <c r="D12" s="13">
        <v>800.0</v>
      </c>
      <c r="E12" s="19">
        <v>2450.0</v>
      </c>
      <c r="F12" s="19" t="s">
        <v>118</v>
      </c>
      <c r="G12" s="19" t="s">
        <v>82</v>
      </c>
      <c r="H12" s="19" t="s">
        <v>38</v>
      </c>
      <c r="I12" s="19" t="s">
        <v>43</v>
      </c>
      <c r="J12" s="19" t="s">
        <v>4339</v>
      </c>
      <c r="K12" s="19" t="s">
        <v>4356</v>
      </c>
    </row>
    <row r="13" ht="56.25" customHeight="1">
      <c r="A13" s="13" t="s">
        <v>4365</v>
      </c>
      <c r="B13" s="15" t="str">
        <f>IMAGE("https://imgur.com/vbIMgKG.png")</f>
        <v/>
      </c>
      <c r="C13" s="13">
        <v>3200.0</v>
      </c>
      <c r="D13" s="13">
        <v>800.0</v>
      </c>
      <c r="E13" s="19">
        <v>2480.0</v>
      </c>
      <c r="F13" s="19" t="s">
        <v>118</v>
      </c>
      <c r="G13" s="19" t="s">
        <v>82</v>
      </c>
      <c r="H13" s="19" t="s">
        <v>38</v>
      </c>
      <c r="I13" s="19" t="s">
        <v>43</v>
      </c>
      <c r="J13" s="19" t="s">
        <v>4339</v>
      </c>
      <c r="K13" s="19" t="s">
        <v>4341</v>
      </c>
    </row>
    <row r="14" ht="56.25" customHeight="1">
      <c r="A14" s="13" t="s">
        <v>4367</v>
      </c>
      <c r="B14" s="15" t="str">
        <f>IMAGE("https://imgur.com/7XXekaz.png")</f>
        <v/>
      </c>
      <c r="C14" s="13">
        <v>3200.0</v>
      </c>
      <c r="D14" s="13">
        <v>800.0</v>
      </c>
      <c r="E14" s="19">
        <v>2458.0</v>
      </c>
      <c r="F14" s="19" t="s">
        <v>118</v>
      </c>
      <c r="G14" s="19" t="s">
        <v>258</v>
      </c>
      <c r="H14" s="19" t="s">
        <v>38</v>
      </c>
      <c r="I14" s="19" t="s">
        <v>43</v>
      </c>
      <c r="J14" s="19" t="s">
        <v>4339</v>
      </c>
      <c r="K14" s="19" t="s">
        <v>4343</v>
      </c>
    </row>
    <row r="15" ht="56.25" customHeight="1">
      <c r="A15" s="13" t="s">
        <v>4368</v>
      </c>
      <c r="B15" s="15" t="str">
        <f>IMAGE("https://imgur.com/wEYPIxa.png")</f>
        <v/>
      </c>
      <c r="C15" s="13">
        <v>3200.0</v>
      </c>
      <c r="D15" s="13">
        <v>800.0</v>
      </c>
      <c r="E15" s="19">
        <v>2427.0</v>
      </c>
      <c r="F15" s="19" t="s">
        <v>118</v>
      </c>
      <c r="G15" s="19" t="s">
        <v>107</v>
      </c>
      <c r="H15" s="19" t="s">
        <v>38</v>
      </c>
      <c r="I15" s="19" t="s">
        <v>43</v>
      </c>
      <c r="J15" s="19" t="s">
        <v>4339</v>
      </c>
      <c r="K15" s="19" t="s">
        <v>4356</v>
      </c>
    </row>
    <row r="16" ht="56.25" customHeight="1">
      <c r="A16" s="13" t="s">
        <v>4370</v>
      </c>
      <c r="B16" s="15" t="str">
        <f>IMAGE("https://imgur.com/tcnqkHi.png")</f>
        <v/>
      </c>
      <c r="C16" s="13">
        <v>3200.0</v>
      </c>
      <c r="D16" s="13">
        <v>800.0</v>
      </c>
      <c r="E16" s="19">
        <v>2484.0</v>
      </c>
      <c r="F16" s="19" t="s">
        <v>118</v>
      </c>
      <c r="G16" s="19" t="s">
        <v>521</v>
      </c>
      <c r="H16" s="19" t="s">
        <v>38</v>
      </c>
      <c r="I16" s="19" t="s">
        <v>43</v>
      </c>
      <c r="J16" s="19" t="s">
        <v>4339</v>
      </c>
      <c r="K16" s="19" t="s">
        <v>4356</v>
      </c>
    </row>
    <row r="17" ht="56.25" customHeight="1">
      <c r="A17" s="13" t="s">
        <v>4371</v>
      </c>
      <c r="B17" s="15" t="str">
        <f>IMAGE("https://imgur.com/VlZmFTJ.png")</f>
        <v/>
      </c>
      <c r="C17" s="13">
        <v>3200.0</v>
      </c>
      <c r="D17" s="13">
        <v>800.0</v>
      </c>
      <c r="E17" s="19">
        <v>2413.0</v>
      </c>
      <c r="F17" s="19" t="s">
        <v>118</v>
      </c>
      <c r="G17" s="19" t="s">
        <v>112</v>
      </c>
      <c r="H17" s="19" t="s">
        <v>38</v>
      </c>
      <c r="I17" s="19" t="s">
        <v>43</v>
      </c>
      <c r="J17" s="19" t="s">
        <v>4339</v>
      </c>
      <c r="K17" s="19" t="s">
        <v>4343</v>
      </c>
    </row>
    <row r="18" ht="56.25" customHeight="1">
      <c r="A18" s="13" t="s">
        <v>4372</v>
      </c>
      <c r="B18" s="15" t="str">
        <f>IMAGE("https://imgur.com/rJwbtjp.png")</f>
        <v/>
      </c>
      <c r="C18" s="13">
        <v>3200.0</v>
      </c>
      <c r="D18" s="13">
        <v>800.0</v>
      </c>
      <c r="E18" s="19">
        <v>2447.0</v>
      </c>
      <c r="F18" s="19" t="s">
        <v>118</v>
      </c>
      <c r="G18" s="19" t="s">
        <v>99</v>
      </c>
      <c r="H18" s="19" t="s">
        <v>38</v>
      </c>
      <c r="I18" s="19" t="s">
        <v>43</v>
      </c>
      <c r="J18" s="19" t="s">
        <v>4339</v>
      </c>
      <c r="K18" s="19" t="s">
        <v>4353</v>
      </c>
    </row>
    <row r="19" ht="56.25" customHeight="1">
      <c r="A19" s="13" t="s">
        <v>4373</v>
      </c>
      <c r="B19" s="15" t="str">
        <f>IMAGE("https://imgur.com/qK18E2P.png")</f>
        <v/>
      </c>
      <c r="C19" s="13">
        <v>3200.0</v>
      </c>
      <c r="D19" s="13">
        <v>800.0</v>
      </c>
      <c r="E19" s="19">
        <v>2486.0</v>
      </c>
      <c r="F19" s="19" t="s">
        <v>118</v>
      </c>
      <c r="G19" s="19" t="s">
        <v>99</v>
      </c>
      <c r="H19" s="19" t="s">
        <v>38</v>
      </c>
      <c r="I19" s="19" t="s">
        <v>43</v>
      </c>
      <c r="J19" s="19" t="s">
        <v>4339</v>
      </c>
      <c r="K19" s="19" t="s">
        <v>4356</v>
      </c>
    </row>
    <row r="20" ht="56.25" customHeight="1">
      <c r="A20" s="13" t="s">
        <v>4376</v>
      </c>
      <c r="B20" s="15" t="str">
        <f>IMAGE("https://imgur.com/1K00keD.png")</f>
        <v/>
      </c>
      <c r="C20" s="13">
        <v>3200.0</v>
      </c>
      <c r="D20" s="13">
        <v>800.0</v>
      </c>
      <c r="E20" s="19">
        <v>2495.0</v>
      </c>
      <c r="F20" s="19" t="s">
        <v>118</v>
      </c>
      <c r="G20" s="19" t="s">
        <v>1614</v>
      </c>
      <c r="H20" s="19" t="s">
        <v>38</v>
      </c>
      <c r="I20" s="19" t="s">
        <v>54</v>
      </c>
      <c r="J20" s="19" t="s">
        <v>4346</v>
      </c>
      <c r="K20" s="19" t="s">
        <v>220</v>
      </c>
    </row>
    <row r="21" ht="56.25" customHeight="1">
      <c r="A21" s="13" t="s">
        <v>4377</v>
      </c>
      <c r="B21" s="15" t="str">
        <f>IMAGE("https://imgur.com/0sl6nYx.png")</f>
        <v/>
      </c>
      <c r="C21" s="13">
        <v>3200.0</v>
      </c>
      <c r="D21" s="13">
        <v>800.0</v>
      </c>
      <c r="E21" s="19">
        <v>2436.0</v>
      </c>
      <c r="F21" s="19" t="s">
        <v>118</v>
      </c>
      <c r="G21" s="19" t="s">
        <v>82</v>
      </c>
      <c r="H21" s="19" t="s">
        <v>38</v>
      </c>
      <c r="I21" s="19" t="s">
        <v>43</v>
      </c>
      <c r="J21" s="19" t="s">
        <v>4339</v>
      </c>
      <c r="K21" s="19" t="s">
        <v>4341</v>
      </c>
    </row>
    <row r="22" ht="56.25" customHeight="1">
      <c r="A22" s="13" t="s">
        <v>4379</v>
      </c>
      <c r="B22" s="15" t="str">
        <f>IMAGE("https://imgur.com/fgundCE.png")</f>
        <v/>
      </c>
      <c r="C22" s="13">
        <v>3200.0</v>
      </c>
      <c r="D22" s="13">
        <v>800.0</v>
      </c>
      <c r="E22" s="19">
        <v>2415.0</v>
      </c>
      <c r="F22" s="19" t="s">
        <v>118</v>
      </c>
      <c r="G22" s="19" t="s">
        <v>82</v>
      </c>
      <c r="H22" s="19" t="s">
        <v>38</v>
      </c>
      <c r="I22" s="19" t="s">
        <v>43</v>
      </c>
      <c r="J22" s="19" t="s">
        <v>4339</v>
      </c>
      <c r="K22" s="19" t="s">
        <v>4343</v>
      </c>
    </row>
    <row r="23" ht="56.25" customHeight="1">
      <c r="A23" s="13" t="s">
        <v>4380</v>
      </c>
      <c r="B23" s="15" t="str">
        <f>IMAGE("https://imgur.com/QavFMfR.png")</f>
        <v/>
      </c>
      <c r="C23" s="13">
        <v>3200.0</v>
      </c>
      <c r="D23" s="13">
        <v>800.0</v>
      </c>
      <c r="E23" s="19">
        <v>2416.0</v>
      </c>
      <c r="F23" s="19" t="s">
        <v>118</v>
      </c>
      <c r="G23" s="19" t="s">
        <v>82</v>
      </c>
      <c r="H23" s="19" t="s">
        <v>38</v>
      </c>
      <c r="I23" s="19" t="s">
        <v>43</v>
      </c>
      <c r="J23" s="19" t="s">
        <v>4339</v>
      </c>
      <c r="K23" s="19" t="s">
        <v>4349</v>
      </c>
    </row>
    <row r="24" ht="56.25" customHeight="1">
      <c r="A24" s="13" t="s">
        <v>4381</v>
      </c>
      <c r="B24" s="15" t="str">
        <f>IMAGE("https://imgur.com/SzLJGhm.png")</f>
        <v/>
      </c>
      <c r="C24" s="13">
        <v>3200.0</v>
      </c>
      <c r="D24" s="13">
        <v>800.0</v>
      </c>
      <c r="E24" s="19">
        <v>2428.0</v>
      </c>
      <c r="F24" s="19" t="s">
        <v>118</v>
      </c>
      <c r="G24" s="19" t="s">
        <v>1608</v>
      </c>
      <c r="H24" s="19" t="s">
        <v>38</v>
      </c>
      <c r="I24" s="19" t="s">
        <v>43</v>
      </c>
      <c r="J24" s="19" t="s">
        <v>4339</v>
      </c>
      <c r="K24" s="19" t="s">
        <v>4356</v>
      </c>
    </row>
    <row r="25" ht="56.25" customHeight="1">
      <c r="A25" s="13" t="s">
        <v>4383</v>
      </c>
      <c r="B25" s="15" t="str">
        <f>IMAGE("https://imgur.com/3sQWD6k.png")</f>
        <v/>
      </c>
      <c r="C25" s="13">
        <v>3200.0</v>
      </c>
      <c r="D25" s="13">
        <v>800.0</v>
      </c>
      <c r="E25" s="19">
        <v>2405.0</v>
      </c>
      <c r="F25" s="19" t="s">
        <v>118</v>
      </c>
      <c r="G25" s="19" t="s">
        <v>1608</v>
      </c>
      <c r="H25" s="19" t="s">
        <v>38</v>
      </c>
      <c r="I25" s="19" t="s">
        <v>43</v>
      </c>
      <c r="J25" s="19" t="s">
        <v>4339</v>
      </c>
      <c r="K25" s="19" t="s">
        <v>4353</v>
      </c>
    </row>
    <row r="26" ht="56.25" customHeight="1">
      <c r="A26" s="13" t="s">
        <v>4384</v>
      </c>
      <c r="B26" s="15" t="str">
        <f>IMAGE("https://imgur.com/bNZ1TVJ.png")</f>
        <v/>
      </c>
      <c r="C26" s="13">
        <v>3200.0</v>
      </c>
      <c r="D26" s="13">
        <v>800.0</v>
      </c>
      <c r="E26" s="19">
        <v>2425.0</v>
      </c>
      <c r="F26" s="19" t="s">
        <v>118</v>
      </c>
      <c r="G26" s="19" t="s">
        <v>1608</v>
      </c>
      <c r="H26" s="19" t="s">
        <v>38</v>
      </c>
      <c r="I26" s="19" t="s">
        <v>43</v>
      </c>
      <c r="J26" s="19" t="s">
        <v>4339</v>
      </c>
      <c r="K26" s="19" t="s">
        <v>4353</v>
      </c>
    </row>
    <row r="27" ht="56.25" customHeight="1">
      <c r="A27" s="13" t="s">
        <v>4386</v>
      </c>
      <c r="B27" s="15" t="str">
        <f>IMAGE("https://imgur.com/M0W2eWa.png")</f>
        <v/>
      </c>
      <c r="C27" s="13">
        <v>3200.0</v>
      </c>
      <c r="D27" s="13">
        <v>800.0</v>
      </c>
      <c r="E27" s="19">
        <v>2445.0</v>
      </c>
      <c r="F27" s="19" t="s">
        <v>118</v>
      </c>
      <c r="G27" s="19" t="s">
        <v>99</v>
      </c>
      <c r="H27" s="19" t="s">
        <v>38</v>
      </c>
      <c r="I27" s="19" t="s">
        <v>43</v>
      </c>
      <c r="J27" s="19" t="s">
        <v>4339</v>
      </c>
      <c r="K27" s="19" t="s">
        <v>4349</v>
      </c>
    </row>
    <row r="28" ht="56.25" customHeight="1">
      <c r="A28" s="13" t="s">
        <v>4388</v>
      </c>
      <c r="B28" s="15" t="str">
        <f>IMAGE("https://imgur.com/Su4dMIQ.png")</f>
        <v/>
      </c>
      <c r="C28" s="13">
        <v>3200.0</v>
      </c>
      <c r="D28" s="13">
        <v>800.0</v>
      </c>
      <c r="E28" s="19">
        <v>2439.0</v>
      </c>
      <c r="F28" s="19" t="s">
        <v>118</v>
      </c>
      <c r="G28" s="19" t="s">
        <v>99</v>
      </c>
      <c r="H28" s="19" t="s">
        <v>38</v>
      </c>
      <c r="I28" s="19" t="s">
        <v>43</v>
      </c>
      <c r="J28" s="19" t="s">
        <v>4339</v>
      </c>
      <c r="K28" s="19" t="s">
        <v>4356</v>
      </c>
    </row>
    <row r="29" ht="56.25" customHeight="1">
      <c r="A29" s="13" t="s">
        <v>4389</v>
      </c>
      <c r="B29" s="15" t="str">
        <f>IMAGE("https://imgur.com/OA1juXd.png")</f>
        <v/>
      </c>
      <c r="C29" s="13">
        <v>3200.0</v>
      </c>
      <c r="D29" s="13">
        <v>800.0</v>
      </c>
      <c r="E29" s="19">
        <v>2441.0</v>
      </c>
      <c r="F29" s="19" t="s">
        <v>118</v>
      </c>
      <c r="G29" s="19" t="s">
        <v>258</v>
      </c>
      <c r="H29" s="19" t="s">
        <v>38</v>
      </c>
      <c r="I29" s="19" t="s">
        <v>43</v>
      </c>
      <c r="J29" s="19" t="s">
        <v>4339</v>
      </c>
      <c r="K29" s="19" t="s">
        <v>4341</v>
      </c>
    </row>
    <row r="30" ht="56.25" customHeight="1">
      <c r="A30" s="13" t="s">
        <v>4392</v>
      </c>
      <c r="B30" s="15" t="str">
        <f>IMAGE("https://imgur.com/A2Qee2x.png")</f>
        <v/>
      </c>
      <c r="C30" s="13">
        <v>3200.0</v>
      </c>
      <c r="D30" s="13">
        <v>800.0</v>
      </c>
      <c r="E30" s="19">
        <v>2451.0</v>
      </c>
      <c r="F30" s="19" t="s">
        <v>118</v>
      </c>
      <c r="G30" s="19" t="s">
        <v>99</v>
      </c>
      <c r="H30" s="19" t="s">
        <v>38</v>
      </c>
      <c r="I30" s="19" t="s">
        <v>43</v>
      </c>
      <c r="J30" s="19" t="s">
        <v>4339</v>
      </c>
      <c r="K30" s="19" t="s">
        <v>4353</v>
      </c>
    </row>
    <row r="31" ht="56.25" customHeight="1">
      <c r="A31" s="13" t="s">
        <v>4394</v>
      </c>
      <c r="B31" s="15" t="str">
        <f>IMAGE("https://imgur.com/oBbXS4N.png")</f>
        <v/>
      </c>
      <c r="C31" s="13">
        <v>3200.0</v>
      </c>
      <c r="D31" s="13">
        <v>800.0</v>
      </c>
      <c r="E31" s="19">
        <v>2494.0</v>
      </c>
      <c r="F31" s="19" t="s">
        <v>118</v>
      </c>
      <c r="G31" s="19" t="s">
        <v>258</v>
      </c>
      <c r="H31" s="19" t="s">
        <v>38</v>
      </c>
      <c r="I31" s="19" t="s">
        <v>43</v>
      </c>
      <c r="J31" s="19" t="s">
        <v>4339</v>
      </c>
      <c r="K31" s="19" t="s">
        <v>4349</v>
      </c>
    </row>
    <row r="32" ht="56.25" customHeight="1">
      <c r="A32" s="13" t="s">
        <v>4395</v>
      </c>
      <c r="B32" s="15" t="str">
        <f>IMAGE("https://imgur.com/4nu6adG.png")</f>
        <v/>
      </c>
      <c r="C32" s="13">
        <v>3200.0</v>
      </c>
      <c r="D32" s="13">
        <v>800.0</v>
      </c>
      <c r="E32" s="19">
        <v>2464.0</v>
      </c>
      <c r="F32" s="19" t="s">
        <v>118</v>
      </c>
      <c r="G32" s="19" t="s">
        <v>258</v>
      </c>
      <c r="H32" s="19" t="s">
        <v>38</v>
      </c>
      <c r="I32" s="19" t="s">
        <v>43</v>
      </c>
      <c r="J32" s="19" t="s">
        <v>4339</v>
      </c>
      <c r="K32" s="19" t="s">
        <v>4349</v>
      </c>
    </row>
    <row r="33" ht="56.25" customHeight="1">
      <c r="A33" s="13" t="s">
        <v>4397</v>
      </c>
      <c r="B33" s="15" t="str">
        <f>IMAGE("https://imgur.com/356dXAh.png")</f>
        <v/>
      </c>
      <c r="C33" s="13">
        <v>3200.0</v>
      </c>
      <c r="D33" s="13">
        <v>800.0</v>
      </c>
      <c r="E33" s="19">
        <v>2411.0</v>
      </c>
      <c r="F33" s="19" t="s">
        <v>118</v>
      </c>
      <c r="G33" s="19" t="s">
        <v>99</v>
      </c>
      <c r="H33" s="19" t="s">
        <v>38</v>
      </c>
      <c r="I33" s="19" t="s">
        <v>43</v>
      </c>
      <c r="J33" s="19" t="s">
        <v>4339</v>
      </c>
      <c r="K33" s="19" t="s">
        <v>4353</v>
      </c>
    </row>
    <row r="34" ht="56.25" customHeight="1">
      <c r="A34" s="13" t="s">
        <v>4399</v>
      </c>
      <c r="B34" s="15" t="str">
        <f>IMAGE("https://imgur.com/7SoOgln.png")</f>
        <v/>
      </c>
      <c r="C34" s="13">
        <v>3200.0</v>
      </c>
      <c r="D34" s="13">
        <v>800.0</v>
      </c>
      <c r="E34" s="19">
        <v>2422.0</v>
      </c>
      <c r="F34" s="19" t="s">
        <v>118</v>
      </c>
      <c r="G34" s="19" t="s">
        <v>521</v>
      </c>
      <c r="H34" s="19" t="s">
        <v>38</v>
      </c>
      <c r="I34" s="19" t="s">
        <v>43</v>
      </c>
      <c r="J34" s="19" t="s">
        <v>4339</v>
      </c>
      <c r="K34" s="19" t="s">
        <v>4343</v>
      </c>
    </row>
    <row r="35" ht="56.25" customHeight="1">
      <c r="A35" s="13" t="s">
        <v>4401</v>
      </c>
      <c r="B35" s="15" t="str">
        <f>IMAGE("https://imgur.com/OoNNsAB.png")</f>
        <v/>
      </c>
      <c r="C35" s="13">
        <v>3200.0</v>
      </c>
      <c r="D35" s="13">
        <v>800.0</v>
      </c>
      <c r="E35" s="19">
        <v>2490.0</v>
      </c>
      <c r="F35" s="19" t="s">
        <v>118</v>
      </c>
      <c r="G35" s="19" t="s">
        <v>208</v>
      </c>
      <c r="H35" s="19" t="s">
        <v>38</v>
      </c>
      <c r="I35" s="19" t="s">
        <v>43</v>
      </c>
      <c r="J35" s="19" t="s">
        <v>4339</v>
      </c>
      <c r="K35" s="19" t="s">
        <v>4356</v>
      </c>
    </row>
    <row r="36" ht="56.25" customHeight="1">
      <c r="A36" s="13" t="s">
        <v>4402</v>
      </c>
      <c r="B36" s="15" t="str">
        <f>IMAGE("https://imgur.com/un2agDn.png")</f>
        <v/>
      </c>
      <c r="C36" s="13">
        <v>3200.0</v>
      </c>
      <c r="D36" s="13">
        <v>800.0</v>
      </c>
      <c r="E36" s="19">
        <v>2430.0</v>
      </c>
      <c r="F36" s="19" t="s">
        <v>118</v>
      </c>
      <c r="G36" s="19" t="s">
        <v>258</v>
      </c>
      <c r="H36" s="19" t="s">
        <v>38</v>
      </c>
      <c r="I36" s="19" t="s">
        <v>43</v>
      </c>
      <c r="J36" s="19" t="s">
        <v>4339</v>
      </c>
      <c r="K36" s="19" t="s">
        <v>4341</v>
      </c>
    </row>
    <row r="37" ht="56.25" customHeight="1">
      <c r="A37" s="13" t="s">
        <v>4405</v>
      </c>
      <c r="B37" s="15" t="str">
        <f>IMAGE("https://imgur.com/tq5HXTB.png")</f>
        <v/>
      </c>
      <c r="C37" s="13">
        <v>3200.0</v>
      </c>
      <c r="D37" s="13">
        <v>800.0</v>
      </c>
      <c r="E37" s="19">
        <v>2410.0</v>
      </c>
      <c r="F37" s="19" t="s">
        <v>118</v>
      </c>
      <c r="G37" s="19" t="s">
        <v>258</v>
      </c>
      <c r="H37" s="19" t="s">
        <v>38</v>
      </c>
      <c r="I37" s="19" t="s">
        <v>43</v>
      </c>
      <c r="J37" s="19" t="s">
        <v>4339</v>
      </c>
      <c r="K37" s="19" t="s">
        <v>4343</v>
      </c>
    </row>
    <row r="38" ht="56.25" customHeight="1">
      <c r="A38" s="13" t="s">
        <v>4407</v>
      </c>
      <c r="B38" s="15" t="str">
        <f>IMAGE("https://imgur.com/nR2DGkx.png")</f>
        <v/>
      </c>
      <c r="C38" s="13">
        <v>3200.0</v>
      </c>
      <c r="D38" s="13">
        <v>800.0</v>
      </c>
      <c r="E38" s="19">
        <v>2488.0</v>
      </c>
      <c r="F38" s="19" t="s">
        <v>118</v>
      </c>
      <c r="G38" s="19" t="s">
        <v>112</v>
      </c>
      <c r="H38" s="19" t="s">
        <v>38</v>
      </c>
      <c r="I38" s="19" t="s">
        <v>43</v>
      </c>
      <c r="J38" s="19" t="s">
        <v>4339</v>
      </c>
      <c r="K38" s="19" t="s">
        <v>4349</v>
      </c>
    </row>
    <row r="39" ht="56.25" customHeight="1">
      <c r="A39" s="13" t="s">
        <v>4408</v>
      </c>
      <c r="B39" s="15" t="str">
        <f>IMAGE("https://imgur.com/XCsWjdF.png")</f>
        <v/>
      </c>
      <c r="C39" s="13">
        <v>3200.0</v>
      </c>
      <c r="D39" s="13">
        <v>800.0</v>
      </c>
      <c r="E39" s="19">
        <v>2434.0</v>
      </c>
      <c r="F39" s="19" t="s">
        <v>118</v>
      </c>
      <c r="G39" s="19" t="s">
        <v>1608</v>
      </c>
      <c r="H39" s="19" t="s">
        <v>38</v>
      </c>
      <c r="I39" s="19" t="s">
        <v>43</v>
      </c>
      <c r="J39" s="19" t="s">
        <v>4339</v>
      </c>
      <c r="K39" s="19" t="s">
        <v>4341</v>
      </c>
    </row>
    <row r="40" ht="56.25" customHeight="1">
      <c r="A40" s="13" t="s">
        <v>4409</v>
      </c>
      <c r="B40" s="15" t="str">
        <f>IMAGE("https://imgur.com/LE3Oqdo.png")</f>
        <v/>
      </c>
      <c r="C40" s="13">
        <v>3200.0</v>
      </c>
      <c r="D40" s="13">
        <v>800.0</v>
      </c>
      <c r="E40" s="19">
        <v>2478.0</v>
      </c>
      <c r="F40" s="19" t="s">
        <v>118</v>
      </c>
      <c r="G40" s="19" t="s">
        <v>107</v>
      </c>
      <c r="H40" s="19" t="s">
        <v>38</v>
      </c>
      <c r="I40" s="19" t="s">
        <v>43</v>
      </c>
      <c r="J40" s="19" t="s">
        <v>4339</v>
      </c>
      <c r="K40" s="19" t="s">
        <v>4356</v>
      </c>
    </row>
    <row r="41" ht="56.25" customHeight="1">
      <c r="A41" s="13" t="s">
        <v>4411</v>
      </c>
      <c r="B41" s="15" t="str">
        <f>IMAGE("https://imgur.com/REDKdQe.png")</f>
        <v/>
      </c>
      <c r="C41" s="13">
        <v>3200.0</v>
      </c>
      <c r="D41" s="13">
        <v>800.0</v>
      </c>
      <c r="E41" s="19">
        <v>2482.0</v>
      </c>
      <c r="F41" s="19" t="s">
        <v>118</v>
      </c>
      <c r="G41" s="19" t="s">
        <v>1614</v>
      </c>
      <c r="H41" s="19" t="s">
        <v>38</v>
      </c>
      <c r="I41" s="19" t="s">
        <v>43</v>
      </c>
      <c r="J41" s="19" t="s">
        <v>4339</v>
      </c>
      <c r="K41" s="19" t="s">
        <v>4343</v>
      </c>
    </row>
    <row r="42" ht="56.25" customHeight="1">
      <c r="A42" s="13" t="s">
        <v>4412</v>
      </c>
      <c r="B42" s="15" t="str">
        <f>IMAGE("https://imgur.com/nGqkv2p.png")</f>
        <v/>
      </c>
      <c r="C42" s="13">
        <v>3200.0</v>
      </c>
      <c r="D42" s="13">
        <v>800.0</v>
      </c>
      <c r="E42" s="19">
        <v>2409.0</v>
      </c>
      <c r="F42" s="19" t="s">
        <v>118</v>
      </c>
      <c r="G42" s="19" t="s">
        <v>1614</v>
      </c>
      <c r="H42" s="19" t="s">
        <v>38</v>
      </c>
      <c r="I42" s="19" t="s">
        <v>43</v>
      </c>
      <c r="J42" s="19" t="s">
        <v>4339</v>
      </c>
      <c r="K42" s="19" t="s">
        <v>4343</v>
      </c>
    </row>
    <row r="43" ht="56.25" customHeight="1">
      <c r="A43" s="13" t="s">
        <v>4414</v>
      </c>
      <c r="B43" s="15" t="str">
        <f>IMAGE("https://imgur.com/AVwQogB.png")</f>
        <v/>
      </c>
      <c r="C43" s="13">
        <v>3200.0</v>
      </c>
      <c r="D43" s="13">
        <v>800.0</v>
      </c>
      <c r="E43" s="19">
        <v>2489.0</v>
      </c>
      <c r="F43" s="19" t="s">
        <v>118</v>
      </c>
      <c r="G43" s="19" t="s">
        <v>1614</v>
      </c>
      <c r="H43" s="19" t="s">
        <v>38</v>
      </c>
      <c r="I43" s="19" t="s">
        <v>43</v>
      </c>
      <c r="J43" s="19" t="s">
        <v>4339</v>
      </c>
      <c r="K43" s="19" t="s">
        <v>4356</v>
      </c>
    </row>
    <row r="44" ht="56.25" customHeight="1">
      <c r="A44" s="13" t="s">
        <v>4415</v>
      </c>
      <c r="B44" s="15" t="str">
        <f>IMAGE("https://imgur.com/247kSsZ.png")</f>
        <v/>
      </c>
      <c r="C44" s="13">
        <v>3200.0</v>
      </c>
      <c r="D44" s="13">
        <v>800.0</v>
      </c>
      <c r="E44" s="19">
        <v>2449.0</v>
      </c>
      <c r="F44" s="19" t="s">
        <v>118</v>
      </c>
      <c r="G44" s="19" t="s">
        <v>94</v>
      </c>
      <c r="H44" s="19" t="s">
        <v>38</v>
      </c>
      <c r="I44" s="19" t="s">
        <v>43</v>
      </c>
      <c r="J44" s="19" t="s">
        <v>4339</v>
      </c>
      <c r="K44" s="19" t="s">
        <v>4353</v>
      </c>
    </row>
    <row r="45" ht="56.25" customHeight="1">
      <c r="A45" s="13" t="s">
        <v>4417</v>
      </c>
      <c r="B45" s="15" t="str">
        <f>IMAGE("https://imgur.com/v0tQkXn.png")</f>
        <v/>
      </c>
      <c r="C45" s="13">
        <v>3200.0</v>
      </c>
      <c r="D45" s="13">
        <v>800.0</v>
      </c>
      <c r="E45" s="19">
        <v>2440.0</v>
      </c>
      <c r="F45" s="19" t="s">
        <v>118</v>
      </c>
      <c r="G45" s="19" t="s">
        <v>82</v>
      </c>
      <c r="H45" s="19" t="s">
        <v>38</v>
      </c>
      <c r="I45" s="19" t="s">
        <v>43</v>
      </c>
      <c r="J45" s="19" t="s">
        <v>4339</v>
      </c>
      <c r="K45" s="19" t="s">
        <v>4343</v>
      </c>
    </row>
    <row r="46" ht="56.25" customHeight="1">
      <c r="A46" s="13" t="s">
        <v>4419</v>
      </c>
      <c r="B46" s="15" t="str">
        <f>IMAGE("https://imgur.com/FdNPlA9.png")</f>
        <v/>
      </c>
      <c r="C46" s="13">
        <v>3200.0</v>
      </c>
      <c r="D46" s="13">
        <v>800.0</v>
      </c>
      <c r="E46" s="19">
        <v>2412.0</v>
      </c>
      <c r="F46" s="19" t="s">
        <v>118</v>
      </c>
      <c r="G46" s="19" t="s">
        <v>369</v>
      </c>
      <c r="H46" s="19" t="s">
        <v>38</v>
      </c>
      <c r="I46" s="19" t="s">
        <v>43</v>
      </c>
      <c r="J46" s="19" t="s">
        <v>4339</v>
      </c>
      <c r="K46" s="19" t="s">
        <v>4353</v>
      </c>
    </row>
    <row r="47" ht="56.25" customHeight="1">
      <c r="A47" s="13" t="s">
        <v>4421</v>
      </c>
      <c r="B47" s="15" t="str">
        <f>IMAGE("https://imgur.com/g9IBWOx.png")</f>
        <v/>
      </c>
      <c r="C47" s="13">
        <v>3200.0</v>
      </c>
      <c r="D47" s="13">
        <v>800.0</v>
      </c>
      <c r="E47" s="19">
        <v>2418.0</v>
      </c>
      <c r="F47" s="19" t="s">
        <v>118</v>
      </c>
      <c r="G47" s="19" t="s">
        <v>208</v>
      </c>
      <c r="H47" s="19" t="s">
        <v>38</v>
      </c>
      <c r="I47" s="19" t="s">
        <v>43</v>
      </c>
      <c r="J47" s="19" t="s">
        <v>4339</v>
      </c>
      <c r="K47" s="19" t="s">
        <v>4349</v>
      </c>
    </row>
    <row r="48" ht="56.25" customHeight="1">
      <c r="A48" s="13" t="s">
        <v>4422</v>
      </c>
      <c r="B48" s="15" t="str">
        <f>IMAGE("https://imgur.com/U7DZxHh.png")</f>
        <v/>
      </c>
      <c r="C48" s="13">
        <v>3200.0</v>
      </c>
      <c r="D48" s="13">
        <v>800.0</v>
      </c>
      <c r="E48" s="19">
        <v>2465.0</v>
      </c>
      <c r="F48" s="19" t="s">
        <v>118</v>
      </c>
      <c r="G48" s="19" t="s">
        <v>258</v>
      </c>
      <c r="H48" s="19" t="s">
        <v>38</v>
      </c>
      <c r="I48" s="19" t="s">
        <v>43</v>
      </c>
      <c r="J48" s="19" t="s">
        <v>4339</v>
      </c>
      <c r="K48" s="19" t="s">
        <v>4341</v>
      </c>
    </row>
    <row r="49" ht="56.25" customHeight="1">
      <c r="A49" s="13" t="s">
        <v>4423</v>
      </c>
      <c r="B49" s="15" t="str">
        <f>IMAGE("https://imgur.com/YiDFTjV.png")</f>
        <v/>
      </c>
      <c r="C49" s="13">
        <v>3200.0</v>
      </c>
      <c r="D49" s="13">
        <v>800.0</v>
      </c>
      <c r="E49" s="19">
        <v>2406.0</v>
      </c>
      <c r="F49" s="19" t="s">
        <v>118</v>
      </c>
      <c r="G49" s="19" t="s">
        <v>107</v>
      </c>
      <c r="H49" s="19" t="s">
        <v>38</v>
      </c>
      <c r="I49" s="19" t="s">
        <v>43</v>
      </c>
      <c r="J49" s="19" t="s">
        <v>4339</v>
      </c>
      <c r="K49" s="19" t="s">
        <v>4349</v>
      </c>
    </row>
    <row r="50" ht="56.25" customHeight="1">
      <c r="A50" s="13" t="s">
        <v>4424</v>
      </c>
      <c r="B50" s="15" t="str">
        <f>IMAGE("https://imgur.com/iSsrB5s.png")</f>
        <v/>
      </c>
      <c r="C50" s="13">
        <v>3200.0</v>
      </c>
      <c r="D50" s="13">
        <v>800.0</v>
      </c>
      <c r="E50" s="19">
        <v>2456.0</v>
      </c>
      <c r="F50" s="19" t="s">
        <v>118</v>
      </c>
      <c r="G50" s="19" t="s">
        <v>521</v>
      </c>
      <c r="H50" s="19" t="s">
        <v>38</v>
      </c>
      <c r="I50" s="19" t="s">
        <v>43</v>
      </c>
      <c r="J50" s="19" t="s">
        <v>4339</v>
      </c>
      <c r="K50" s="19" t="s">
        <v>4349</v>
      </c>
    </row>
    <row r="51" ht="56.25" customHeight="1">
      <c r="A51" s="13" t="s">
        <v>4425</v>
      </c>
      <c r="B51" s="15" t="str">
        <f>IMAGE("https://imgur.com/ykn8El0.png")</f>
        <v/>
      </c>
      <c r="C51" s="13">
        <v>3200.0</v>
      </c>
      <c r="D51" s="13">
        <v>800.0</v>
      </c>
      <c r="E51" s="19">
        <v>2474.0</v>
      </c>
      <c r="F51" s="19" t="s">
        <v>118</v>
      </c>
      <c r="G51" s="19" t="s">
        <v>464</v>
      </c>
      <c r="H51" s="19" t="s">
        <v>38</v>
      </c>
      <c r="I51" s="19" t="s">
        <v>43</v>
      </c>
      <c r="J51" s="19" t="s">
        <v>4339</v>
      </c>
      <c r="K51" s="19" t="s">
        <v>4356</v>
      </c>
    </row>
    <row r="52" ht="56.25" customHeight="1">
      <c r="A52" s="13" t="s">
        <v>4427</v>
      </c>
      <c r="B52" s="15" t="str">
        <f>IMAGE("https://imgur.com/e3GJD0h.png")</f>
        <v/>
      </c>
      <c r="C52" s="13">
        <v>3200.0</v>
      </c>
      <c r="D52" s="13">
        <v>800.0</v>
      </c>
      <c r="E52" s="19">
        <v>2487.0</v>
      </c>
      <c r="F52" s="19" t="s">
        <v>118</v>
      </c>
      <c r="G52" s="19" t="s">
        <v>208</v>
      </c>
      <c r="H52" s="19" t="s">
        <v>38</v>
      </c>
      <c r="I52" s="19" t="s">
        <v>43</v>
      </c>
      <c r="J52" s="19" t="s">
        <v>4339</v>
      </c>
      <c r="K52" s="19" t="s">
        <v>4353</v>
      </c>
    </row>
    <row r="53" ht="56.25" customHeight="1">
      <c r="A53" s="13" t="s">
        <v>4428</v>
      </c>
      <c r="B53" s="15" t="str">
        <f>IMAGE("https://imgur.com/EW7LhT8.png")</f>
        <v/>
      </c>
      <c r="C53" s="13">
        <v>3200.0</v>
      </c>
      <c r="D53" s="13">
        <v>800.0</v>
      </c>
      <c r="E53" s="19">
        <v>2491.0</v>
      </c>
      <c r="F53" s="19" t="s">
        <v>118</v>
      </c>
      <c r="G53" s="19" t="s">
        <v>521</v>
      </c>
      <c r="H53" s="19" t="s">
        <v>38</v>
      </c>
      <c r="I53" s="19" t="s">
        <v>43</v>
      </c>
      <c r="J53" s="19" t="s">
        <v>4339</v>
      </c>
      <c r="K53" s="19" t="s">
        <v>4343</v>
      </c>
    </row>
    <row r="54" ht="56.25" customHeight="1">
      <c r="A54" s="13" t="s">
        <v>4429</v>
      </c>
      <c r="B54" s="15" t="str">
        <f>IMAGE("https://imgur.com/ptATzdV.png")</f>
        <v/>
      </c>
      <c r="C54" s="13">
        <v>3200.0</v>
      </c>
      <c r="D54" s="13">
        <v>800.0</v>
      </c>
      <c r="E54" s="19">
        <v>2485.0</v>
      </c>
      <c r="F54" s="19" t="s">
        <v>118</v>
      </c>
      <c r="G54" s="19" t="s">
        <v>258</v>
      </c>
      <c r="H54" s="19" t="s">
        <v>38</v>
      </c>
      <c r="I54" s="19" t="s">
        <v>43</v>
      </c>
      <c r="J54" s="19" t="s">
        <v>4339</v>
      </c>
      <c r="K54" s="19" t="s">
        <v>4341</v>
      </c>
    </row>
    <row r="55" ht="56.25" customHeight="1">
      <c r="A55" s="13" t="s">
        <v>4430</v>
      </c>
      <c r="B55" s="15" t="str">
        <f>IMAGE("https://imgur.com/ljojb1L.png")</f>
        <v/>
      </c>
      <c r="C55" s="13">
        <v>3200.0</v>
      </c>
      <c r="D55" s="13">
        <v>800.0</v>
      </c>
      <c r="E55" s="19">
        <v>2455.0</v>
      </c>
      <c r="F55" s="19" t="s">
        <v>118</v>
      </c>
      <c r="G55" s="19" t="s">
        <v>258</v>
      </c>
      <c r="H55" s="19" t="s">
        <v>38</v>
      </c>
      <c r="I55" s="19" t="s">
        <v>43</v>
      </c>
      <c r="J55" s="19" t="s">
        <v>4339</v>
      </c>
      <c r="K55" s="19" t="s">
        <v>4349</v>
      </c>
    </row>
    <row r="56" ht="56.25" customHeight="1">
      <c r="A56" s="13" t="s">
        <v>4431</v>
      </c>
      <c r="B56" s="15" t="str">
        <f>IMAGE("https://imgur.com/pn2W2FT.png")</f>
        <v/>
      </c>
      <c r="C56" s="13">
        <v>3200.0</v>
      </c>
      <c r="D56" s="13">
        <v>800.0</v>
      </c>
      <c r="E56" s="19">
        <v>2433.0</v>
      </c>
      <c r="F56" s="19" t="s">
        <v>118</v>
      </c>
      <c r="G56" s="19" t="s">
        <v>94</v>
      </c>
      <c r="H56" s="19" t="s">
        <v>38</v>
      </c>
      <c r="I56" s="19" t="s">
        <v>43</v>
      </c>
      <c r="J56" s="19" t="s">
        <v>4339</v>
      </c>
      <c r="K56" s="19" t="s">
        <v>4349</v>
      </c>
    </row>
    <row r="57" ht="56.25" customHeight="1">
      <c r="A57" s="13" t="s">
        <v>4434</v>
      </c>
      <c r="B57" s="15" t="str">
        <f>IMAGE("https://imgur.com/ZsG8fCr.png")</f>
        <v/>
      </c>
      <c r="C57" s="13">
        <v>3200.0</v>
      </c>
      <c r="D57" s="13">
        <v>800.0</v>
      </c>
      <c r="E57" s="19">
        <v>2473.0</v>
      </c>
      <c r="F57" s="19" t="s">
        <v>118</v>
      </c>
      <c r="G57" s="19" t="s">
        <v>208</v>
      </c>
      <c r="H57" s="19" t="s">
        <v>38</v>
      </c>
      <c r="I57" s="19" t="s">
        <v>43</v>
      </c>
      <c r="J57" s="19" t="s">
        <v>4339</v>
      </c>
      <c r="K57" s="19" t="s">
        <v>4341</v>
      </c>
    </row>
    <row r="58" ht="56.25" customHeight="1">
      <c r="A58" s="13" t="s">
        <v>4435</v>
      </c>
      <c r="B58" s="15" t="str">
        <f>IMAGE("https://imgur.com/VO2u0yg.png")</f>
        <v/>
      </c>
      <c r="C58" s="13">
        <v>3200.0</v>
      </c>
      <c r="D58" s="13">
        <v>800.0</v>
      </c>
      <c r="E58" s="19">
        <v>2419.0</v>
      </c>
      <c r="F58" s="19" t="s">
        <v>118</v>
      </c>
      <c r="G58" s="19" t="s">
        <v>258</v>
      </c>
      <c r="H58" s="19" t="s">
        <v>38</v>
      </c>
      <c r="I58" s="19" t="s">
        <v>43</v>
      </c>
      <c r="J58" s="19" t="s">
        <v>4339</v>
      </c>
      <c r="K58" s="19" t="s">
        <v>4343</v>
      </c>
    </row>
    <row r="59" ht="56.25" customHeight="1">
      <c r="A59" s="13" t="s">
        <v>4436</v>
      </c>
      <c r="B59" s="15" t="str">
        <f>IMAGE("https://imgur.com/pYxLvRc.png")</f>
        <v/>
      </c>
      <c r="C59" s="13">
        <v>3200.0</v>
      </c>
      <c r="D59" s="13">
        <v>800.0</v>
      </c>
      <c r="E59" s="19">
        <v>2431.0</v>
      </c>
      <c r="F59" s="19" t="s">
        <v>118</v>
      </c>
      <c r="G59" s="19" t="s">
        <v>99</v>
      </c>
      <c r="H59" s="19" t="s">
        <v>38</v>
      </c>
      <c r="I59" s="19" t="s">
        <v>43</v>
      </c>
      <c r="J59" s="19" t="s">
        <v>4339</v>
      </c>
      <c r="K59" s="19" t="s">
        <v>4356</v>
      </c>
    </row>
    <row r="60" ht="56.25" customHeight="1">
      <c r="A60" s="13" t="s">
        <v>4437</v>
      </c>
      <c r="B60" s="15" t="str">
        <f>IMAGE("https://imgur.com/RIgNLLW.png")</f>
        <v/>
      </c>
      <c r="C60" s="13">
        <v>3200.0</v>
      </c>
      <c r="D60" s="13">
        <v>800.0</v>
      </c>
      <c r="E60" s="19">
        <v>2471.0</v>
      </c>
      <c r="F60" s="19" t="s">
        <v>118</v>
      </c>
      <c r="G60" s="19" t="s">
        <v>1614</v>
      </c>
      <c r="H60" s="19" t="s">
        <v>38</v>
      </c>
      <c r="I60" s="19" t="s">
        <v>43</v>
      </c>
      <c r="J60" s="19" t="s">
        <v>4339</v>
      </c>
      <c r="K60" s="19" t="s">
        <v>4349</v>
      </c>
    </row>
    <row r="61" ht="56.25" customHeight="1">
      <c r="A61" s="13" t="s">
        <v>4438</v>
      </c>
      <c r="B61" s="15" t="str">
        <f>IMAGE("https://imgur.com/5gbuZma.png")</f>
        <v/>
      </c>
      <c r="C61" s="13">
        <v>3200.0</v>
      </c>
      <c r="D61" s="13">
        <v>800.0</v>
      </c>
      <c r="E61" s="19">
        <v>2429.0</v>
      </c>
      <c r="F61" s="19" t="s">
        <v>118</v>
      </c>
      <c r="G61" s="19" t="s">
        <v>521</v>
      </c>
      <c r="H61" s="19" t="s">
        <v>38</v>
      </c>
      <c r="I61" s="19" t="s">
        <v>43</v>
      </c>
      <c r="J61" s="19" t="s">
        <v>4339</v>
      </c>
      <c r="K61" s="19" t="s">
        <v>4356</v>
      </c>
    </row>
    <row r="62" ht="56.25" customHeight="1">
      <c r="A62" s="13" t="s">
        <v>4439</v>
      </c>
      <c r="B62" s="15" t="str">
        <f>IMAGE("https://imgur.com/PWZVo8b.png")</f>
        <v/>
      </c>
      <c r="C62" s="13">
        <v>3200.0</v>
      </c>
      <c r="D62" s="13">
        <v>800.0</v>
      </c>
      <c r="E62" s="19">
        <v>2417.0</v>
      </c>
      <c r="F62" s="19" t="s">
        <v>118</v>
      </c>
      <c r="G62" s="19" t="s">
        <v>208</v>
      </c>
      <c r="H62" s="19" t="s">
        <v>38</v>
      </c>
      <c r="I62" s="19" t="s">
        <v>43</v>
      </c>
      <c r="J62" s="19" t="s">
        <v>4339</v>
      </c>
      <c r="K62" s="19" t="s">
        <v>4349</v>
      </c>
    </row>
    <row r="63" ht="56.25" customHeight="1">
      <c r="A63" s="13" t="s">
        <v>4440</v>
      </c>
      <c r="B63" s="15" t="str">
        <f>IMAGE("https://imgur.com/ZUrws0s.png")</f>
        <v/>
      </c>
      <c r="C63" s="13">
        <v>3200.0</v>
      </c>
      <c r="D63" s="13">
        <v>800.0</v>
      </c>
      <c r="E63" s="19">
        <v>2414.0</v>
      </c>
      <c r="F63" s="19" t="s">
        <v>118</v>
      </c>
      <c r="G63" s="19" t="s">
        <v>1614</v>
      </c>
      <c r="H63" s="19" t="s">
        <v>38</v>
      </c>
      <c r="I63" s="19" t="s">
        <v>43</v>
      </c>
      <c r="J63" s="19" t="s">
        <v>4339</v>
      </c>
      <c r="K63" s="19" t="s">
        <v>4349</v>
      </c>
    </row>
    <row r="64" ht="56.25" customHeight="1">
      <c r="A64" s="13" t="s">
        <v>4441</v>
      </c>
      <c r="B64" s="15" t="str">
        <f>IMAGE("https://imgur.com/M6zkEHc.png")</f>
        <v/>
      </c>
      <c r="C64" s="13">
        <v>3200.0</v>
      </c>
      <c r="D64" s="13">
        <v>800.0</v>
      </c>
      <c r="E64" s="19">
        <v>2420.0</v>
      </c>
      <c r="F64" s="19" t="s">
        <v>118</v>
      </c>
      <c r="G64" s="19" t="s">
        <v>99</v>
      </c>
      <c r="H64" s="19" t="s">
        <v>38</v>
      </c>
      <c r="I64" s="19" t="s">
        <v>43</v>
      </c>
      <c r="J64" s="19" t="s">
        <v>4339</v>
      </c>
      <c r="K64" s="19" t="s">
        <v>4349</v>
      </c>
    </row>
    <row r="65" ht="56.25" customHeight="1">
      <c r="A65" s="13" t="s">
        <v>4442</v>
      </c>
      <c r="B65" s="15" t="str">
        <f>IMAGE("https://imgur.com/RaXEKn3.png")</f>
        <v/>
      </c>
      <c r="C65" s="13">
        <v>3200.0</v>
      </c>
      <c r="D65" s="13">
        <v>800.0</v>
      </c>
      <c r="E65" s="19">
        <v>2479.0</v>
      </c>
      <c r="F65" s="19" t="s">
        <v>118</v>
      </c>
      <c r="G65" s="19" t="s">
        <v>82</v>
      </c>
      <c r="H65" s="19" t="s">
        <v>38</v>
      </c>
      <c r="I65" s="19" t="s">
        <v>43</v>
      </c>
      <c r="J65" s="19" t="s">
        <v>4339</v>
      </c>
      <c r="K65" s="19" t="s">
        <v>4353</v>
      </c>
    </row>
    <row r="66" ht="56.25" customHeight="1">
      <c r="A66" s="13" t="s">
        <v>4443</v>
      </c>
      <c r="B66" s="15" t="str">
        <f>IMAGE("https://imgur.com/56PeFCv.png")</f>
        <v/>
      </c>
      <c r="C66" s="13">
        <v>3200.0</v>
      </c>
      <c r="D66" s="13">
        <v>800.0</v>
      </c>
      <c r="E66" s="19">
        <v>2457.0</v>
      </c>
      <c r="F66" s="19" t="s">
        <v>118</v>
      </c>
      <c r="G66" s="19" t="s">
        <v>258</v>
      </c>
      <c r="H66" s="19" t="s">
        <v>38</v>
      </c>
      <c r="I66" s="19" t="s">
        <v>43</v>
      </c>
      <c r="J66" s="19" t="s">
        <v>4339</v>
      </c>
      <c r="K66" s="19" t="s">
        <v>4341</v>
      </c>
    </row>
    <row r="67" ht="56.25" customHeight="1">
      <c r="A67" s="13" t="s">
        <v>4444</v>
      </c>
      <c r="B67" s="15" t="str">
        <f>IMAGE("https://imgur.com/BGeiXfs.png")</f>
        <v/>
      </c>
      <c r="C67" s="13">
        <v>3200.0</v>
      </c>
      <c r="D67" s="13">
        <v>800.0</v>
      </c>
      <c r="E67" s="19">
        <v>2438.0</v>
      </c>
      <c r="F67" s="19" t="s">
        <v>118</v>
      </c>
      <c r="G67" s="19" t="s">
        <v>99</v>
      </c>
      <c r="H67" s="19" t="s">
        <v>38</v>
      </c>
      <c r="I67" s="19" t="s">
        <v>43</v>
      </c>
      <c r="J67" s="19" t="s">
        <v>4339</v>
      </c>
      <c r="K67" s="19" t="s">
        <v>4341</v>
      </c>
    </row>
    <row r="68" ht="56.25" customHeight="1">
      <c r="A68" s="13" t="s">
        <v>4445</v>
      </c>
      <c r="B68" s="15" t="str">
        <f>IMAGE("https://imgur.com/rXuCDgW.png")</f>
        <v/>
      </c>
      <c r="C68" s="13">
        <v>3200.0</v>
      </c>
      <c r="D68" s="13">
        <v>800.0</v>
      </c>
      <c r="E68" s="19">
        <v>2426.0</v>
      </c>
      <c r="F68" s="19" t="s">
        <v>118</v>
      </c>
      <c r="G68" s="19" t="s">
        <v>258</v>
      </c>
      <c r="H68" s="19" t="s">
        <v>38</v>
      </c>
      <c r="I68" s="19" t="s">
        <v>43</v>
      </c>
      <c r="J68" s="19" t="s">
        <v>4339</v>
      </c>
      <c r="K68" s="19" t="s">
        <v>4356</v>
      </c>
    </row>
    <row r="69" ht="56.25" customHeight="1">
      <c r="A69" s="13" t="s">
        <v>4447</v>
      </c>
      <c r="B69" s="15" t="str">
        <f>IMAGE("https://imgur.com/35UfoUS.png")</f>
        <v/>
      </c>
      <c r="C69" s="13">
        <v>3200.0</v>
      </c>
      <c r="D69" s="13">
        <v>800.0</v>
      </c>
      <c r="E69" s="19">
        <v>2481.0</v>
      </c>
      <c r="F69" s="19" t="s">
        <v>118</v>
      </c>
      <c r="G69" s="19" t="s">
        <v>82</v>
      </c>
      <c r="H69" s="19" t="s">
        <v>38</v>
      </c>
      <c r="I69" s="19" t="s">
        <v>43</v>
      </c>
      <c r="J69" s="19" t="s">
        <v>4339</v>
      </c>
      <c r="K69" s="19" t="s">
        <v>4343</v>
      </c>
    </row>
    <row r="70" ht="56.25" customHeight="1">
      <c r="A70" s="13" t="s">
        <v>4450</v>
      </c>
      <c r="B70" s="15" t="str">
        <f>IMAGE("https://imgur.com/S9gQjmj.png")</f>
        <v/>
      </c>
      <c r="C70" s="13">
        <v>3200.0</v>
      </c>
      <c r="D70" s="13">
        <v>800.0</v>
      </c>
      <c r="E70" s="19">
        <v>2408.0</v>
      </c>
      <c r="F70" s="19" t="s">
        <v>118</v>
      </c>
      <c r="G70" s="19" t="s">
        <v>1608</v>
      </c>
      <c r="H70" s="19" t="s">
        <v>38</v>
      </c>
      <c r="I70" s="19" t="s">
        <v>43</v>
      </c>
      <c r="J70" s="19" t="s">
        <v>4339</v>
      </c>
      <c r="K70" s="19" t="s">
        <v>4343</v>
      </c>
    </row>
    <row r="71" ht="56.25" customHeight="1">
      <c r="A71" s="13" t="s">
        <v>4456</v>
      </c>
      <c r="B71" s="15" t="str">
        <f>IMAGE("https://imgur.com/XyUrpGT.png")</f>
        <v/>
      </c>
      <c r="C71" s="13">
        <v>3200.0</v>
      </c>
      <c r="D71" s="13">
        <v>800.0</v>
      </c>
      <c r="E71" s="19">
        <v>2493.0</v>
      </c>
      <c r="F71" s="19" t="s">
        <v>118</v>
      </c>
      <c r="G71" s="19" t="s">
        <v>82</v>
      </c>
      <c r="H71" s="19" t="s">
        <v>38</v>
      </c>
      <c r="I71" s="19" t="s">
        <v>43</v>
      </c>
      <c r="J71" s="19" t="s">
        <v>4339</v>
      </c>
      <c r="K71" s="19" t="s">
        <v>4343</v>
      </c>
    </row>
    <row r="72" ht="56.25" customHeight="1">
      <c r="A72" s="13" t="s">
        <v>4458</v>
      </c>
      <c r="B72" s="15" t="str">
        <f>IMAGE("https://imgur.com/Vps32Uf.png")</f>
        <v/>
      </c>
      <c r="C72" s="13">
        <v>3200.0</v>
      </c>
      <c r="D72" s="13">
        <v>800.0</v>
      </c>
      <c r="E72" s="19">
        <v>2421.0</v>
      </c>
      <c r="F72" s="19" t="s">
        <v>118</v>
      </c>
      <c r="G72" s="19" t="s">
        <v>99</v>
      </c>
      <c r="H72" s="19" t="s">
        <v>38</v>
      </c>
      <c r="I72" s="19" t="s">
        <v>43</v>
      </c>
      <c r="J72" s="19" t="s">
        <v>4339</v>
      </c>
      <c r="K72" s="19" t="s">
        <v>4356</v>
      </c>
    </row>
    <row r="73" ht="56.25" customHeight="1">
      <c r="A73" s="13" t="s">
        <v>4461</v>
      </c>
      <c r="B73" s="15" t="str">
        <f>IMAGE("https://imgur.com/oN0tORU.png")</f>
        <v/>
      </c>
      <c r="C73" s="13">
        <v>3200.0</v>
      </c>
      <c r="D73" s="13">
        <v>800.0</v>
      </c>
      <c r="E73" s="19">
        <v>2442.0</v>
      </c>
      <c r="F73" s="19" t="s">
        <v>118</v>
      </c>
      <c r="G73" s="19" t="s">
        <v>99</v>
      </c>
      <c r="H73" s="19" t="s">
        <v>38</v>
      </c>
      <c r="I73" s="19" t="s">
        <v>43</v>
      </c>
      <c r="J73" s="19" t="s">
        <v>4339</v>
      </c>
      <c r="K73" s="19" t="s">
        <v>4341</v>
      </c>
    </row>
    <row r="74" ht="56.25" customHeight="1">
      <c r="A74" s="13" t="s">
        <v>4468</v>
      </c>
      <c r="B74" s="15" t="str">
        <f>IMAGE("https://imgur.com/v7NjXYq.png")</f>
        <v/>
      </c>
      <c r="C74" s="13">
        <v>3200.0</v>
      </c>
      <c r="D74" s="13">
        <v>800.0</v>
      </c>
      <c r="E74" s="19">
        <v>2407.0</v>
      </c>
      <c r="F74" s="19" t="s">
        <v>118</v>
      </c>
      <c r="G74" s="19" t="s">
        <v>208</v>
      </c>
      <c r="H74" s="19" t="s">
        <v>38</v>
      </c>
      <c r="I74" s="19" t="s">
        <v>43</v>
      </c>
      <c r="J74" s="19" t="s">
        <v>4339</v>
      </c>
      <c r="K74" s="19" t="s">
        <v>4353</v>
      </c>
    </row>
    <row r="75" ht="56.25" customHeight="1">
      <c r="A75" s="13" t="s">
        <v>4471</v>
      </c>
      <c r="B75" s="15" t="str">
        <f>IMAGE("https://imgur.com/jsvkpdL.png")</f>
        <v/>
      </c>
      <c r="C75" s="13">
        <v>3200.0</v>
      </c>
      <c r="D75" s="13">
        <v>800.0</v>
      </c>
      <c r="E75" s="19">
        <v>2452.0</v>
      </c>
      <c r="F75" s="19" t="s">
        <v>118</v>
      </c>
      <c r="G75" s="19" t="s">
        <v>94</v>
      </c>
      <c r="H75" s="19" t="s">
        <v>38</v>
      </c>
      <c r="I75" s="19" t="s">
        <v>43</v>
      </c>
      <c r="J75" s="19" t="s">
        <v>4339</v>
      </c>
      <c r="K75" s="19" t="s">
        <v>4353</v>
      </c>
    </row>
    <row r="76" ht="56.25" customHeight="1">
      <c r="A76" s="13" t="s">
        <v>4474</v>
      </c>
      <c r="B76" s="15" t="str">
        <f>IMAGE("https://imgur.com/7PdabI5.png")</f>
        <v/>
      </c>
      <c r="C76" s="13">
        <v>3200.0</v>
      </c>
      <c r="D76" s="13">
        <v>800.0</v>
      </c>
      <c r="E76" s="19">
        <v>2466.0</v>
      </c>
      <c r="F76" s="19" t="s">
        <v>118</v>
      </c>
      <c r="G76" s="19" t="s">
        <v>211</v>
      </c>
      <c r="H76" s="19" t="s">
        <v>38</v>
      </c>
      <c r="I76" s="19" t="s">
        <v>43</v>
      </c>
      <c r="J76" s="19" t="s">
        <v>4339</v>
      </c>
      <c r="K76" s="19" t="s">
        <v>4353</v>
      </c>
    </row>
    <row r="77" ht="56.25" customHeight="1">
      <c r="A77" s="13" t="s">
        <v>4476</v>
      </c>
      <c r="B77" s="15" t="str">
        <f>IMAGE("https://imgur.com/cATBnEM.png")</f>
        <v/>
      </c>
      <c r="C77" s="13">
        <v>3200.0</v>
      </c>
      <c r="D77" s="13">
        <v>800.0</v>
      </c>
      <c r="E77" s="19">
        <v>2424.0</v>
      </c>
      <c r="F77" s="19" t="s">
        <v>118</v>
      </c>
      <c r="G77" s="19" t="s">
        <v>82</v>
      </c>
      <c r="H77" s="19" t="s">
        <v>38</v>
      </c>
      <c r="I77" s="19" t="s">
        <v>43</v>
      </c>
      <c r="J77" s="19" t="s">
        <v>4339</v>
      </c>
      <c r="K77" s="19" t="s">
        <v>4356</v>
      </c>
    </row>
    <row r="78" ht="56.25" customHeight="1">
      <c r="A78" s="13" t="s">
        <v>4481</v>
      </c>
      <c r="B78" s="15" t="str">
        <f>IMAGE("https://imgur.com/Lxufq4j.png")</f>
        <v/>
      </c>
      <c r="C78" s="13">
        <v>3200.0</v>
      </c>
      <c r="D78" s="13">
        <v>800.0</v>
      </c>
      <c r="E78" s="19">
        <v>2468.0</v>
      </c>
      <c r="F78" s="19" t="s">
        <v>118</v>
      </c>
      <c r="G78" s="19" t="s">
        <v>1614</v>
      </c>
      <c r="H78" s="19" t="s">
        <v>38</v>
      </c>
      <c r="I78" s="19" t="s">
        <v>43</v>
      </c>
      <c r="J78" s="19" t="s">
        <v>4339</v>
      </c>
      <c r="K78" s="19" t="s">
        <v>4343</v>
      </c>
    </row>
    <row r="79" ht="56.25" customHeight="1">
      <c r="A79" s="13" t="s">
        <v>4486</v>
      </c>
      <c r="B79" s="15" t="str">
        <f>IMAGE("https://imgur.com/pNwl2ug.png")</f>
        <v/>
      </c>
      <c r="C79" s="13">
        <v>3200.0</v>
      </c>
      <c r="D79" s="13">
        <v>800.0</v>
      </c>
      <c r="E79" s="19">
        <v>2467.0</v>
      </c>
      <c r="F79" s="19" t="s">
        <v>118</v>
      </c>
      <c r="G79" s="19" t="s">
        <v>1614</v>
      </c>
      <c r="H79" s="19" t="s">
        <v>38</v>
      </c>
      <c r="I79" s="19" t="s">
        <v>43</v>
      </c>
      <c r="J79" s="19" t="s">
        <v>4339</v>
      </c>
      <c r="K79" s="19" t="s">
        <v>4349</v>
      </c>
    </row>
    <row r="80" ht="56.25" customHeight="1">
      <c r="A80" s="13" t="s">
        <v>4493</v>
      </c>
      <c r="B80" s="15" t="str">
        <f>IMAGE("https://imgur.com/25CrrsO.png")</f>
        <v/>
      </c>
      <c r="C80" s="13">
        <v>3200.0</v>
      </c>
      <c r="D80" s="13">
        <v>800.0</v>
      </c>
      <c r="E80" s="19">
        <v>2453.0</v>
      </c>
      <c r="F80" s="19" t="s">
        <v>118</v>
      </c>
      <c r="G80" s="19" t="s">
        <v>1608</v>
      </c>
      <c r="H80" s="19" t="s">
        <v>38</v>
      </c>
      <c r="I80" s="19" t="s">
        <v>43</v>
      </c>
      <c r="J80" s="19" t="s">
        <v>4339</v>
      </c>
      <c r="K80" s="19" t="s">
        <v>4343</v>
      </c>
    </row>
    <row r="81" ht="56.25" customHeight="1">
      <c r="A81" s="13" t="s">
        <v>4496</v>
      </c>
      <c r="B81" s="15" t="str">
        <f>IMAGE("https://imgur.com/fTLGD0X.png")</f>
        <v/>
      </c>
      <c r="C81" s="13">
        <v>3200.0</v>
      </c>
      <c r="D81" s="13">
        <v>800.0</v>
      </c>
      <c r="E81" s="19">
        <v>2460.0</v>
      </c>
      <c r="F81" s="19" t="s">
        <v>118</v>
      </c>
      <c r="G81" s="19" t="s">
        <v>369</v>
      </c>
      <c r="H81" s="19" t="s">
        <v>38</v>
      </c>
      <c r="I81" s="19" t="s">
        <v>43</v>
      </c>
      <c r="J81" s="19" t="s">
        <v>4339</v>
      </c>
      <c r="K81" s="19" t="s">
        <v>4343</v>
      </c>
    </row>
    <row r="82" ht="56.25" customHeight="1">
      <c r="A82" s="13" t="s">
        <v>4499</v>
      </c>
      <c r="B82" s="15" t="str">
        <f>IMAGE("https://imgur.com/P44UMKi.png")</f>
        <v/>
      </c>
      <c r="C82" s="13">
        <v>3200.0</v>
      </c>
      <c r="D82" s="13">
        <v>800.0</v>
      </c>
      <c r="E82" s="19">
        <v>2469.0</v>
      </c>
      <c r="F82" s="19" t="s">
        <v>118</v>
      </c>
      <c r="G82" s="19" t="s">
        <v>99</v>
      </c>
      <c r="H82" s="19" t="s">
        <v>38</v>
      </c>
      <c r="I82" s="19" t="s">
        <v>43</v>
      </c>
      <c r="J82" s="19" t="s">
        <v>4339</v>
      </c>
      <c r="K82" s="19" t="s">
        <v>4349</v>
      </c>
    </row>
    <row r="83" ht="56.25" customHeight="1">
      <c r="A83" s="13" t="s">
        <v>4502</v>
      </c>
      <c r="B83" s="15" t="str">
        <f>IMAGE("https://imgur.com/OTrywxV.png")</f>
        <v/>
      </c>
      <c r="C83" s="13">
        <v>3200.0</v>
      </c>
      <c r="D83" s="13">
        <v>800.0</v>
      </c>
      <c r="E83" s="19">
        <v>2444.0</v>
      </c>
      <c r="F83" s="19" t="s">
        <v>118</v>
      </c>
      <c r="G83" s="19" t="s">
        <v>94</v>
      </c>
      <c r="H83" s="19" t="s">
        <v>38</v>
      </c>
      <c r="I83" s="19" t="s">
        <v>43</v>
      </c>
      <c r="J83" s="19" t="s">
        <v>4339</v>
      </c>
      <c r="K83" s="19" t="s">
        <v>4353</v>
      </c>
    </row>
    <row r="84" ht="56.25" customHeight="1">
      <c r="A84" s="13" t="s">
        <v>4504</v>
      </c>
      <c r="B84" s="15" t="str">
        <f>IMAGE("https://imgur.com/pDsprWo.png")</f>
        <v/>
      </c>
      <c r="C84" s="13">
        <v>3200.0</v>
      </c>
      <c r="D84" s="13">
        <v>800.0</v>
      </c>
      <c r="E84" s="19">
        <v>2463.0</v>
      </c>
      <c r="F84" s="19" t="s">
        <v>118</v>
      </c>
      <c r="G84" s="19" t="s">
        <v>99</v>
      </c>
      <c r="H84" s="19" t="s">
        <v>38</v>
      </c>
      <c r="I84" s="19" t="s">
        <v>43</v>
      </c>
      <c r="J84" s="19" t="s">
        <v>4339</v>
      </c>
      <c r="K84" s="19" t="s">
        <v>4343</v>
      </c>
    </row>
    <row r="85" ht="56.25" customHeight="1">
      <c r="A85" s="13" t="s">
        <v>4509</v>
      </c>
      <c r="B85" s="15" t="str">
        <f>IMAGE("https://imgur.com/1ktHHtH.png")</f>
        <v/>
      </c>
      <c r="C85" s="13">
        <v>3200.0</v>
      </c>
      <c r="D85" s="13">
        <v>800.0</v>
      </c>
      <c r="E85" s="19">
        <v>2432.0</v>
      </c>
      <c r="F85" s="19" t="s">
        <v>118</v>
      </c>
      <c r="G85" s="19" t="s">
        <v>99</v>
      </c>
      <c r="H85" s="19" t="s">
        <v>38</v>
      </c>
      <c r="I85" s="19" t="s">
        <v>43</v>
      </c>
      <c r="J85" s="19" t="s">
        <v>4339</v>
      </c>
      <c r="K85" s="19" t="s">
        <v>4356</v>
      </c>
    </row>
    <row r="86" ht="56.25" customHeight="1">
      <c r="A86" s="13" t="s">
        <v>4517</v>
      </c>
      <c r="B86" s="15" t="str">
        <f>IMAGE("https://imgur.com/vrOLUEy.png")</f>
        <v/>
      </c>
      <c r="C86" s="13">
        <v>3200.0</v>
      </c>
      <c r="D86" s="13">
        <v>800.0</v>
      </c>
      <c r="E86" s="19">
        <v>2437.0</v>
      </c>
      <c r="F86" s="19" t="s">
        <v>118</v>
      </c>
      <c r="G86" s="19" t="s">
        <v>521</v>
      </c>
      <c r="H86" s="19" t="s">
        <v>38</v>
      </c>
      <c r="I86" s="19" t="s">
        <v>43</v>
      </c>
      <c r="J86" s="19" t="s">
        <v>4339</v>
      </c>
      <c r="K86" s="19" t="s">
        <v>4343</v>
      </c>
    </row>
    <row r="87" ht="56.25" customHeight="1">
      <c r="A87" s="13" t="s">
        <v>4520</v>
      </c>
      <c r="B87" s="15" t="str">
        <f>IMAGE("https://imgur.com/BaIghT6.png")</f>
        <v/>
      </c>
      <c r="C87" s="13">
        <v>3200.0</v>
      </c>
      <c r="D87" s="13">
        <v>800.0</v>
      </c>
      <c r="E87" s="19">
        <v>2483.0</v>
      </c>
      <c r="F87" s="19" t="s">
        <v>118</v>
      </c>
      <c r="G87" s="19" t="s">
        <v>82</v>
      </c>
      <c r="H87" s="19" t="s">
        <v>38</v>
      </c>
      <c r="I87" s="19" t="s">
        <v>43</v>
      </c>
      <c r="J87" s="19" t="s">
        <v>4339</v>
      </c>
      <c r="K87" s="19" t="s">
        <v>4341</v>
      </c>
    </row>
    <row r="88" ht="56.25" customHeight="1">
      <c r="A88" s="13" t="s">
        <v>4526</v>
      </c>
      <c r="B88" s="15" t="str">
        <f>IMAGE("https://imgur.com/5OkX4ET.png")</f>
        <v/>
      </c>
      <c r="C88" s="13">
        <v>3200.0</v>
      </c>
      <c r="D88" s="13">
        <v>800.0</v>
      </c>
      <c r="E88" s="19">
        <v>2476.0</v>
      </c>
      <c r="F88" s="19" t="s">
        <v>118</v>
      </c>
      <c r="G88" s="19" t="s">
        <v>107</v>
      </c>
      <c r="H88" s="19" t="s">
        <v>38</v>
      </c>
      <c r="I88" s="19" t="s">
        <v>43</v>
      </c>
      <c r="J88" s="19" t="s">
        <v>4339</v>
      </c>
      <c r="K88" s="19" t="s">
        <v>4349</v>
      </c>
    </row>
    <row r="89" ht="56.25" customHeight="1">
      <c r="A89" s="13" t="s">
        <v>4528</v>
      </c>
      <c r="B89" s="15" t="str">
        <f>IMAGE("https://imgur.com/X7DglLh.png")</f>
        <v/>
      </c>
      <c r="C89" s="13">
        <v>3200.0</v>
      </c>
      <c r="D89" s="13">
        <v>800.0</v>
      </c>
      <c r="E89" s="19">
        <v>2475.0</v>
      </c>
      <c r="F89" s="19" t="s">
        <v>118</v>
      </c>
      <c r="G89" s="19" t="s">
        <v>112</v>
      </c>
      <c r="H89" s="19" t="s">
        <v>38</v>
      </c>
      <c r="I89" s="19" t="s">
        <v>43</v>
      </c>
      <c r="J89" s="19" t="s">
        <v>4339</v>
      </c>
      <c r="K89" s="19" t="s">
        <v>4353</v>
      </c>
    </row>
    <row r="90" ht="56.25" customHeight="1">
      <c r="A90" s="13" t="s">
        <v>4530</v>
      </c>
      <c r="B90" s="15" t="str">
        <f>IMAGE("https://imgur.com/TUVcNKy.png")</f>
        <v/>
      </c>
      <c r="C90" s="13">
        <v>3200.0</v>
      </c>
      <c r="D90" s="13">
        <v>800.0</v>
      </c>
      <c r="E90" s="19">
        <v>2470.0</v>
      </c>
      <c r="F90" s="19" t="s">
        <v>118</v>
      </c>
      <c r="G90" s="19" t="s">
        <v>521</v>
      </c>
      <c r="H90" s="19" t="s">
        <v>38</v>
      </c>
      <c r="I90" s="19" t="s">
        <v>43</v>
      </c>
      <c r="J90" s="19" t="s">
        <v>4339</v>
      </c>
      <c r="K90" s="19" t="s">
        <v>4353</v>
      </c>
    </row>
    <row r="91" ht="56.25" customHeight="1">
      <c r="A91" s="13" t="s">
        <v>4535</v>
      </c>
      <c r="B91" s="15" t="str">
        <f>IMAGE("https://imgur.com/47GnNcm.png")</f>
        <v/>
      </c>
      <c r="C91" s="13">
        <v>3200.0</v>
      </c>
      <c r="D91" s="13">
        <v>800.0</v>
      </c>
      <c r="E91" s="19">
        <v>2446.0</v>
      </c>
      <c r="F91" s="19" t="s">
        <v>118</v>
      </c>
      <c r="G91" s="19" t="s">
        <v>112</v>
      </c>
      <c r="H91" s="19" t="s">
        <v>38</v>
      </c>
      <c r="I91" s="19" t="s">
        <v>43</v>
      </c>
      <c r="J91" s="19" t="s">
        <v>4339</v>
      </c>
      <c r="K91" s="19" t="s">
        <v>4356</v>
      </c>
    </row>
    <row r="92" ht="56.25" customHeight="1">
      <c r="A92" s="13" t="s">
        <v>4539</v>
      </c>
      <c r="B92" s="15" t="str">
        <f>IMAGE("https://imgur.com/rDWNkpR.png")</f>
        <v/>
      </c>
      <c r="C92" s="13">
        <v>3200.0</v>
      </c>
      <c r="D92" s="13">
        <v>800.0</v>
      </c>
      <c r="E92" s="19">
        <v>2435.0</v>
      </c>
      <c r="F92" s="19" t="s">
        <v>118</v>
      </c>
      <c r="G92" s="19" t="s">
        <v>521</v>
      </c>
      <c r="H92" s="19" t="s">
        <v>38</v>
      </c>
      <c r="I92" s="19" t="s">
        <v>43</v>
      </c>
      <c r="J92" s="19" t="s">
        <v>4339</v>
      </c>
      <c r="K92" s="19" t="s">
        <v>4341</v>
      </c>
    </row>
    <row r="93" ht="56.25" customHeight="1">
      <c r="A93" s="13" t="s">
        <v>4540</v>
      </c>
      <c r="B93" s="15" t="str">
        <f>IMAGE("https://imgur.com/Ta25llw.png")</f>
        <v/>
      </c>
      <c r="C93" s="13">
        <v>3200.0</v>
      </c>
      <c r="D93" s="13">
        <v>800.0</v>
      </c>
      <c r="E93" s="19">
        <v>2462.0</v>
      </c>
      <c r="F93" s="19" t="s">
        <v>118</v>
      </c>
      <c r="G93" s="19" t="s">
        <v>82</v>
      </c>
      <c r="H93" s="19" t="s">
        <v>38</v>
      </c>
      <c r="I93" s="19" t="s">
        <v>43</v>
      </c>
      <c r="J93" s="19" t="s">
        <v>4339</v>
      </c>
      <c r="K93" s="19" t="s">
        <v>4341</v>
      </c>
    </row>
    <row r="94" ht="56.25" customHeight="1">
      <c r="A94" s="13" t="s">
        <v>4541</v>
      </c>
      <c r="B94" s="15" t="str">
        <f>IMAGE("https://imgur.com/MidVHhF.png")</f>
        <v/>
      </c>
      <c r="C94" s="13">
        <v>3200.0</v>
      </c>
      <c r="D94" s="13">
        <v>800.0</v>
      </c>
      <c r="E94" s="19">
        <v>2459.0</v>
      </c>
      <c r="F94" s="19" t="s">
        <v>118</v>
      </c>
      <c r="G94" s="19" t="s">
        <v>99</v>
      </c>
      <c r="H94" s="19" t="s">
        <v>38</v>
      </c>
      <c r="I94" s="19" t="s">
        <v>43</v>
      </c>
      <c r="J94" s="19" t="s">
        <v>4339</v>
      </c>
      <c r="K94" s="19" t="s">
        <v>4353</v>
      </c>
    </row>
    <row r="95" ht="56.25" customHeight="1">
      <c r="A95" s="13" t="s">
        <v>4542</v>
      </c>
      <c r="B95" s="15" t="str">
        <f>IMAGE("https://imgur.com/v9KZ1bw.png")</f>
        <v/>
      </c>
      <c r="C95" s="13">
        <v>3200.0</v>
      </c>
      <c r="D95" s="13">
        <v>800.0</v>
      </c>
      <c r="E95" s="19">
        <v>2477.0</v>
      </c>
      <c r="F95" s="19" t="s">
        <v>118</v>
      </c>
      <c r="G95" s="19" t="s">
        <v>94</v>
      </c>
      <c r="H95" s="19" t="s">
        <v>38</v>
      </c>
      <c r="I95" s="19" t="s">
        <v>43</v>
      </c>
      <c r="J95" s="19" t="s">
        <v>4339</v>
      </c>
      <c r="K95" s="19" t="s">
        <v>4343</v>
      </c>
    </row>
    <row r="96" ht="56.25" customHeight="1">
      <c r="A96" s="13" t="s">
        <v>4545</v>
      </c>
      <c r="B96" s="15" t="str">
        <f>IMAGE("https://imgur.com/jqrYHFE.png)")</f>
        <v/>
      </c>
      <c r="C96" s="13">
        <v>3200.0</v>
      </c>
      <c r="D96" s="13">
        <v>800.0</v>
      </c>
      <c r="E96" s="19">
        <v>4318.0</v>
      </c>
      <c r="F96" s="19" t="s">
        <v>118</v>
      </c>
      <c r="G96" s="19" t="s">
        <v>1467</v>
      </c>
      <c r="H96" s="19" t="s">
        <v>38</v>
      </c>
      <c r="I96" s="19" t="s">
        <v>54</v>
      </c>
      <c r="J96" s="19" t="s">
        <v>4346</v>
      </c>
      <c r="K96" s="19" t="s">
        <v>4546</v>
      </c>
    </row>
    <row r="97" ht="56.25" customHeight="1">
      <c r="A97" s="24" t="s">
        <v>4547</v>
      </c>
      <c r="B97" s="15"/>
      <c r="C97" s="13">
        <v>3200.0</v>
      </c>
      <c r="D97" s="13">
        <v>800.0</v>
      </c>
      <c r="E97" s="19">
        <v>4315.0</v>
      </c>
      <c r="F97" s="19" t="s">
        <v>1467</v>
      </c>
      <c r="G97" s="19" t="s">
        <v>1467</v>
      </c>
      <c r="H97" s="19" t="s">
        <v>38</v>
      </c>
      <c r="I97" s="19" t="s">
        <v>496</v>
      </c>
      <c r="J97" s="19" t="s">
        <v>4346</v>
      </c>
      <c r="K97" s="19" t="s">
        <v>4550</v>
      </c>
    </row>
    <row r="98" ht="56.25" customHeight="1">
      <c r="A98" s="13" t="s">
        <v>4551</v>
      </c>
      <c r="B98" s="15"/>
      <c r="C98" s="13">
        <v>3200.0</v>
      </c>
      <c r="D98" s="13">
        <v>800.0</v>
      </c>
      <c r="E98" s="19">
        <v>4316.0</v>
      </c>
      <c r="F98" s="19" t="s">
        <v>1467</v>
      </c>
      <c r="G98" s="19" t="s">
        <v>1467</v>
      </c>
      <c r="H98" s="19" t="s">
        <v>38</v>
      </c>
      <c r="I98" s="19" t="s">
        <v>496</v>
      </c>
      <c r="J98" s="19" t="s">
        <v>4346</v>
      </c>
      <c r="K98" s="19" t="s">
        <v>4550</v>
      </c>
    </row>
    <row r="99" ht="56.25" customHeight="1">
      <c r="A99" s="13" t="s">
        <v>4553</v>
      </c>
      <c r="B99" s="15"/>
      <c r="C99" s="13">
        <v>3200.0</v>
      </c>
      <c r="D99" s="13">
        <v>800.0</v>
      </c>
      <c r="E99" s="19">
        <v>4317.0</v>
      </c>
      <c r="F99" s="19" t="s">
        <v>1467</v>
      </c>
      <c r="G99" s="19" t="s">
        <v>1467</v>
      </c>
      <c r="H99" s="19" t="s">
        <v>4556</v>
      </c>
      <c r="I99" s="19" t="s">
        <v>496</v>
      </c>
      <c r="J99" s="19" t="s">
        <v>4346</v>
      </c>
      <c r="K99" s="19" t="s">
        <v>4550</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57"/>
    <col customWidth="1" min="2" max="2" width="21.43"/>
    <col customWidth="1" min="3" max="3" width="20.0"/>
    <col customWidth="1" min="4" max="4" width="19.14"/>
    <col customWidth="1" min="5" max="5" width="14.43"/>
    <col customWidth="1" min="6" max="6" width="19.14"/>
    <col customWidth="1" min="7" max="7" width="17.71"/>
    <col customWidth="1" min="8" max="8" width="41.29"/>
    <col customWidth="1" min="9" max="9" width="12.86"/>
  </cols>
  <sheetData>
    <row r="1" ht="21.0" customHeight="1">
      <c r="A1" s="73" t="s">
        <v>0</v>
      </c>
      <c r="B1" s="74" t="s">
        <v>4448</v>
      </c>
      <c r="C1" s="74" t="s">
        <v>4449</v>
      </c>
      <c r="D1" s="74" t="s">
        <v>4451</v>
      </c>
      <c r="E1" s="74" t="s">
        <v>4452</v>
      </c>
      <c r="F1" s="74" t="s">
        <v>4453</v>
      </c>
      <c r="G1" s="74" t="s">
        <v>4454</v>
      </c>
      <c r="H1" s="74" t="s">
        <v>2286</v>
      </c>
      <c r="I1" s="75" t="s">
        <v>4455</v>
      </c>
    </row>
    <row r="2" ht="15.0" customHeight="1">
      <c r="A2" s="76" t="s">
        <v>4125</v>
      </c>
      <c r="B2" s="38" t="s">
        <v>4457</v>
      </c>
      <c r="C2" s="38"/>
      <c r="D2" s="38"/>
      <c r="E2" s="38"/>
      <c r="F2" s="38"/>
      <c r="G2" s="38"/>
      <c r="H2" s="43" t="s">
        <v>4459</v>
      </c>
      <c r="I2" s="43" t="s">
        <v>4460</v>
      </c>
    </row>
    <row r="3" ht="15.0" customHeight="1">
      <c r="A3" s="77" t="s">
        <v>35</v>
      </c>
      <c r="B3" s="38" t="s">
        <v>4462</v>
      </c>
      <c r="C3" s="38" t="s">
        <v>4463</v>
      </c>
      <c r="D3" s="38"/>
      <c r="E3" s="38"/>
      <c r="F3" s="38"/>
      <c r="G3" s="38"/>
      <c r="H3" s="43" t="s">
        <v>4464</v>
      </c>
      <c r="I3" s="43" t="s">
        <v>4465</v>
      </c>
    </row>
    <row r="4" ht="15.0" customHeight="1">
      <c r="A4" s="77" t="s">
        <v>87</v>
      </c>
      <c r="B4" s="38" t="s">
        <v>4466</v>
      </c>
      <c r="C4" s="38" t="s">
        <v>4467</v>
      </c>
      <c r="D4" s="38"/>
      <c r="E4" s="38"/>
      <c r="F4" s="38"/>
      <c r="G4" s="38"/>
      <c r="H4" s="43" t="s">
        <v>4464</v>
      </c>
      <c r="I4" s="43" t="s">
        <v>4465</v>
      </c>
    </row>
    <row r="5" ht="15.0" customHeight="1">
      <c r="A5" s="77" t="s">
        <v>177</v>
      </c>
      <c r="B5" s="38" t="s">
        <v>4469</v>
      </c>
      <c r="C5" s="38" t="s">
        <v>4470</v>
      </c>
      <c r="D5" s="38"/>
      <c r="E5" s="38"/>
      <c r="F5" s="38"/>
      <c r="G5" s="38"/>
      <c r="H5" s="43" t="s">
        <v>4464</v>
      </c>
      <c r="I5" s="43" t="s">
        <v>4465</v>
      </c>
    </row>
    <row r="6" ht="15.0" customHeight="1">
      <c r="A6" s="77" t="s">
        <v>3375</v>
      </c>
      <c r="B6" s="38" t="s">
        <v>4472</v>
      </c>
      <c r="C6" s="38"/>
      <c r="D6" s="38"/>
      <c r="E6" s="38"/>
      <c r="F6" s="38"/>
      <c r="G6" s="38"/>
      <c r="H6" s="43" t="s">
        <v>4464</v>
      </c>
      <c r="I6" s="43" t="s">
        <v>4473</v>
      </c>
    </row>
    <row r="7" ht="15.0" customHeight="1">
      <c r="A7" s="77" t="s">
        <v>3721</v>
      </c>
      <c r="B7" s="38" t="s">
        <v>4475</v>
      </c>
      <c r="C7" s="38"/>
      <c r="D7" s="38"/>
      <c r="E7" s="38"/>
      <c r="F7" s="38"/>
      <c r="G7" s="38"/>
      <c r="H7" s="43" t="s">
        <v>4464</v>
      </c>
      <c r="I7" s="43" t="s">
        <v>4477</v>
      </c>
    </row>
    <row r="8" ht="15.0" customHeight="1">
      <c r="A8" s="77" t="s">
        <v>2119</v>
      </c>
      <c r="B8" s="38" t="s">
        <v>4478</v>
      </c>
      <c r="C8" s="38"/>
      <c r="D8" s="38"/>
      <c r="E8" s="38"/>
      <c r="F8" s="38"/>
      <c r="G8" s="38"/>
      <c r="H8" s="43" t="s">
        <v>4464</v>
      </c>
      <c r="I8" s="43" t="s">
        <v>4479</v>
      </c>
    </row>
    <row r="9" ht="15.0" customHeight="1">
      <c r="A9" s="77" t="s">
        <v>4211</v>
      </c>
      <c r="B9" s="38" t="s">
        <v>4480</v>
      </c>
      <c r="C9" s="38"/>
      <c r="D9" s="38"/>
      <c r="E9" s="38"/>
      <c r="F9" s="38"/>
      <c r="G9" s="38"/>
      <c r="H9" s="43" t="s">
        <v>4464</v>
      </c>
      <c r="I9" s="43" t="s">
        <v>4482</v>
      </c>
    </row>
    <row r="10" ht="15.0" customHeight="1">
      <c r="A10" s="77" t="s">
        <v>1610</v>
      </c>
      <c r="B10" s="38" t="s">
        <v>4484</v>
      </c>
      <c r="C10" s="38"/>
      <c r="D10" s="38"/>
      <c r="E10" s="38"/>
      <c r="F10" s="38"/>
      <c r="G10" s="38"/>
      <c r="H10" s="43" t="s">
        <v>4464</v>
      </c>
      <c r="I10" s="43" t="s">
        <v>4485</v>
      </c>
    </row>
    <row r="11" ht="15.0" customHeight="1">
      <c r="A11" s="77" t="s">
        <v>195</v>
      </c>
      <c r="B11" s="38" t="s">
        <v>4487</v>
      </c>
      <c r="C11" s="38" t="s">
        <v>4488</v>
      </c>
      <c r="D11" s="38" t="s">
        <v>4489</v>
      </c>
      <c r="E11" s="38" t="s">
        <v>4490</v>
      </c>
      <c r="F11" s="38"/>
      <c r="G11" s="38"/>
      <c r="H11" s="43" t="s">
        <v>4491</v>
      </c>
      <c r="I11" s="43" t="s">
        <v>4465</v>
      </c>
    </row>
    <row r="12" ht="15.0" customHeight="1">
      <c r="A12" s="77" t="s">
        <v>250</v>
      </c>
      <c r="B12" s="38" t="s">
        <v>4487</v>
      </c>
      <c r="C12" s="38" t="s">
        <v>4492</v>
      </c>
      <c r="D12" s="38" t="s">
        <v>4494</v>
      </c>
      <c r="E12" s="38" t="s">
        <v>4490</v>
      </c>
      <c r="F12" s="38"/>
      <c r="G12" s="38"/>
      <c r="H12" s="43" t="s">
        <v>4491</v>
      </c>
      <c r="I12" s="43" t="s">
        <v>4465</v>
      </c>
    </row>
    <row r="13" ht="15.0" customHeight="1">
      <c r="A13" s="77" t="s">
        <v>4122</v>
      </c>
      <c r="B13" s="38" t="s">
        <v>4495</v>
      </c>
      <c r="C13" s="38"/>
      <c r="D13" s="38"/>
      <c r="E13" s="38"/>
      <c r="F13" s="38"/>
      <c r="G13" s="38"/>
      <c r="H13" s="43" t="s">
        <v>4464</v>
      </c>
      <c r="I13" s="43" t="s">
        <v>4497</v>
      </c>
    </row>
    <row r="14" ht="15.0" customHeight="1">
      <c r="A14" s="77" t="s">
        <v>131</v>
      </c>
      <c r="B14" s="38" t="s">
        <v>4498</v>
      </c>
      <c r="C14" s="38"/>
      <c r="D14" s="38"/>
      <c r="E14" s="38"/>
      <c r="F14" s="38"/>
      <c r="G14" s="38"/>
      <c r="H14" s="43" t="s">
        <v>4464</v>
      </c>
      <c r="I14" s="43" t="s">
        <v>4500</v>
      </c>
    </row>
    <row r="15" ht="15.0" customHeight="1">
      <c r="A15" s="76" t="s">
        <v>265</v>
      </c>
      <c r="B15" s="38" t="s">
        <v>4501</v>
      </c>
      <c r="C15" s="38" t="s">
        <v>4503</v>
      </c>
      <c r="D15" s="38"/>
      <c r="E15" s="38"/>
      <c r="F15" s="38"/>
      <c r="G15" s="38"/>
      <c r="H15" s="43" t="s">
        <v>4491</v>
      </c>
      <c r="I15" s="43" t="s">
        <v>4465</v>
      </c>
    </row>
    <row r="16" ht="15.0" customHeight="1">
      <c r="A16" s="77" t="s">
        <v>272</v>
      </c>
      <c r="B16" s="38" t="s">
        <v>4501</v>
      </c>
      <c r="C16" s="38" t="s">
        <v>4505</v>
      </c>
      <c r="D16" s="38"/>
      <c r="E16" s="38"/>
      <c r="F16" s="38"/>
      <c r="G16" s="38"/>
      <c r="H16" s="43" t="s">
        <v>4491</v>
      </c>
      <c r="I16" s="43" t="s">
        <v>4465</v>
      </c>
    </row>
    <row r="17" ht="15.0" customHeight="1">
      <c r="A17" s="77" t="s">
        <v>1616</v>
      </c>
      <c r="B17" s="38" t="s">
        <v>4506</v>
      </c>
      <c r="C17" s="38" t="s">
        <v>4507</v>
      </c>
      <c r="D17" s="38" t="s">
        <v>4508</v>
      </c>
      <c r="E17" s="38"/>
      <c r="F17" s="38"/>
      <c r="G17" s="38"/>
      <c r="H17" s="43" t="s">
        <v>4464</v>
      </c>
      <c r="I17" s="43" t="s">
        <v>4485</v>
      </c>
    </row>
    <row r="18" ht="15.0" customHeight="1">
      <c r="A18" s="77" t="s">
        <v>2481</v>
      </c>
      <c r="B18" s="38" t="s">
        <v>4510</v>
      </c>
      <c r="C18" s="38" t="s">
        <v>4511</v>
      </c>
      <c r="D18" s="38" t="s">
        <v>4512</v>
      </c>
      <c r="E18" s="38"/>
      <c r="F18" s="38"/>
      <c r="G18" s="38"/>
      <c r="H18" s="43" t="s">
        <v>4513</v>
      </c>
      <c r="I18" s="43" t="s">
        <v>4514</v>
      </c>
    </row>
    <row r="19" ht="15.0" customHeight="1">
      <c r="A19" s="77" t="s">
        <v>2036</v>
      </c>
      <c r="B19" s="38" t="s">
        <v>4515</v>
      </c>
      <c r="C19" s="38"/>
      <c r="D19" s="38"/>
      <c r="E19" s="38"/>
      <c r="F19" s="38"/>
      <c r="G19" s="38"/>
      <c r="H19" s="43" t="s">
        <v>4464</v>
      </c>
      <c r="I19" s="43" t="s">
        <v>4516</v>
      </c>
    </row>
    <row r="20" ht="15.0" customHeight="1">
      <c r="A20" s="77" t="s">
        <v>295</v>
      </c>
      <c r="B20" s="38" t="s">
        <v>4518</v>
      </c>
      <c r="C20" s="38"/>
      <c r="D20" s="38"/>
      <c r="E20" s="38"/>
      <c r="F20" s="38"/>
      <c r="G20" s="38"/>
      <c r="H20" s="43" t="s">
        <v>4464</v>
      </c>
      <c r="I20" s="43" t="s">
        <v>4465</v>
      </c>
    </row>
    <row r="21" ht="15.0" customHeight="1">
      <c r="A21" s="77" t="s">
        <v>301</v>
      </c>
      <c r="B21" s="38" t="s">
        <v>4519</v>
      </c>
      <c r="C21" s="38"/>
      <c r="D21" s="38"/>
      <c r="E21" s="38"/>
      <c r="F21" s="38"/>
      <c r="G21" s="38"/>
      <c r="H21" s="43" t="s">
        <v>4464</v>
      </c>
      <c r="I21" s="43" t="s">
        <v>4465</v>
      </c>
    </row>
    <row r="22" ht="15.0" customHeight="1">
      <c r="A22" s="77" t="s">
        <v>159</v>
      </c>
      <c r="B22" s="38" t="s">
        <v>4521</v>
      </c>
      <c r="C22" s="38" t="s">
        <v>4523</v>
      </c>
      <c r="D22" s="38"/>
      <c r="E22" s="38"/>
      <c r="F22" s="38"/>
      <c r="G22" s="38"/>
      <c r="H22" s="43" t="s">
        <v>4464</v>
      </c>
      <c r="I22" s="43" t="s">
        <v>4500</v>
      </c>
    </row>
    <row r="23" ht="15.0" customHeight="1">
      <c r="A23" s="77" t="s">
        <v>309</v>
      </c>
      <c r="B23" s="38" t="s">
        <v>4524</v>
      </c>
      <c r="C23" s="38"/>
      <c r="D23" s="38"/>
      <c r="E23" s="38"/>
      <c r="F23" s="38"/>
      <c r="G23" s="38"/>
      <c r="H23" s="43" t="s">
        <v>4525</v>
      </c>
      <c r="I23" s="43" t="s">
        <v>4465</v>
      </c>
    </row>
    <row r="24" ht="15.0" customHeight="1">
      <c r="A24" s="77" t="s">
        <v>165</v>
      </c>
      <c r="B24" s="38" t="s">
        <v>4521</v>
      </c>
      <c r="C24" s="38" t="s">
        <v>4527</v>
      </c>
      <c r="D24" s="38"/>
      <c r="E24" s="38"/>
      <c r="F24" s="38"/>
      <c r="G24" s="38"/>
      <c r="H24" s="43" t="s">
        <v>4464</v>
      </c>
      <c r="I24" s="43" t="s">
        <v>4500</v>
      </c>
    </row>
    <row r="25" ht="15.0" customHeight="1">
      <c r="A25" s="77" t="s">
        <v>315</v>
      </c>
      <c r="B25" s="38" t="s">
        <v>4519</v>
      </c>
      <c r="C25" s="38"/>
      <c r="D25" s="38"/>
      <c r="E25" s="38"/>
      <c r="F25" s="38"/>
      <c r="G25" s="38"/>
      <c r="H25" s="43" t="s">
        <v>4464</v>
      </c>
      <c r="I25" s="43" t="s">
        <v>4465</v>
      </c>
    </row>
    <row r="26" ht="15.0" customHeight="1">
      <c r="A26" s="77" t="s">
        <v>2038</v>
      </c>
      <c r="B26" s="38" t="s">
        <v>4529</v>
      </c>
      <c r="C26" s="38"/>
      <c r="D26" s="38"/>
      <c r="E26" s="38"/>
      <c r="F26" s="38"/>
      <c r="G26" s="38"/>
      <c r="H26" s="43" t="s">
        <v>4464</v>
      </c>
      <c r="I26" s="43" t="s">
        <v>4516</v>
      </c>
    </row>
    <row r="27" ht="15.0" customHeight="1">
      <c r="A27" s="77" t="s">
        <v>3726</v>
      </c>
      <c r="B27" s="38" t="s">
        <v>4531</v>
      </c>
      <c r="C27" s="38"/>
      <c r="D27" s="38"/>
      <c r="E27" s="38"/>
      <c r="F27" s="38"/>
      <c r="G27" s="38"/>
      <c r="H27" s="43" t="s">
        <v>4464</v>
      </c>
      <c r="I27" s="43" t="s">
        <v>4477</v>
      </c>
    </row>
    <row r="28" ht="15.0" customHeight="1">
      <c r="A28" s="77" t="s">
        <v>2417</v>
      </c>
      <c r="B28" s="38" t="s">
        <v>4532</v>
      </c>
      <c r="C28" s="38"/>
      <c r="D28" s="38"/>
      <c r="E28" s="38"/>
      <c r="F28" s="38"/>
      <c r="G28" s="38"/>
      <c r="H28" s="43" t="s">
        <v>4533</v>
      </c>
      <c r="I28" s="43" t="s">
        <v>4534</v>
      </c>
    </row>
    <row r="29" ht="15.0" customHeight="1">
      <c r="A29" s="77" t="s">
        <v>167</v>
      </c>
      <c r="B29" s="38" t="s">
        <v>4536</v>
      </c>
      <c r="C29" s="38"/>
      <c r="D29" s="38"/>
      <c r="E29" s="38"/>
      <c r="F29" s="38"/>
      <c r="G29" s="38"/>
      <c r="H29" s="43" t="s">
        <v>4464</v>
      </c>
      <c r="I29" s="43" t="s">
        <v>4500</v>
      </c>
    </row>
    <row r="30" ht="15.0" customHeight="1">
      <c r="A30" s="77" t="s">
        <v>321</v>
      </c>
      <c r="B30" s="38" t="s">
        <v>4537</v>
      </c>
      <c r="C30" s="38" t="s">
        <v>4511</v>
      </c>
      <c r="D30" s="38"/>
      <c r="E30" s="38"/>
      <c r="F30" s="38"/>
      <c r="G30" s="38"/>
      <c r="H30" s="43" t="s">
        <v>4525</v>
      </c>
      <c r="I30" s="43" t="s">
        <v>4465</v>
      </c>
    </row>
    <row r="31" ht="15.0" customHeight="1">
      <c r="A31" s="77" t="s">
        <v>330</v>
      </c>
      <c r="B31" s="38" t="s">
        <v>4518</v>
      </c>
      <c r="C31" s="38" t="s">
        <v>4538</v>
      </c>
      <c r="D31" s="38"/>
      <c r="E31" s="38"/>
      <c r="F31" s="38"/>
      <c r="G31" s="38"/>
      <c r="H31" s="43" t="s">
        <v>4464</v>
      </c>
      <c r="I31" s="43" t="s">
        <v>4465</v>
      </c>
    </row>
    <row r="32" ht="15.0" customHeight="1">
      <c r="A32" s="77" t="s">
        <v>336</v>
      </c>
      <c r="B32" s="38" t="s">
        <v>4529</v>
      </c>
      <c r="C32" s="38"/>
      <c r="D32" s="38"/>
      <c r="E32" s="38"/>
      <c r="F32" s="38"/>
      <c r="G32" s="38"/>
      <c r="H32" s="43" t="s">
        <v>4464</v>
      </c>
      <c r="I32" s="43" t="s">
        <v>4465</v>
      </c>
    </row>
    <row r="33" ht="15.0" customHeight="1">
      <c r="A33" s="77" t="s">
        <v>337</v>
      </c>
      <c r="B33" s="38" t="s">
        <v>4521</v>
      </c>
      <c r="C33" s="38" t="s">
        <v>4512</v>
      </c>
      <c r="D33" s="38"/>
      <c r="E33" s="38"/>
      <c r="F33" s="38"/>
      <c r="G33" s="38"/>
      <c r="H33" s="43" t="s">
        <v>4464</v>
      </c>
      <c r="I33" s="43" t="s">
        <v>4465</v>
      </c>
    </row>
    <row r="34" ht="15.0" customHeight="1">
      <c r="A34" s="77" t="s">
        <v>174</v>
      </c>
      <c r="B34" s="38" t="s">
        <v>4521</v>
      </c>
      <c r="C34" s="38"/>
      <c r="D34" s="38"/>
      <c r="E34" s="38"/>
      <c r="F34" s="38"/>
      <c r="G34" s="38"/>
      <c r="H34" s="43" t="s">
        <v>4464</v>
      </c>
      <c r="I34" s="43" t="s">
        <v>4500</v>
      </c>
    </row>
    <row r="35" ht="15.0" customHeight="1">
      <c r="A35" s="77" t="s">
        <v>340</v>
      </c>
      <c r="B35" s="38" t="s">
        <v>4544</v>
      </c>
      <c r="C35" s="38"/>
      <c r="D35" s="38"/>
      <c r="E35" s="38"/>
      <c r="F35" s="38"/>
      <c r="G35" s="38"/>
      <c r="H35" s="43" t="s">
        <v>4464</v>
      </c>
      <c r="I35" s="43" t="s">
        <v>4465</v>
      </c>
    </row>
    <row r="36" ht="15.0" customHeight="1">
      <c r="A36" s="77" t="s">
        <v>345</v>
      </c>
      <c r="B36" s="38" t="s">
        <v>4521</v>
      </c>
      <c r="C36" s="38"/>
      <c r="D36" s="38"/>
      <c r="E36" s="38"/>
      <c r="F36" s="38"/>
      <c r="G36" s="38"/>
      <c r="H36" s="43" t="s">
        <v>4464</v>
      </c>
      <c r="I36" s="43" t="s">
        <v>4465</v>
      </c>
    </row>
    <row r="37" ht="15.0" customHeight="1">
      <c r="A37" s="77" t="s">
        <v>1620</v>
      </c>
      <c r="B37" s="38" t="s">
        <v>4529</v>
      </c>
      <c r="C37" s="38"/>
      <c r="D37" s="38"/>
      <c r="E37" s="38"/>
      <c r="F37" s="38"/>
      <c r="G37" s="38"/>
      <c r="H37" s="43" t="s">
        <v>4464</v>
      </c>
      <c r="I37" s="43" t="s">
        <v>4485</v>
      </c>
    </row>
    <row r="38" ht="15.0" customHeight="1">
      <c r="A38" s="77" t="s">
        <v>168</v>
      </c>
      <c r="B38" s="38" t="s">
        <v>4548</v>
      </c>
      <c r="C38" s="38"/>
      <c r="D38" s="38"/>
      <c r="E38" s="38"/>
      <c r="F38" s="38"/>
      <c r="G38" s="38"/>
      <c r="H38" s="43" t="s">
        <v>4464</v>
      </c>
      <c r="I38" s="43" t="s">
        <v>4549</v>
      </c>
    </row>
    <row r="39" ht="15.0" customHeight="1">
      <c r="A39" s="77" t="s">
        <v>2490</v>
      </c>
      <c r="B39" s="38" t="s">
        <v>4524</v>
      </c>
      <c r="C39" s="38" t="s">
        <v>4487</v>
      </c>
      <c r="D39" s="38"/>
      <c r="E39" s="38"/>
      <c r="F39" s="38"/>
      <c r="G39" s="38"/>
      <c r="H39" s="43" t="s">
        <v>4525</v>
      </c>
      <c r="I39" s="43" t="s">
        <v>4514</v>
      </c>
    </row>
    <row r="40" ht="15.0" customHeight="1">
      <c r="A40" s="76" t="s">
        <v>1622</v>
      </c>
      <c r="B40" s="38" t="s">
        <v>4537</v>
      </c>
      <c r="C40" s="38" t="s">
        <v>4552</v>
      </c>
      <c r="D40" s="38"/>
      <c r="E40" s="38"/>
      <c r="F40" s="38"/>
      <c r="G40" s="38"/>
      <c r="H40" s="43" t="s">
        <v>4525</v>
      </c>
      <c r="I40" s="43" t="s">
        <v>4485</v>
      </c>
    </row>
    <row r="41" ht="15.0" customHeight="1">
      <c r="A41" s="77" t="s">
        <v>181</v>
      </c>
      <c r="B41" s="38" t="s">
        <v>4554</v>
      </c>
      <c r="C41" s="38" t="s">
        <v>4555</v>
      </c>
      <c r="D41" s="38" t="s">
        <v>4557</v>
      </c>
      <c r="E41" s="38"/>
      <c r="F41" s="38"/>
      <c r="G41" s="38"/>
      <c r="H41" s="43" t="s">
        <v>4525</v>
      </c>
      <c r="I41" s="43" t="s">
        <v>4500</v>
      </c>
    </row>
    <row r="42" ht="15.0" customHeight="1">
      <c r="A42" s="77" t="s">
        <v>2421</v>
      </c>
      <c r="B42" s="38" t="s">
        <v>4558</v>
      </c>
      <c r="C42" s="38" t="s">
        <v>4559</v>
      </c>
      <c r="D42" s="38"/>
      <c r="E42" s="38"/>
      <c r="F42" s="38"/>
      <c r="G42" s="38"/>
      <c r="H42" s="43" t="s">
        <v>4533</v>
      </c>
      <c r="I42" s="43" t="s">
        <v>4534</v>
      </c>
    </row>
    <row r="43" ht="15.0" customHeight="1">
      <c r="A43" s="77" t="s">
        <v>356</v>
      </c>
      <c r="B43" s="38" t="s">
        <v>4560</v>
      </c>
      <c r="C43" s="38"/>
      <c r="D43" s="38"/>
      <c r="E43" s="38"/>
      <c r="F43" s="38"/>
      <c r="G43" s="38"/>
      <c r="H43" s="43" t="s">
        <v>4464</v>
      </c>
      <c r="I43" s="43" t="s">
        <v>4465</v>
      </c>
    </row>
    <row r="44" ht="15.0" customHeight="1">
      <c r="A44" s="77" t="s">
        <v>362</v>
      </c>
      <c r="B44" s="38" t="s">
        <v>4507</v>
      </c>
      <c r="C44" s="38" t="s">
        <v>4559</v>
      </c>
      <c r="D44" s="38"/>
      <c r="E44" s="38"/>
      <c r="F44" s="38"/>
      <c r="G44" s="38"/>
      <c r="H44" s="43" t="s">
        <v>4464</v>
      </c>
      <c r="I44" s="43" t="s">
        <v>4465</v>
      </c>
    </row>
    <row r="45" ht="15.0" customHeight="1">
      <c r="A45" s="77" t="s">
        <v>2040</v>
      </c>
      <c r="B45" s="38" t="s">
        <v>4503</v>
      </c>
      <c r="C45" s="38"/>
      <c r="D45" s="38"/>
      <c r="E45" s="38"/>
      <c r="F45" s="38"/>
      <c r="G45" s="38"/>
      <c r="H45" s="43" t="s">
        <v>4464</v>
      </c>
      <c r="I45" s="43" t="s">
        <v>4516</v>
      </c>
    </row>
    <row r="46" ht="15.0" customHeight="1">
      <c r="A46" s="77" t="s">
        <v>4126</v>
      </c>
      <c r="B46" s="38" t="s">
        <v>4524</v>
      </c>
      <c r="C46" s="38"/>
      <c r="D46" s="38"/>
      <c r="E46" s="38"/>
      <c r="F46" s="38"/>
      <c r="G46" s="38"/>
      <c r="H46" s="43" t="s">
        <v>4525</v>
      </c>
      <c r="I46" s="43" t="s">
        <v>4460</v>
      </c>
    </row>
    <row r="47" ht="15.0" customHeight="1">
      <c r="A47" s="77" t="s">
        <v>397</v>
      </c>
      <c r="B47" s="38" t="s">
        <v>4561</v>
      </c>
      <c r="C47" s="38" t="s">
        <v>4507</v>
      </c>
      <c r="D47" s="38"/>
      <c r="E47" s="38"/>
      <c r="F47" s="38"/>
      <c r="G47" s="38"/>
      <c r="H47" s="43" t="s">
        <v>4464</v>
      </c>
      <c r="I47" s="43" t="s">
        <v>4465</v>
      </c>
    </row>
    <row r="48" ht="15.0" customHeight="1">
      <c r="A48" s="77" t="s">
        <v>412</v>
      </c>
      <c r="B48" s="38" t="s">
        <v>4563</v>
      </c>
      <c r="C48" s="38" t="s">
        <v>4564</v>
      </c>
      <c r="D48" s="38" t="s">
        <v>4565</v>
      </c>
      <c r="E48" s="38" t="s">
        <v>4507</v>
      </c>
      <c r="F48" s="38" t="s">
        <v>4566</v>
      </c>
      <c r="G48" s="38"/>
      <c r="H48" s="43" t="s">
        <v>4567</v>
      </c>
      <c r="I48" s="43" t="s">
        <v>4465</v>
      </c>
    </row>
    <row r="49" ht="15.0" customHeight="1">
      <c r="A49" s="77" t="s">
        <v>429</v>
      </c>
      <c r="B49" s="38" t="s">
        <v>4538</v>
      </c>
      <c r="C49" s="38"/>
      <c r="D49" s="38"/>
      <c r="E49" s="38"/>
      <c r="F49" s="38"/>
      <c r="G49" s="38"/>
      <c r="H49" s="43" t="s">
        <v>4464</v>
      </c>
      <c r="I49" s="43" t="s">
        <v>4465</v>
      </c>
    </row>
    <row r="50" ht="15.0" customHeight="1">
      <c r="A50" s="77" t="s">
        <v>434</v>
      </c>
      <c r="B50" s="38" t="s">
        <v>4568</v>
      </c>
      <c r="C50" s="38"/>
      <c r="D50" s="38"/>
      <c r="E50" s="38"/>
      <c r="F50" s="38"/>
      <c r="G50" s="38"/>
      <c r="H50" s="43" t="s">
        <v>4464</v>
      </c>
      <c r="I50" s="43" t="s">
        <v>4465</v>
      </c>
    </row>
    <row r="51" ht="15.0" customHeight="1">
      <c r="A51" s="77" t="s">
        <v>438</v>
      </c>
      <c r="B51" s="38" t="s">
        <v>4569</v>
      </c>
      <c r="C51" s="38" t="s">
        <v>4570</v>
      </c>
      <c r="D51" s="38"/>
      <c r="E51" s="38"/>
      <c r="F51" s="38"/>
      <c r="G51" s="38"/>
      <c r="H51" s="43" t="s">
        <v>4464</v>
      </c>
      <c r="I51" s="43" t="s">
        <v>4465</v>
      </c>
    </row>
    <row r="52" ht="15.0" customHeight="1">
      <c r="A52" s="77" t="s">
        <v>458</v>
      </c>
      <c r="B52" s="38" t="s">
        <v>4571</v>
      </c>
      <c r="C52" s="38"/>
      <c r="D52" s="38"/>
      <c r="E52" s="38"/>
      <c r="F52" s="38"/>
      <c r="G52" s="38"/>
      <c r="H52" s="43" t="s">
        <v>4572</v>
      </c>
      <c r="I52" s="43" t="s">
        <v>4465</v>
      </c>
    </row>
    <row r="53" ht="15.0" customHeight="1">
      <c r="A53" s="77" t="s">
        <v>3736</v>
      </c>
      <c r="B53" s="38" t="s">
        <v>4573</v>
      </c>
      <c r="C53" s="38"/>
      <c r="D53" s="38"/>
      <c r="E53" s="38"/>
      <c r="F53" s="38"/>
      <c r="G53" s="38"/>
      <c r="H53" s="43" t="s">
        <v>4464</v>
      </c>
      <c r="I53" s="41" t="s">
        <v>4477</v>
      </c>
    </row>
    <row r="54" ht="15.0" customHeight="1">
      <c r="A54" s="77" t="s">
        <v>194</v>
      </c>
      <c r="B54" s="38" t="s">
        <v>4574</v>
      </c>
      <c r="C54" s="38"/>
      <c r="D54" s="38"/>
      <c r="E54" s="38"/>
      <c r="F54" s="38"/>
      <c r="G54" s="38"/>
      <c r="H54" s="43" t="s">
        <v>4464</v>
      </c>
      <c r="I54" s="43" t="s">
        <v>4549</v>
      </c>
    </row>
    <row r="55" ht="15.0" customHeight="1">
      <c r="A55" s="77" t="s">
        <v>197</v>
      </c>
      <c r="B55" s="38" t="s">
        <v>4467</v>
      </c>
      <c r="C55" s="38"/>
      <c r="D55" s="38"/>
      <c r="E55" s="38"/>
      <c r="F55" s="38"/>
      <c r="G55" s="38"/>
      <c r="H55" s="43" t="s">
        <v>4464</v>
      </c>
      <c r="I55" s="43" t="s">
        <v>4549</v>
      </c>
    </row>
    <row r="56" ht="15.0" customHeight="1">
      <c r="A56" s="77" t="s">
        <v>473</v>
      </c>
      <c r="B56" s="38" t="s">
        <v>4579</v>
      </c>
      <c r="C56" s="38" t="s">
        <v>4580</v>
      </c>
      <c r="D56" s="38"/>
      <c r="E56" s="38"/>
      <c r="F56" s="38"/>
      <c r="G56" s="38"/>
      <c r="H56" s="43" t="s">
        <v>4464</v>
      </c>
      <c r="I56" s="43" t="s">
        <v>4465</v>
      </c>
    </row>
    <row r="57" ht="15.0" customHeight="1">
      <c r="A57" s="77" t="s">
        <v>475</v>
      </c>
      <c r="B57" s="38" t="s">
        <v>4586</v>
      </c>
      <c r="C57" s="38" t="s">
        <v>4588</v>
      </c>
      <c r="D57" s="38" t="s">
        <v>4568</v>
      </c>
      <c r="E57" s="38"/>
      <c r="F57" s="38"/>
      <c r="G57" s="38"/>
      <c r="H57" s="43" t="s">
        <v>4464</v>
      </c>
      <c r="I57" s="43" t="s">
        <v>4465</v>
      </c>
    </row>
    <row r="58" ht="15.0" customHeight="1">
      <c r="A58" s="77" t="s">
        <v>224</v>
      </c>
      <c r="B58" s="38" t="s">
        <v>4558</v>
      </c>
      <c r="C58" s="38"/>
      <c r="D58" s="38"/>
      <c r="E58" s="38"/>
      <c r="F58" s="38"/>
      <c r="G58" s="38"/>
      <c r="H58" s="43" t="s">
        <v>4464</v>
      </c>
      <c r="I58" s="43" t="s">
        <v>4549</v>
      </c>
    </row>
    <row r="59" ht="15.0" customHeight="1">
      <c r="A59" s="77" t="s">
        <v>2424</v>
      </c>
      <c r="B59" s="38" t="s">
        <v>4599</v>
      </c>
      <c r="C59" s="38"/>
      <c r="D59" s="38"/>
      <c r="E59" s="38"/>
      <c r="F59" s="38"/>
      <c r="G59" s="38"/>
      <c r="H59" s="43" t="s">
        <v>4533</v>
      </c>
      <c r="I59" s="43" t="s">
        <v>4534</v>
      </c>
    </row>
    <row r="60" ht="15.0" customHeight="1">
      <c r="A60" s="77" t="s">
        <v>498</v>
      </c>
      <c r="B60" s="38" t="s">
        <v>4600</v>
      </c>
      <c r="C60" s="38" t="s">
        <v>4559</v>
      </c>
      <c r="D60" s="38" t="s">
        <v>4601</v>
      </c>
      <c r="E60" s="38"/>
      <c r="F60" s="38"/>
      <c r="G60" s="38"/>
      <c r="H60" s="43" t="s">
        <v>4464</v>
      </c>
      <c r="I60" s="43" t="s">
        <v>4465</v>
      </c>
    </row>
    <row r="61" ht="15.0" customHeight="1">
      <c r="A61" s="77" t="s">
        <v>509</v>
      </c>
      <c r="B61" s="38" t="s">
        <v>4600</v>
      </c>
      <c r="C61" s="38" t="s">
        <v>4507</v>
      </c>
      <c r="D61" s="38" t="s">
        <v>4603</v>
      </c>
      <c r="E61" s="38"/>
      <c r="F61" s="38"/>
      <c r="G61" s="38"/>
      <c r="H61" s="43" t="s">
        <v>4464</v>
      </c>
      <c r="I61" s="43" t="s">
        <v>4465</v>
      </c>
    </row>
    <row r="62" ht="15.0" customHeight="1">
      <c r="A62" s="77" t="s">
        <v>4604</v>
      </c>
      <c r="B62" s="38" t="s">
        <v>4607</v>
      </c>
      <c r="C62" s="38" t="s">
        <v>4557</v>
      </c>
      <c r="D62" s="38" t="s">
        <v>4608</v>
      </c>
      <c r="E62" s="38"/>
      <c r="F62" s="38"/>
      <c r="G62" s="38"/>
      <c r="H62" s="43" t="s">
        <v>4609</v>
      </c>
      <c r="I62" s="43" t="s">
        <v>4611</v>
      </c>
    </row>
    <row r="63" ht="15.0" customHeight="1">
      <c r="A63" s="77" t="s">
        <v>1691</v>
      </c>
      <c r="B63" s="38" t="s">
        <v>4612</v>
      </c>
      <c r="C63" s="38"/>
      <c r="D63" s="38"/>
      <c r="E63" s="38"/>
      <c r="F63" s="38"/>
      <c r="G63" s="38"/>
      <c r="H63" s="43" t="s">
        <v>4464</v>
      </c>
      <c r="I63" s="43" t="s">
        <v>4485</v>
      </c>
    </row>
    <row r="64" ht="15.0" customHeight="1">
      <c r="A64" s="77" t="s">
        <v>524</v>
      </c>
      <c r="B64" s="38" t="s">
        <v>4613</v>
      </c>
      <c r="C64" s="38" t="s">
        <v>4614</v>
      </c>
      <c r="D64" s="38" t="s">
        <v>4615</v>
      </c>
      <c r="E64" s="38" t="s">
        <v>4616</v>
      </c>
      <c r="F64" s="38" t="s">
        <v>4617</v>
      </c>
      <c r="G64" s="38" t="s">
        <v>4618</v>
      </c>
      <c r="H64" s="43" t="s">
        <v>4619</v>
      </c>
      <c r="I64" s="43" t="s">
        <v>4465</v>
      </c>
    </row>
    <row r="65" ht="15.0" customHeight="1">
      <c r="A65" s="77" t="s">
        <v>4129</v>
      </c>
      <c r="B65" s="38" t="s">
        <v>4620</v>
      </c>
      <c r="C65" s="38" t="s">
        <v>4621</v>
      </c>
      <c r="D65" s="38" t="s">
        <v>4622</v>
      </c>
      <c r="E65" s="38" t="s">
        <v>4623</v>
      </c>
      <c r="F65" s="38" t="s">
        <v>4624</v>
      </c>
      <c r="G65" s="43" t="s">
        <v>4625</v>
      </c>
      <c r="H65" s="43" t="s">
        <v>4626</v>
      </c>
      <c r="I65" s="43" t="s">
        <v>4460</v>
      </c>
    </row>
    <row r="66" ht="15.0" customHeight="1">
      <c r="A66" s="76" t="s">
        <v>529</v>
      </c>
      <c r="B66" s="38" t="s">
        <v>4620</v>
      </c>
      <c r="C66" s="38" t="s">
        <v>4621</v>
      </c>
      <c r="D66" s="38" t="s">
        <v>4622</v>
      </c>
      <c r="E66" s="38" t="s">
        <v>4623</v>
      </c>
      <c r="F66" s="38" t="s">
        <v>4624</v>
      </c>
      <c r="G66" s="38" t="s">
        <v>4625</v>
      </c>
      <c r="H66" s="43" t="s">
        <v>4628</v>
      </c>
      <c r="I66" s="43" t="s">
        <v>4465</v>
      </c>
    </row>
    <row r="67" ht="15.0" customHeight="1">
      <c r="A67" s="77" t="s">
        <v>3741</v>
      </c>
      <c r="B67" s="38" t="s">
        <v>4620</v>
      </c>
      <c r="C67" s="38" t="s">
        <v>4621</v>
      </c>
      <c r="D67" s="38" t="s">
        <v>4622</v>
      </c>
      <c r="E67" s="38" t="s">
        <v>4623</v>
      </c>
      <c r="F67" s="38" t="s">
        <v>4624</v>
      </c>
      <c r="G67" s="38" t="s">
        <v>4625</v>
      </c>
      <c r="H67" s="43" t="s">
        <v>4626</v>
      </c>
      <c r="I67" s="43" t="s">
        <v>4477</v>
      </c>
    </row>
    <row r="68" ht="15.0" customHeight="1">
      <c r="A68" s="77" t="s">
        <v>2426</v>
      </c>
      <c r="B68" s="38" t="s">
        <v>4620</v>
      </c>
      <c r="C68" s="38" t="s">
        <v>4621</v>
      </c>
      <c r="D68" s="38" t="s">
        <v>4622</v>
      </c>
      <c r="E68" s="38" t="s">
        <v>4623</v>
      </c>
      <c r="F68" s="38" t="s">
        <v>4624</v>
      </c>
      <c r="G68" s="38" t="s">
        <v>4625</v>
      </c>
      <c r="H68" s="43" t="s">
        <v>4628</v>
      </c>
      <c r="I68" s="43" t="s">
        <v>4534</v>
      </c>
    </row>
    <row r="69" ht="15.0" customHeight="1">
      <c r="A69" s="77" t="s">
        <v>537</v>
      </c>
      <c r="B69" s="38" t="s">
        <v>4621</v>
      </c>
      <c r="C69" s="38" t="s">
        <v>4623</v>
      </c>
      <c r="D69" s="38" t="s">
        <v>4625</v>
      </c>
      <c r="E69" s="38"/>
      <c r="F69" s="38"/>
      <c r="G69" s="38"/>
      <c r="H69" s="43" t="s">
        <v>4628</v>
      </c>
      <c r="I69" s="43" t="s">
        <v>4465</v>
      </c>
    </row>
    <row r="70" ht="15.0" customHeight="1">
      <c r="A70" s="77" t="s">
        <v>2070</v>
      </c>
      <c r="B70" s="38" t="s">
        <v>4613</v>
      </c>
      <c r="C70" s="38" t="s">
        <v>4614</v>
      </c>
      <c r="D70" s="38" t="s">
        <v>4615</v>
      </c>
      <c r="E70" s="38" t="s">
        <v>4616</v>
      </c>
      <c r="F70" s="38" t="s">
        <v>4617</v>
      </c>
      <c r="G70" s="38" t="s">
        <v>4618</v>
      </c>
      <c r="H70" s="43" t="s">
        <v>4628</v>
      </c>
      <c r="I70" s="43" t="s">
        <v>4516</v>
      </c>
    </row>
    <row r="71" ht="15.0" customHeight="1">
      <c r="A71" s="76" t="s">
        <v>260</v>
      </c>
      <c r="B71" s="43" t="s">
        <v>4620</v>
      </c>
      <c r="C71" s="43" t="s">
        <v>4621</v>
      </c>
      <c r="D71" s="43" t="s">
        <v>4622</v>
      </c>
      <c r="E71" s="43" t="s">
        <v>4623</v>
      </c>
      <c r="F71" s="43" t="s">
        <v>4624</v>
      </c>
      <c r="G71" s="43" t="s">
        <v>4625</v>
      </c>
      <c r="H71" s="43" t="s">
        <v>4628</v>
      </c>
      <c r="I71" s="43" t="s">
        <v>4549</v>
      </c>
    </row>
    <row r="72" ht="15.0" customHeight="1">
      <c r="A72" s="77" t="s">
        <v>324</v>
      </c>
      <c r="B72" s="38" t="s">
        <v>4636</v>
      </c>
      <c r="C72" s="38"/>
      <c r="D72" s="38"/>
      <c r="E72" s="38"/>
      <c r="F72" s="38"/>
      <c r="G72" s="38"/>
      <c r="H72" s="43" t="s">
        <v>4628</v>
      </c>
      <c r="I72" s="43" t="s">
        <v>4500</v>
      </c>
    </row>
    <row r="73" ht="15.0" customHeight="1">
      <c r="A73" s="76" t="s">
        <v>543</v>
      </c>
      <c r="B73" s="38" t="s">
        <v>4620</v>
      </c>
      <c r="C73" s="38" t="s">
        <v>4622</v>
      </c>
      <c r="D73" s="38" t="s">
        <v>4624</v>
      </c>
      <c r="E73" s="38"/>
      <c r="F73" s="38"/>
      <c r="G73" s="38"/>
      <c r="H73" s="43" t="s">
        <v>4628</v>
      </c>
      <c r="I73" s="43" t="s">
        <v>4465</v>
      </c>
    </row>
    <row r="74" ht="15.0" customHeight="1">
      <c r="A74" s="77" t="s">
        <v>2174</v>
      </c>
      <c r="B74" s="38" t="s">
        <v>4620</v>
      </c>
      <c r="C74" s="38" t="s">
        <v>4621</v>
      </c>
      <c r="D74" s="38" t="s">
        <v>4622</v>
      </c>
      <c r="E74" s="38" t="s">
        <v>4623</v>
      </c>
      <c r="F74" s="38" t="s">
        <v>4624</v>
      </c>
      <c r="G74" s="38" t="s">
        <v>4625</v>
      </c>
      <c r="H74" s="43" t="s">
        <v>4628</v>
      </c>
      <c r="I74" s="43" t="s">
        <v>4479</v>
      </c>
    </row>
    <row r="75" ht="15.0" customHeight="1">
      <c r="A75" s="76" t="s">
        <v>552</v>
      </c>
      <c r="B75" s="43" t="s">
        <v>4640</v>
      </c>
      <c r="C75" s="38"/>
      <c r="D75" s="38"/>
      <c r="E75" s="38"/>
      <c r="F75" s="38"/>
      <c r="G75" s="38"/>
      <c r="H75" s="43" t="s">
        <v>4628</v>
      </c>
      <c r="I75" s="43" t="s">
        <v>4465</v>
      </c>
    </row>
    <row r="76" ht="15.0" customHeight="1">
      <c r="A76" s="77" t="s">
        <v>560</v>
      </c>
      <c r="B76" s="38" t="s">
        <v>4641</v>
      </c>
      <c r="C76" s="38"/>
      <c r="D76" s="38"/>
      <c r="E76" s="38"/>
      <c r="F76" s="38"/>
      <c r="G76" s="38"/>
      <c r="H76" s="43" t="s">
        <v>4628</v>
      </c>
      <c r="I76" s="43" t="s">
        <v>4465</v>
      </c>
    </row>
    <row r="77" ht="15.0" customHeight="1">
      <c r="A77" s="76" t="s">
        <v>568</v>
      </c>
      <c r="B77" s="43" t="s">
        <v>4644</v>
      </c>
      <c r="C77" s="38"/>
      <c r="D77" s="38"/>
      <c r="E77" s="38"/>
      <c r="F77" s="38"/>
      <c r="G77" s="38"/>
      <c r="H77" s="43" t="s">
        <v>4628</v>
      </c>
      <c r="I77" s="43" t="s">
        <v>4465</v>
      </c>
    </row>
    <row r="78" ht="15.0" customHeight="1">
      <c r="A78" s="77" t="s">
        <v>1697</v>
      </c>
      <c r="B78" s="38" t="s">
        <v>4613</v>
      </c>
      <c r="C78" s="38" t="s">
        <v>4614</v>
      </c>
      <c r="D78" s="38" t="s">
        <v>4615</v>
      </c>
      <c r="E78" s="38" t="s">
        <v>4616</v>
      </c>
      <c r="F78" s="38" t="s">
        <v>4617</v>
      </c>
      <c r="G78" s="38" t="s">
        <v>4618</v>
      </c>
      <c r="H78" s="43" t="s">
        <v>4628</v>
      </c>
      <c r="I78" s="43" t="s">
        <v>4485</v>
      </c>
    </row>
    <row r="79" ht="15.0" customHeight="1">
      <c r="A79" s="76" t="s">
        <v>263</v>
      </c>
      <c r="B79" s="43" t="s">
        <v>4646</v>
      </c>
      <c r="C79" s="38"/>
      <c r="D79" s="38"/>
      <c r="E79" s="38"/>
      <c r="F79" s="38"/>
      <c r="G79" s="38"/>
      <c r="H79" s="43" t="s">
        <v>4628</v>
      </c>
      <c r="I79" s="43" t="s">
        <v>4549</v>
      </c>
    </row>
    <row r="80" ht="15.0" customHeight="1">
      <c r="A80" s="77" t="s">
        <v>2497</v>
      </c>
      <c r="B80" s="38" t="s">
        <v>4648</v>
      </c>
      <c r="C80" s="38" t="s">
        <v>4487</v>
      </c>
      <c r="D80" s="38"/>
      <c r="E80" s="38"/>
      <c r="F80" s="38"/>
      <c r="G80" s="38"/>
      <c r="H80" s="43" t="s">
        <v>4650</v>
      </c>
      <c r="I80" s="43" t="s">
        <v>4514</v>
      </c>
    </row>
    <row r="81" ht="15.0" customHeight="1">
      <c r="A81" s="77" t="s">
        <v>572</v>
      </c>
      <c r="B81" s="38" t="s">
        <v>4651</v>
      </c>
      <c r="C81" s="38"/>
      <c r="D81" s="38"/>
      <c r="E81" s="38"/>
      <c r="F81" s="38"/>
      <c r="G81" s="38"/>
      <c r="H81" s="43" t="s">
        <v>4628</v>
      </c>
      <c r="I81" s="43" t="s">
        <v>4465</v>
      </c>
    </row>
    <row r="82" ht="15.0" customHeight="1">
      <c r="A82" s="77" t="s">
        <v>266</v>
      </c>
      <c r="B82" s="38" t="s">
        <v>4620</v>
      </c>
      <c r="C82" s="38" t="s">
        <v>4621</v>
      </c>
      <c r="D82" s="38" t="s">
        <v>4622</v>
      </c>
      <c r="E82" s="38" t="s">
        <v>4623</v>
      </c>
      <c r="F82" s="38" t="s">
        <v>4624</v>
      </c>
      <c r="G82" s="38" t="s">
        <v>4625</v>
      </c>
      <c r="H82" s="43" t="s">
        <v>322</v>
      </c>
      <c r="I82" s="43" t="s">
        <v>4549</v>
      </c>
    </row>
    <row r="83" ht="15.0" customHeight="1">
      <c r="A83" s="77" t="s">
        <v>577</v>
      </c>
      <c r="B83" s="38" t="s">
        <v>4470</v>
      </c>
      <c r="C83" s="38" t="s">
        <v>4559</v>
      </c>
      <c r="D83" s="38"/>
      <c r="E83" s="38"/>
      <c r="F83" s="38"/>
      <c r="G83" s="38"/>
      <c r="H83" s="43" t="s">
        <v>4464</v>
      </c>
      <c r="I83" s="43" t="s">
        <v>4465</v>
      </c>
    </row>
    <row r="84" ht="15.0" customHeight="1">
      <c r="A84" s="77" t="s">
        <v>1700</v>
      </c>
      <c r="B84" s="38" t="s">
        <v>4654</v>
      </c>
      <c r="C84" s="38"/>
      <c r="D84" s="38"/>
      <c r="E84" s="38"/>
      <c r="F84" s="38"/>
      <c r="G84" s="38"/>
      <c r="H84" s="43" t="s">
        <v>4464</v>
      </c>
      <c r="I84" s="43" t="s">
        <v>4485</v>
      </c>
    </row>
    <row r="85" ht="15.0" customHeight="1">
      <c r="A85" s="77" t="s">
        <v>4655</v>
      </c>
      <c r="B85" s="38" t="s">
        <v>4656</v>
      </c>
      <c r="C85" s="38"/>
      <c r="D85" s="38"/>
      <c r="E85" s="38"/>
      <c r="F85" s="38"/>
      <c r="G85" s="38"/>
      <c r="H85" s="43" t="s">
        <v>4609</v>
      </c>
      <c r="I85" s="43" t="s">
        <v>4611</v>
      </c>
    </row>
    <row r="86" ht="15.0" customHeight="1">
      <c r="A86" s="77" t="s">
        <v>592</v>
      </c>
      <c r="B86" s="38" t="s">
        <v>4656</v>
      </c>
      <c r="C86" s="38"/>
      <c r="D86" s="38"/>
      <c r="E86" s="38"/>
      <c r="F86" s="38"/>
      <c r="G86" s="38"/>
      <c r="H86" s="43" t="s">
        <v>4464</v>
      </c>
      <c r="I86" s="43" t="s">
        <v>4465</v>
      </c>
    </row>
    <row r="87" ht="15.0" customHeight="1">
      <c r="A87" s="76" t="s">
        <v>4659</v>
      </c>
      <c r="B87" s="43" t="s">
        <v>4660</v>
      </c>
      <c r="C87" s="43" t="s">
        <v>4612</v>
      </c>
      <c r="D87" s="43" t="s">
        <v>4654</v>
      </c>
      <c r="E87" s="43" t="s">
        <v>4661</v>
      </c>
      <c r="F87" s="38"/>
      <c r="G87" s="38"/>
      <c r="H87" s="43" t="s">
        <v>4609</v>
      </c>
      <c r="I87" s="43" t="s">
        <v>4611</v>
      </c>
    </row>
    <row r="88" ht="15.0" customHeight="1">
      <c r="A88" s="77" t="s">
        <v>613</v>
      </c>
      <c r="B88" s="38" t="s">
        <v>4487</v>
      </c>
      <c r="C88" s="38" t="s">
        <v>4663</v>
      </c>
      <c r="D88" s="38" t="s">
        <v>4664</v>
      </c>
      <c r="E88" s="38" t="s">
        <v>4665</v>
      </c>
      <c r="F88" s="38"/>
      <c r="G88" s="38"/>
      <c r="H88" s="43" t="s">
        <v>4491</v>
      </c>
      <c r="I88" s="43" t="s">
        <v>4465</v>
      </c>
    </row>
    <row r="89" ht="15.0" customHeight="1">
      <c r="A89" s="77" t="s">
        <v>626</v>
      </c>
      <c r="B89" s="38" t="s">
        <v>4487</v>
      </c>
      <c r="C89" s="38" t="s">
        <v>4667</v>
      </c>
      <c r="D89" s="38" t="s">
        <v>4664</v>
      </c>
      <c r="E89" s="38" t="s">
        <v>4668</v>
      </c>
      <c r="F89" s="38"/>
      <c r="G89" s="38"/>
      <c r="H89" s="43" t="s">
        <v>4491</v>
      </c>
      <c r="I89" s="43" t="s">
        <v>4465</v>
      </c>
    </row>
    <row r="90" ht="15.0" customHeight="1">
      <c r="A90" s="77" t="s">
        <v>631</v>
      </c>
      <c r="B90" s="38" t="s">
        <v>4670</v>
      </c>
      <c r="C90" s="38"/>
      <c r="D90" s="38"/>
      <c r="E90" s="38"/>
      <c r="F90" s="38"/>
      <c r="G90" s="38"/>
      <c r="H90" s="43" t="s">
        <v>4464</v>
      </c>
      <c r="I90" s="43" t="s">
        <v>4465</v>
      </c>
    </row>
    <row r="91" ht="15.0" customHeight="1">
      <c r="A91" s="77" t="s">
        <v>638</v>
      </c>
      <c r="B91" s="38" t="s">
        <v>4671</v>
      </c>
      <c r="C91" s="38"/>
      <c r="D91" s="38"/>
      <c r="E91" s="38"/>
      <c r="F91" s="38"/>
      <c r="G91" s="38"/>
      <c r="H91" s="43" t="s">
        <v>4464</v>
      </c>
      <c r="I91" s="43" t="s">
        <v>4465</v>
      </c>
    </row>
    <row r="92" ht="15.0" customHeight="1">
      <c r="A92" s="77" t="s">
        <v>642</v>
      </c>
      <c r="B92" s="38" t="s">
        <v>4673</v>
      </c>
      <c r="C92" s="38"/>
      <c r="D92" s="38"/>
      <c r="E92" s="38"/>
      <c r="F92" s="38"/>
      <c r="G92" s="38"/>
      <c r="H92" s="43" t="s">
        <v>4464</v>
      </c>
      <c r="I92" s="43" t="s">
        <v>4465</v>
      </c>
    </row>
    <row r="93" ht="15.0" customHeight="1">
      <c r="A93" s="77" t="s">
        <v>647</v>
      </c>
      <c r="B93" s="38" t="s">
        <v>4670</v>
      </c>
      <c r="C93" s="38"/>
      <c r="D93" s="38"/>
      <c r="E93" s="38"/>
      <c r="F93" s="38"/>
      <c r="G93" s="38"/>
      <c r="H93" s="43" t="s">
        <v>4464</v>
      </c>
      <c r="I93" s="43" t="s">
        <v>4465</v>
      </c>
    </row>
    <row r="94" ht="15.0" customHeight="1">
      <c r="A94" s="76" t="s">
        <v>3429</v>
      </c>
      <c r="B94" s="38" t="s">
        <v>4674</v>
      </c>
      <c r="C94" s="38"/>
      <c r="D94" s="38"/>
      <c r="E94" s="38"/>
      <c r="F94" s="38"/>
      <c r="G94" s="38"/>
      <c r="H94" s="43" t="s">
        <v>4464</v>
      </c>
      <c r="I94" s="43" t="s">
        <v>4473</v>
      </c>
    </row>
    <row r="95" ht="15.0" customHeight="1">
      <c r="A95" s="77" t="s">
        <v>3752</v>
      </c>
      <c r="B95" s="38" t="s">
        <v>4675</v>
      </c>
      <c r="C95" s="38"/>
      <c r="D95" s="38"/>
      <c r="E95" s="38"/>
      <c r="F95" s="38"/>
      <c r="G95" s="38"/>
      <c r="H95" s="43" t="s">
        <v>4464</v>
      </c>
      <c r="I95" s="43" t="s">
        <v>4477</v>
      </c>
    </row>
    <row r="96" ht="15.0" customHeight="1">
      <c r="A96" s="77" t="s">
        <v>271</v>
      </c>
      <c r="B96" s="38" t="s">
        <v>4676</v>
      </c>
      <c r="C96" s="38" t="s">
        <v>4523</v>
      </c>
      <c r="D96" s="38"/>
      <c r="E96" s="38"/>
      <c r="F96" s="38"/>
      <c r="G96" s="38"/>
      <c r="H96" s="43" t="s">
        <v>4464</v>
      </c>
      <c r="I96" s="43" t="s">
        <v>4549</v>
      </c>
    </row>
    <row r="97" ht="15.0" customHeight="1">
      <c r="A97" s="77" t="s">
        <v>2175</v>
      </c>
      <c r="B97" s="38" t="s">
        <v>4678</v>
      </c>
      <c r="C97" s="38"/>
      <c r="D97" s="38"/>
      <c r="E97" s="38"/>
      <c r="F97" s="38"/>
      <c r="G97" s="38"/>
      <c r="H97" s="43" t="s">
        <v>4464</v>
      </c>
      <c r="I97" s="43" t="s">
        <v>4479</v>
      </c>
    </row>
    <row r="98" ht="15.0" customHeight="1">
      <c r="A98" s="77" t="s">
        <v>406</v>
      </c>
      <c r="B98" s="38" t="s">
        <v>4676</v>
      </c>
      <c r="C98" s="38" t="s">
        <v>4559</v>
      </c>
      <c r="D98" s="38"/>
      <c r="E98" s="38"/>
      <c r="F98" s="38"/>
      <c r="G98" s="38"/>
      <c r="H98" s="43" t="s">
        <v>4464</v>
      </c>
      <c r="I98" s="43" t="s">
        <v>4500</v>
      </c>
    </row>
    <row r="99" ht="15.0" customHeight="1">
      <c r="A99" s="77" t="s">
        <v>4233</v>
      </c>
      <c r="B99" s="38" t="s">
        <v>4680</v>
      </c>
      <c r="C99" s="38"/>
      <c r="D99" s="38"/>
      <c r="E99" s="38"/>
      <c r="F99" s="38"/>
      <c r="G99" s="38"/>
      <c r="H99" s="43" t="s">
        <v>4464</v>
      </c>
      <c r="I99" s="43" t="s">
        <v>4482</v>
      </c>
    </row>
    <row r="100" ht="15.0" customHeight="1">
      <c r="A100" s="77" t="s">
        <v>1709</v>
      </c>
      <c r="B100" s="38" t="s">
        <v>4682</v>
      </c>
      <c r="C100" s="38"/>
      <c r="D100" s="38"/>
      <c r="E100" s="38"/>
      <c r="F100" s="38"/>
      <c r="G100" s="38"/>
      <c r="H100" s="43" t="s">
        <v>4464</v>
      </c>
      <c r="I100" s="43" t="s">
        <v>4485</v>
      </c>
    </row>
    <row r="101" ht="15.0" customHeight="1">
      <c r="A101" s="77" t="s">
        <v>414</v>
      </c>
      <c r="B101" s="38" t="s">
        <v>4571</v>
      </c>
      <c r="C101" s="38" t="s">
        <v>4466</v>
      </c>
      <c r="D101" s="38" t="s">
        <v>4684</v>
      </c>
      <c r="E101" s="38" t="s">
        <v>4498</v>
      </c>
      <c r="F101" s="38"/>
      <c r="G101" s="38"/>
      <c r="H101" s="43" t="s">
        <v>4572</v>
      </c>
      <c r="I101" s="43" t="s">
        <v>4500</v>
      </c>
    </row>
    <row r="102" ht="15.0" customHeight="1">
      <c r="A102" s="77" t="s">
        <v>677</v>
      </c>
      <c r="B102" s="38" t="s">
        <v>4685</v>
      </c>
      <c r="C102" s="38" t="s">
        <v>4686</v>
      </c>
      <c r="D102" s="38" t="s">
        <v>4566</v>
      </c>
      <c r="E102" s="38"/>
      <c r="F102" s="38"/>
      <c r="G102" s="38"/>
      <c r="H102" s="43" t="s">
        <v>4572</v>
      </c>
      <c r="I102" s="43" t="s">
        <v>4465</v>
      </c>
    </row>
    <row r="103" ht="15.0" customHeight="1">
      <c r="A103" s="77" t="s">
        <v>279</v>
      </c>
      <c r="B103" s="38" t="s">
        <v>4688</v>
      </c>
      <c r="C103" s="38"/>
      <c r="D103" s="38"/>
      <c r="E103" s="38"/>
      <c r="F103" s="38"/>
      <c r="G103" s="38"/>
      <c r="H103" s="43" t="s">
        <v>4572</v>
      </c>
      <c r="I103" s="43" t="s">
        <v>4549</v>
      </c>
    </row>
    <row r="104" ht="15.0" customHeight="1">
      <c r="A104" s="77" t="s">
        <v>2073</v>
      </c>
      <c r="B104" s="38" t="s">
        <v>4689</v>
      </c>
      <c r="C104" s="38" t="s">
        <v>4690</v>
      </c>
      <c r="D104" s="38"/>
      <c r="E104" s="38"/>
      <c r="F104" s="38"/>
      <c r="G104" s="38"/>
      <c r="H104" s="43" t="s">
        <v>4572</v>
      </c>
      <c r="I104" s="43" t="s">
        <v>4516</v>
      </c>
    </row>
    <row r="105" ht="15.0" customHeight="1">
      <c r="A105" s="77" t="s">
        <v>4134</v>
      </c>
      <c r="B105" s="38" t="s">
        <v>4571</v>
      </c>
      <c r="C105" s="38"/>
      <c r="D105" s="38"/>
      <c r="E105" s="38"/>
      <c r="F105" s="38"/>
      <c r="G105" s="38"/>
      <c r="H105" s="43" t="s">
        <v>4572</v>
      </c>
      <c r="I105" s="43" t="s">
        <v>4460</v>
      </c>
    </row>
    <row r="106" ht="15.0" customHeight="1">
      <c r="A106" s="77" t="s">
        <v>682</v>
      </c>
      <c r="B106" s="38" t="s">
        <v>4503</v>
      </c>
      <c r="C106" s="38" t="s">
        <v>4692</v>
      </c>
      <c r="D106" s="38"/>
      <c r="E106" s="38"/>
      <c r="F106" s="38"/>
      <c r="G106" s="38"/>
      <c r="H106" s="43" t="s">
        <v>4572</v>
      </c>
      <c r="I106" s="43" t="s">
        <v>4465</v>
      </c>
    </row>
    <row r="107" ht="15.0" customHeight="1">
      <c r="A107" s="77" t="s">
        <v>4234</v>
      </c>
      <c r="B107" s="38" t="s">
        <v>4693</v>
      </c>
      <c r="C107" s="38"/>
      <c r="D107" s="38"/>
      <c r="E107" s="38"/>
      <c r="F107" s="38"/>
      <c r="G107" s="38"/>
      <c r="H107" s="43" t="s">
        <v>4572</v>
      </c>
      <c r="I107" s="43" t="s">
        <v>4482</v>
      </c>
    </row>
    <row r="108" ht="15.0" customHeight="1">
      <c r="A108" s="77" t="s">
        <v>2502</v>
      </c>
      <c r="B108" s="38" t="s">
        <v>4692</v>
      </c>
      <c r="C108" s="38" t="s">
        <v>4487</v>
      </c>
      <c r="D108" s="38"/>
      <c r="E108" s="38"/>
      <c r="F108" s="38"/>
      <c r="G108" s="38"/>
      <c r="H108" s="43" t="s">
        <v>4572</v>
      </c>
      <c r="I108" s="43" t="s">
        <v>4514</v>
      </c>
    </row>
    <row r="109" ht="15.0" customHeight="1">
      <c r="A109" s="77" t="s">
        <v>685</v>
      </c>
      <c r="B109" s="38" t="s">
        <v>4688</v>
      </c>
      <c r="C109" s="38"/>
      <c r="D109" s="38"/>
      <c r="E109" s="38"/>
      <c r="F109" s="38"/>
      <c r="G109" s="38"/>
      <c r="H109" s="43" t="s">
        <v>4572</v>
      </c>
      <c r="I109" s="43" t="s">
        <v>4465</v>
      </c>
    </row>
    <row r="110" ht="15.0" customHeight="1">
      <c r="A110" s="77" t="s">
        <v>1711</v>
      </c>
      <c r="B110" s="38" t="s">
        <v>4689</v>
      </c>
      <c r="C110" s="38" t="s">
        <v>4696</v>
      </c>
      <c r="D110" s="38"/>
      <c r="E110" s="38"/>
      <c r="F110" s="38"/>
      <c r="G110" s="38"/>
      <c r="H110" s="43" t="s">
        <v>4572</v>
      </c>
      <c r="I110" s="43" t="s">
        <v>4485</v>
      </c>
    </row>
    <row r="111" ht="15.0" customHeight="1">
      <c r="A111" s="77" t="s">
        <v>289</v>
      </c>
      <c r="B111" s="38" t="s">
        <v>4698</v>
      </c>
      <c r="C111" s="38"/>
      <c r="D111" s="38"/>
      <c r="E111" s="38"/>
      <c r="F111" s="38"/>
      <c r="G111" s="38"/>
      <c r="H111" s="43" t="s">
        <v>4464</v>
      </c>
      <c r="I111" s="43" t="s">
        <v>4549</v>
      </c>
    </row>
    <row r="112" ht="15.0" customHeight="1">
      <c r="A112" s="77" t="s">
        <v>3754</v>
      </c>
      <c r="B112" s="38" t="s">
        <v>4700</v>
      </c>
      <c r="C112" s="38" t="s">
        <v>4701</v>
      </c>
      <c r="D112" s="38"/>
      <c r="E112" s="38"/>
      <c r="F112" s="38"/>
      <c r="G112" s="38"/>
      <c r="H112" s="43" t="s">
        <v>4464</v>
      </c>
      <c r="I112" s="41" t="s">
        <v>4477</v>
      </c>
    </row>
    <row r="113" ht="15.0" customHeight="1">
      <c r="A113" s="77" t="s">
        <v>3755</v>
      </c>
      <c r="B113" s="38" t="s">
        <v>4702</v>
      </c>
      <c r="C113" s="38" t="s">
        <v>4703</v>
      </c>
      <c r="D113" s="38"/>
      <c r="E113" s="38"/>
      <c r="F113" s="38"/>
      <c r="G113" s="38"/>
      <c r="H113" s="43" t="s">
        <v>4464</v>
      </c>
      <c r="I113" s="41" t="s">
        <v>4477</v>
      </c>
    </row>
    <row r="114" ht="15.0" customHeight="1">
      <c r="A114" s="77" t="s">
        <v>3757</v>
      </c>
      <c r="B114" s="38" t="s">
        <v>4704</v>
      </c>
      <c r="C114" s="38" t="s">
        <v>4705</v>
      </c>
      <c r="D114" s="38" t="s">
        <v>4707</v>
      </c>
      <c r="E114" s="38"/>
      <c r="F114" s="38"/>
      <c r="G114" s="38"/>
      <c r="H114" s="43" t="s">
        <v>4464</v>
      </c>
      <c r="I114" s="41" t="s">
        <v>4477</v>
      </c>
    </row>
    <row r="115" ht="15.0" customHeight="1">
      <c r="A115" s="77" t="s">
        <v>291</v>
      </c>
      <c r="B115" s="38" t="s">
        <v>4708</v>
      </c>
      <c r="C115" s="38"/>
      <c r="D115" s="38"/>
      <c r="E115" s="38"/>
      <c r="F115" s="38"/>
      <c r="G115" s="38"/>
      <c r="H115" s="43" t="s">
        <v>4464</v>
      </c>
      <c r="I115" s="43" t="s">
        <v>4549</v>
      </c>
    </row>
    <row r="116" ht="15.0" customHeight="1">
      <c r="A116" s="77" t="s">
        <v>1718</v>
      </c>
      <c r="B116" s="38" t="s">
        <v>4612</v>
      </c>
      <c r="C116" s="38"/>
      <c r="D116" s="38"/>
      <c r="E116" s="38"/>
      <c r="F116" s="38"/>
      <c r="G116" s="38"/>
      <c r="H116" s="43" t="s">
        <v>4464</v>
      </c>
      <c r="I116" s="43" t="s">
        <v>4485</v>
      </c>
    </row>
    <row r="117" ht="15.0" customHeight="1">
      <c r="A117" s="77" t="s">
        <v>688</v>
      </c>
      <c r="B117" s="38" t="s">
        <v>4466</v>
      </c>
      <c r="C117" s="38" t="s">
        <v>4710</v>
      </c>
      <c r="D117" s="38"/>
      <c r="E117" s="38"/>
      <c r="F117" s="38"/>
      <c r="G117" s="38"/>
      <c r="H117" s="43" t="s">
        <v>4464</v>
      </c>
      <c r="I117" s="43" t="s">
        <v>4465</v>
      </c>
    </row>
    <row r="118" ht="15.0" customHeight="1">
      <c r="A118" s="77" t="s">
        <v>435</v>
      </c>
      <c r="B118" s="38" t="s">
        <v>4557</v>
      </c>
      <c r="C118" s="38"/>
      <c r="D118" s="38"/>
      <c r="E118" s="38"/>
      <c r="F118" s="38"/>
      <c r="G118" s="38"/>
      <c r="H118" s="43" t="s">
        <v>4464</v>
      </c>
      <c r="I118" s="43" t="s">
        <v>4500</v>
      </c>
    </row>
    <row r="119" ht="15.0" customHeight="1">
      <c r="A119" s="77" t="s">
        <v>1723</v>
      </c>
      <c r="B119" s="38" t="s">
        <v>4714</v>
      </c>
      <c r="C119" s="38"/>
      <c r="D119" s="38"/>
      <c r="E119" s="38"/>
      <c r="F119" s="38"/>
      <c r="G119" s="38"/>
      <c r="H119" s="43" t="s">
        <v>4464</v>
      </c>
      <c r="I119" s="43" t="s">
        <v>4485</v>
      </c>
    </row>
    <row r="120" ht="15.0" customHeight="1">
      <c r="A120" s="77" t="s">
        <v>712</v>
      </c>
      <c r="B120" s="38" t="s">
        <v>4715</v>
      </c>
      <c r="C120" s="38"/>
      <c r="D120" s="38"/>
      <c r="E120" s="38"/>
      <c r="F120" s="38"/>
      <c r="G120" s="38"/>
      <c r="H120" s="43" t="s">
        <v>4464</v>
      </c>
      <c r="I120" s="43" t="s">
        <v>4465</v>
      </c>
    </row>
    <row r="121" ht="15.0" customHeight="1">
      <c r="A121" s="77" t="s">
        <v>448</v>
      </c>
      <c r="B121" s="38" t="s">
        <v>4716</v>
      </c>
      <c r="C121" s="38"/>
      <c r="D121" s="38"/>
      <c r="E121" s="38"/>
      <c r="F121" s="38"/>
      <c r="G121" s="38"/>
      <c r="H121" s="43" t="s">
        <v>4464</v>
      </c>
      <c r="I121" s="43" t="s">
        <v>4500</v>
      </c>
    </row>
    <row r="122" ht="15.0" customHeight="1">
      <c r="A122" s="77" t="s">
        <v>294</v>
      </c>
      <c r="B122" s="38" t="s">
        <v>4716</v>
      </c>
      <c r="C122" s="38" t="s">
        <v>4717</v>
      </c>
      <c r="D122" s="38"/>
      <c r="E122" s="38"/>
      <c r="F122" s="38"/>
      <c r="G122" s="38"/>
      <c r="H122" s="43" t="s">
        <v>4464</v>
      </c>
      <c r="I122" s="43" t="s">
        <v>4549</v>
      </c>
    </row>
    <row r="123" ht="15.0" customHeight="1">
      <c r="A123" s="77" t="s">
        <v>2078</v>
      </c>
      <c r="B123" s="38" t="s">
        <v>4506</v>
      </c>
      <c r="C123" s="38" t="s">
        <v>4719</v>
      </c>
      <c r="D123" s="38"/>
      <c r="E123" s="38"/>
      <c r="F123" s="38"/>
      <c r="G123" s="38"/>
      <c r="H123" s="43" t="s">
        <v>4464</v>
      </c>
      <c r="I123" s="41" t="s">
        <v>4516</v>
      </c>
    </row>
    <row r="124" ht="15.0" customHeight="1">
      <c r="A124" s="77" t="s">
        <v>3765</v>
      </c>
      <c r="B124" s="38" t="s">
        <v>4720</v>
      </c>
      <c r="C124" s="38" t="s">
        <v>4721</v>
      </c>
      <c r="D124" s="38" t="s">
        <v>4722</v>
      </c>
      <c r="E124" s="38"/>
      <c r="F124" s="38"/>
      <c r="G124" s="38"/>
      <c r="H124" s="43" t="s">
        <v>4464</v>
      </c>
      <c r="I124" s="41" t="s">
        <v>4477</v>
      </c>
    </row>
    <row r="125" ht="15.0" customHeight="1">
      <c r="A125" s="77" t="s">
        <v>297</v>
      </c>
      <c r="B125" s="43" t="s">
        <v>4724</v>
      </c>
      <c r="C125" s="43" t="s">
        <v>4725</v>
      </c>
      <c r="D125" s="43" t="s">
        <v>4726</v>
      </c>
      <c r="E125" s="38"/>
      <c r="F125" s="38"/>
      <c r="G125" s="38"/>
      <c r="H125" s="43" t="s">
        <v>4464</v>
      </c>
      <c r="I125" s="43" t="s">
        <v>4549</v>
      </c>
    </row>
    <row r="126" ht="15.0" customHeight="1">
      <c r="A126" s="77" t="s">
        <v>3766</v>
      </c>
      <c r="B126" s="43" t="s">
        <v>4727</v>
      </c>
      <c r="C126" s="43" t="s">
        <v>4728</v>
      </c>
      <c r="D126" s="38"/>
      <c r="E126" s="38"/>
      <c r="F126" s="38"/>
      <c r="G126" s="38"/>
      <c r="H126" s="43" t="s">
        <v>4464</v>
      </c>
      <c r="I126" s="41" t="s">
        <v>4477</v>
      </c>
    </row>
    <row r="127" ht="15.0" customHeight="1">
      <c r="A127" s="77" t="s">
        <v>299</v>
      </c>
      <c r="B127" s="43" t="s">
        <v>4730</v>
      </c>
      <c r="C127" s="38"/>
      <c r="D127" s="38"/>
      <c r="E127" s="38"/>
      <c r="F127" s="38"/>
      <c r="G127" s="38"/>
      <c r="H127" s="43" t="s">
        <v>4464</v>
      </c>
      <c r="I127" s="43" t="s">
        <v>4549</v>
      </c>
    </row>
    <row r="128" ht="15.0" customHeight="1">
      <c r="A128" s="77" t="s">
        <v>3768</v>
      </c>
      <c r="B128" s="43" t="s">
        <v>4731</v>
      </c>
      <c r="C128" s="43" t="s">
        <v>4732</v>
      </c>
      <c r="D128" s="38"/>
      <c r="E128" s="38"/>
      <c r="F128" s="38"/>
      <c r="G128" s="38"/>
      <c r="H128" s="43" t="s">
        <v>4464</v>
      </c>
      <c r="I128" s="41" t="s">
        <v>4477</v>
      </c>
    </row>
    <row r="129" ht="15.0" customHeight="1">
      <c r="A129" s="77" t="s">
        <v>303</v>
      </c>
      <c r="B129" s="43" t="s">
        <v>4731</v>
      </c>
      <c r="C129" s="43" t="s">
        <v>4732</v>
      </c>
      <c r="D129" s="43" t="s">
        <v>4734</v>
      </c>
      <c r="E129" s="38"/>
      <c r="F129" s="38"/>
      <c r="G129" s="38"/>
      <c r="H129" s="43" t="s">
        <v>4464</v>
      </c>
      <c r="I129" s="43" t="s">
        <v>4549</v>
      </c>
    </row>
    <row r="130" ht="15.0" customHeight="1">
      <c r="A130" s="77" t="s">
        <v>2429</v>
      </c>
      <c r="B130" s="38" t="s">
        <v>4601</v>
      </c>
      <c r="C130" s="38"/>
      <c r="D130" s="38"/>
      <c r="E130" s="38"/>
      <c r="F130" s="38"/>
      <c r="G130" s="38"/>
      <c r="H130" s="43" t="s">
        <v>4533</v>
      </c>
      <c r="I130" s="41" t="s">
        <v>4534</v>
      </c>
    </row>
    <row r="131" ht="15.0" customHeight="1">
      <c r="A131" s="77" t="s">
        <v>3769</v>
      </c>
      <c r="B131" s="38" t="s">
        <v>4736</v>
      </c>
      <c r="C131" s="38" t="s">
        <v>4737</v>
      </c>
      <c r="D131" s="38" t="s">
        <v>4738</v>
      </c>
      <c r="E131" s="38"/>
      <c r="F131" s="38"/>
      <c r="G131" s="38"/>
      <c r="H131" s="43" t="s">
        <v>4464</v>
      </c>
      <c r="I131" s="43" t="s">
        <v>4477</v>
      </c>
    </row>
    <row r="132" ht="15.0" customHeight="1">
      <c r="A132" s="77" t="s">
        <v>742</v>
      </c>
      <c r="B132" s="38" t="s">
        <v>4739</v>
      </c>
      <c r="C132" s="38" t="s">
        <v>4463</v>
      </c>
      <c r="D132" s="38"/>
      <c r="E132" s="38"/>
      <c r="F132" s="38"/>
      <c r="G132" s="38"/>
      <c r="H132" s="43" t="s">
        <v>4464</v>
      </c>
      <c r="I132" s="43" t="s">
        <v>4465</v>
      </c>
    </row>
    <row r="133" ht="15.0" customHeight="1">
      <c r="A133" s="77" t="s">
        <v>2529</v>
      </c>
      <c r="B133" s="43" t="s">
        <v>4740</v>
      </c>
      <c r="C133" s="43" t="s">
        <v>4741</v>
      </c>
      <c r="D133" s="38"/>
      <c r="E133" s="38"/>
      <c r="F133" s="38"/>
      <c r="G133" s="38"/>
      <c r="H133" s="43" t="s">
        <v>4491</v>
      </c>
      <c r="I133" s="43" t="s">
        <v>4514</v>
      </c>
    </row>
    <row r="134" ht="15.0" customHeight="1">
      <c r="A134" s="77" t="s">
        <v>342</v>
      </c>
      <c r="B134" s="38" t="s">
        <v>4742</v>
      </c>
      <c r="C134" s="38" t="s">
        <v>4738</v>
      </c>
      <c r="D134" s="38" t="s">
        <v>4743</v>
      </c>
      <c r="E134" s="38"/>
      <c r="F134" s="38"/>
      <c r="G134" s="38"/>
      <c r="H134" s="43" t="s">
        <v>4464</v>
      </c>
      <c r="I134" s="43" t="s">
        <v>4549</v>
      </c>
    </row>
    <row r="135" ht="15.0" customHeight="1">
      <c r="A135" s="77" t="s">
        <v>2431</v>
      </c>
      <c r="B135" s="38" t="s">
        <v>4745</v>
      </c>
      <c r="C135" s="38"/>
      <c r="D135" s="38"/>
      <c r="E135" s="38"/>
      <c r="F135" s="38"/>
      <c r="G135" s="38"/>
      <c r="H135" s="43" t="s">
        <v>4533</v>
      </c>
      <c r="I135" s="43" t="s">
        <v>4534</v>
      </c>
    </row>
    <row r="136" ht="15.0" customHeight="1">
      <c r="A136" s="77" t="s">
        <v>756</v>
      </c>
      <c r="B136" s="43" t="s">
        <v>4748</v>
      </c>
      <c r="C136" s="43" t="s">
        <v>4749</v>
      </c>
      <c r="D136" s="38"/>
      <c r="E136" s="38"/>
      <c r="F136" s="38"/>
      <c r="G136" s="38"/>
      <c r="H136" s="43" t="s">
        <v>4491</v>
      </c>
      <c r="I136" s="43" t="s">
        <v>4465</v>
      </c>
    </row>
    <row r="137" ht="15.0" customHeight="1">
      <c r="A137" s="77" t="s">
        <v>344</v>
      </c>
      <c r="B137" s="38" t="s">
        <v>4495</v>
      </c>
      <c r="C137" s="38"/>
      <c r="D137" s="38"/>
      <c r="E137" s="38"/>
      <c r="F137" s="38"/>
      <c r="G137" s="38"/>
      <c r="H137" s="43" t="s">
        <v>4464</v>
      </c>
      <c r="I137" s="43" t="s">
        <v>4549</v>
      </c>
    </row>
    <row r="138" ht="15.0" customHeight="1">
      <c r="A138" s="77" t="s">
        <v>760</v>
      </c>
      <c r="B138" s="43" t="s">
        <v>4751</v>
      </c>
      <c r="C138" s="43" t="s">
        <v>4752</v>
      </c>
      <c r="D138" s="38"/>
      <c r="E138" s="38"/>
      <c r="F138" s="38"/>
      <c r="G138" s="38"/>
      <c r="H138" s="43" t="s">
        <v>4491</v>
      </c>
      <c r="I138" s="43" t="s">
        <v>4465</v>
      </c>
    </row>
    <row r="139" ht="15.0" customHeight="1">
      <c r="A139" s="77" t="s">
        <v>3772</v>
      </c>
      <c r="B139" s="38" t="s">
        <v>4753</v>
      </c>
      <c r="C139" s="38" t="s">
        <v>4754</v>
      </c>
      <c r="D139" s="38" t="s">
        <v>4755</v>
      </c>
      <c r="E139" s="38"/>
      <c r="F139" s="38"/>
      <c r="G139" s="38"/>
      <c r="H139" s="43" t="s">
        <v>4464</v>
      </c>
      <c r="I139" s="43" t="s">
        <v>4477</v>
      </c>
    </row>
    <row r="140" ht="15.0" customHeight="1">
      <c r="A140" s="77" t="s">
        <v>3773</v>
      </c>
      <c r="B140" s="43" t="s">
        <v>4756</v>
      </c>
      <c r="C140" s="43" t="s">
        <v>4757</v>
      </c>
      <c r="D140" s="38"/>
      <c r="E140" s="38"/>
      <c r="F140" s="38"/>
      <c r="G140" s="38"/>
      <c r="H140" s="43" t="s">
        <v>4464</v>
      </c>
      <c r="I140" s="43" t="s">
        <v>4477</v>
      </c>
    </row>
    <row r="141" ht="15.0" customHeight="1">
      <c r="A141" s="77" t="s">
        <v>526</v>
      </c>
      <c r="B141" s="38" t="s">
        <v>4466</v>
      </c>
      <c r="C141" s="38" t="s">
        <v>4512</v>
      </c>
      <c r="D141" s="38"/>
      <c r="E141" s="38"/>
      <c r="F141" s="38"/>
      <c r="G141" s="38"/>
      <c r="H141" s="43" t="s">
        <v>4464</v>
      </c>
      <c r="I141" s="43" t="s">
        <v>4500</v>
      </c>
    </row>
    <row r="142" ht="15.0" customHeight="1">
      <c r="A142" s="77" t="s">
        <v>2179</v>
      </c>
      <c r="B142" s="38" t="s">
        <v>4761</v>
      </c>
      <c r="C142" s="38"/>
      <c r="D142" s="38"/>
      <c r="E142" s="38"/>
      <c r="F142" s="38"/>
      <c r="G142" s="38"/>
      <c r="H142" s="43" t="s">
        <v>4464</v>
      </c>
      <c r="I142" s="43" t="s">
        <v>4479</v>
      </c>
    </row>
    <row r="143" ht="15.0" customHeight="1">
      <c r="A143" s="77" t="s">
        <v>3779</v>
      </c>
      <c r="B143" s="43" t="s">
        <v>4763</v>
      </c>
      <c r="C143" s="38"/>
      <c r="D143" s="38"/>
      <c r="E143" s="38"/>
      <c r="F143" s="38"/>
      <c r="G143" s="38"/>
      <c r="H143" s="43" t="s">
        <v>4464</v>
      </c>
      <c r="I143" s="41" t="s">
        <v>4477</v>
      </c>
    </row>
    <row r="144" ht="15.0" customHeight="1">
      <c r="A144" s="77" t="s">
        <v>3780</v>
      </c>
      <c r="B144" s="43" t="s">
        <v>4765</v>
      </c>
      <c r="C144" s="38"/>
      <c r="D144" s="38"/>
      <c r="E144" s="38"/>
      <c r="F144" s="38"/>
      <c r="G144" s="38"/>
      <c r="H144" s="43" t="s">
        <v>4464</v>
      </c>
      <c r="I144" s="41" t="s">
        <v>4477</v>
      </c>
    </row>
    <row r="145" ht="15.0" customHeight="1">
      <c r="A145" s="77" t="s">
        <v>396</v>
      </c>
      <c r="B145" s="43" t="s">
        <v>4766</v>
      </c>
      <c r="C145" s="38"/>
      <c r="D145" s="38"/>
      <c r="E145" s="38"/>
      <c r="F145" s="38"/>
      <c r="G145" s="38"/>
      <c r="H145" s="43" t="s">
        <v>4464</v>
      </c>
      <c r="I145" s="43" t="s">
        <v>4549</v>
      </c>
    </row>
    <row r="146" ht="15.0" customHeight="1">
      <c r="A146" s="77" t="s">
        <v>400</v>
      </c>
      <c r="B146" s="43" t="s">
        <v>4703</v>
      </c>
      <c r="C146" s="43" t="s">
        <v>4768</v>
      </c>
      <c r="D146" s="38"/>
      <c r="E146" s="38"/>
      <c r="F146" s="38"/>
      <c r="G146" s="38"/>
      <c r="H146" s="43" t="s">
        <v>4464</v>
      </c>
      <c r="I146" s="43" t="s">
        <v>4549</v>
      </c>
    </row>
    <row r="147" ht="15.0" customHeight="1">
      <c r="A147" s="77" t="s">
        <v>3782</v>
      </c>
      <c r="B147" s="43" t="s">
        <v>4769</v>
      </c>
      <c r="C147" s="38"/>
      <c r="D147" s="38"/>
      <c r="E147" s="38"/>
      <c r="F147" s="38"/>
      <c r="G147" s="38"/>
      <c r="H147" s="43" t="s">
        <v>4464</v>
      </c>
      <c r="I147" s="41" t="s">
        <v>4477</v>
      </c>
    </row>
    <row r="148" ht="15.0" customHeight="1">
      <c r="A148" s="77" t="s">
        <v>402</v>
      </c>
      <c r="B148" s="43" t="s">
        <v>4770</v>
      </c>
      <c r="C148" s="38"/>
      <c r="D148" s="38"/>
      <c r="E148" s="38"/>
      <c r="F148" s="38"/>
      <c r="G148" s="38"/>
      <c r="H148" s="43" t="s">
        <v>4464</v>
      </c>
      <c r="I148" s="43" t="s">
        <v>4549</v>
      </c>
    </row>
    <row r="149" ht="15.0" customHeight="1">
      <c r="A149" s="77" t="s">
        <v>1740</v>
      </c>
      <c r="B149" s="38" t="s">
        <v>4660</v>
      </c>
      <c r="C149" s="38"/>
      <c r="D149" s="38"/>
      <c r="E149" s="38"/>
      <c r="F149" s="38"/>
      <c r="G149" s="38"/>
      <c r="H149" s="43" t="s">
        <v>4464</v>
      </c>
      <c r="I149" s="41" t="s">
        <v>4485</v>
      </c>
    </row>
    <row r="150" ht="15.0" customHeight="1">
      <c r="A150" s="77" t="s">
        <v>584</v>
      </c>
      <c r="B150" s="43" t="s">
        <v>4772</v>
      </c>
      <c r="C150" s="38"/>
      <c r="D150" s="38"/>
      <c r="E150" s="38"/>
      <c r="F150" s="38"/>
      <c r="G150" s="38"/>
      <c r="H150" s="43" t="s">
        <v>4464</v>
      </c>
      <c r="I150" s="43" t="s">
        <v>4500</v>
      </c>
    </row>
    <row r="151" ht="15.0" customHeight="1">
      <c r="A151" s="77" t="s">
        <v>404</v>
      </c>
      <c r="B151" s="38" t="s">
        <v>4462</v>
      </c>
      <c r="C151" s="38"/>
      <c r="D151" s="38"/>
      <c r="E151" s="38"/>
      <c r="F151" s="38"/>
      <c r="G151" s="38"/>
      <c r="H151" s="43" t="s">
        <v>4464</v>
      </c>
      <c r="I151" s="43" t="s">
        <v>4549</v>
      </c>
    </row>
    <row r="152" ht="15.0" customHeight="1">
      <c r="A152" s="77" t="s">
        <v>858</v>
      </c>
      <c r="B152" s="43" t="s">
        <v>4521</v>
      </c>
      <c r="C152" s="43" t="s">
        <v>4773</v>
      </c>
      <c r="D152" s="43" t="s">
        <v>4684</v>
      </c>
      <c r="E152" s="38"/>
      <c r="F152" s="38"/>
      <c r="G152" s="38"/>
      <c r="H152" s="43" t="s">
        <v>4464</v>
      </c>
      <c r="I152" s="43" t="s">
        <v>4465</v>
      </c>
    </row>
    <row r="153" ht="15.0" customHeight="1">
      <c r="A153" s="77" t="s">
        <v>888</v>
      </c>
      <c r="B153" s="38" t="s">
        <v>4774</v>
      </c>
      <c r="C153" s="38" t="s">
        <v>4462</v>
      </c>
      <c r="D153" s="38"/>
      <c r="E153" s="38"/>
      <c r="F153" s="38"/>
      <c r="G153" s="38"/>
      <c r="H153" s="43" t="s">
        <v>4533</v>
      </c>
      <c r="I153" s="43" t="s">
        <v>4465</v>
      </c>
    </row>
    <row r="154" ht="15.0" customHeight="1">
      <c r="A154" s="77" t="s">
        <v>940</v>
      </c>
      <c r="B154" s="43" t="s">
        <v>4507</v>
      </c>
      <c r="C154" s="43" t="s">
        <v>4696</v>
      </c>
      <c r="D154" s="43" t="s">
        <v>4570</v>
      </c>
      <c r="E154" s="43" t="s">
        <v>4463</v>
      </c>
      <c r="F154" s="43" t="s">
        <v>4776</v>
      </c>
      <c r="G154" s="38"/>
      <c r="H154" s="43" t="s">
        <v>4464</v>
      </c>
      <c r="I154" s="43" t="s">
        <v>4465</v>
      </c>
    </row>
    <row r="155" ht="15.0" customHeight="1">
      <c r="A155" s="77" t="s">
        <v>616</v>
      </c>
      <c r="B155" s="43" t="s">
        <v>4777</v>
      </c>
      <c r="C155" s="38"/>
      <c r="D155" s="38"/>
      <c r="E155" s="38"/>
      <c r="F155" s="38"/>
      <c r="G155" s="38"/>
      <c r="H155" s="43" t="s">
        <v>4464</v>
      </c>
      <c r="I155" s="43" t="s">
        <v>4500</v>
      </c>
    </row>
    <row r="156" ht="15.0" customHeight="1">
      <c r="A156" s="77" t="s">
        <v>951</v>
      </c>
      <c r="B156" s="43" t="s">
        <v>4580</v>
      </c>
      <c r="C156" s="43" t="s">
        <v>4780</v>
      </c>
      <c r="D156" s="38"/>
      <c r="E156" s="38"/>
      <c r="F156" s="38"/>
      <c r="G156" s="38"/>
      <c r="H156" s="43" t="s">
        <v>4464</v>
      </c>
      <c r="I156" s="43" t="s">
        <v>4465</v>
      </c>
    </row>
    <row r="157" ht="15.0" customHeight="1">
      <c r="A157" s="77" t="s">
        <v>974</v>
      </c>
      <c r="B157" s="38" t="s">
        <v>4773</v>
      </c>
      <c r="C157" s="38" t="s">
        <v>4559</v>
      </c>
      <c r="D157" s="38"/>
      <c r="E157" s="38"/>
      <c r="F157" s="38"/>
      <c r="G157" s="38"/>
      <c r="H157" s="43" t="s">
        <v>4533</v>
      </c>
      <c r="I157" s="43" t="s">
        <v>4465</v>
      </c>
    </row>
    <row r="158" ht="15.0" customHeight="1">
      <c r="A158" s="77" t="s">
        <v>3459</v>
      </c>
      <c r="B158" s="43" t="s">
        <v>4781</v>
      </c>
      <c r="C158" s="38"/>
      <c r="D158" s="38"/>
      <c r="E158" s="38"/>
      <c r="F158" s="38"/>
      <c r="G158" s="38"/>
      <c r="H158" s="43" t="s">
        <v>4783</v>
      </c>
      <c r="I158" s="43" t="s">
        <v>4473</v>
      </c>
    </row>
    <row r="159" ht="15.0" customHeight="1">
      <c r="A159" s="77" t="s">
        <v>3791</v>
      </c>
      <c r="B159" s="43" t="s">
        <v>4613</v>
      </c>
      <c r="C159" s="38"/>
      <c r="D159" s="38"/>
      <c r="E159" s="38"/>
      <c r="F159" s="38"/>
      <c r="G159" s="38"/>
      <c r="H159" s="43" t="s">
        <v>4783</v>
      </c>
      <c r="I159" s="41" t="s">
        <v>4477</v>
      </c>
    </row>
    <row r="160" ht="15.0" customHeight="1">
      <c r="A160" s="77" t="s">
        <v>4182</v>
      </c>
      <c r="B160" s="43" t="s">
        <v>4613</v>
      </c>
      <c r="C160" s="38"/>
      <c r="D160" s="38"/>
      <c r="E160" s="38"/>
      <c r="F160" s="38"/>
      <c r="G160" s="38"/>
      <c r="H160" s="43" t="s">
        <v>4783</v>
      </c>
      <c r="I160" s="41" t="s">
        <v>4497</v>
      </c>
    </row>
    <row r="161" ht="15.0" customHeight="1">
      <c r="A161" s="77" t="s">
        <v>3460</v>
      </c>
      <c r="B161" s="43" t="s">
        <v>4781</v>
      </c>
      <c r="C161" s="43" t="s">
        <v>4785</v>
      </c>
      <c r="D161" s="43" t="s">
        <v>4786</v>
      </c>
      <c r="E161" s="43" t="s">
        <v>4787</v>
      </c>
      <c r="F161" s="43" t="s">
        <v>4646</v>
      </c>
      <c r="G161" s="43" t="s">
        <v>4640</v>
      </c>
      <c r="H161" s="43" t="s">
        <v>4788</v>
      </c>
      <c r="I161" s="41" t="s">
        <v>4473</v>
      </c>
    </row>
    <row r="162" ht="15.0" customHeight="1">
      <c r="A162" s="77" t="s">
        <v>3792</v>
      </c>
      <c r="B162" s="38" t="s">
        <v>4613</v>
      </c>
      <c r="C162" s="38" t="s">
        <v>4614</v>
      </c>
      <c r="D162" s="38" t="s">
        <v>4615</v>
      </c>
      <c r="E162" s="38" t="s">
        <v>4616</v>
      </c>
      <c r="F162" s="38" t="s">
        <v>4617</v>
      </c>
      <c r="G162" s="38" t="s">
        <v>4618</v>
      </c>
      <c r="H162" s="43" t="s">
        <v>4788</v>
      </c>
      <c r="I162" s="41" t="s">
        <v>4477</v>
      </c>
    </row>
    <row r="163" ht="15.0" customHeight="1">
      <c r="A163" s="77" t="s">
        <v>504</v>
      </c>
      <c r="B163" s="43" t="s">
        <v>4789</v>
      </c>
      <c r="C163" s="43" t="s">
        <v>4790</v>
      </c>
      <c r="D163" s="43" t="s">
        <v>4792</v>
      </c>
      <c r="E163" s="38"/>
      <c r="F163" s="38"/>
      <c r="G163" s="38"/>
      <c r="H163" s="43" t="s">
        <v>4464</v>
      </c>
      <c r="I163" s="43" t="s">
        <v>4549</v>
      </c>
    </row>
    <row r="164" ht="15.0" customHeight="1">
      <c r="A164" s="77" t="s">
        <v>508</v>
      </c>
      <c r="B164" s="43" t="s">
        <v>4701</v>
      </c>
      <c r="C164" s="43" t="s">
        <v>4700</v>
      </c>
      <c r="D164" s="43" t="s">
        <v>4793</v>
      </c>
      <c r="E164" s="38"/>
      <c r="F164" s="38"/>
      <c r="G164" s="38"/>
      <c r="H164" s="43" t="s">
        <v>4464</v>
      </c>
      <c r="I164" s="43" t="s">
        <v>4549</v>
      </c>
    </row>
    <row r="165" ht="15.0" customHeight="1">
      <c r="A165" s="77" t="s">
        <v>512</v>
      </c>
      <c r="B165" s="43" t="s">
        <v>4757</v>
      </c>
      <c r="C165" s="43" t="s">
        <v>4756</v>
      </c>
      <c r="D165" s="43" t="s">
        <v>4794</v>
      </c>
      <c r="E165" s="38"/>
      <c r="F165" s="38"/>
      <c r="G165" s="38"/>
      <c r="H165" s="43" t="s">
        <v>4464</v>
      </c>
      <c r="I165" s="43" t="s">
        <v>4549</v>
      </c>
    </row>
    <row r="166" ht="15.0" customHeight="1">
      <c r="A166" s="77" t="s">
        <v>686</v>
      </c>
      <c r="B166" s="43" t="s">
        <v>4796</v>
      </c>
      <c r="C166" s="43" t="s">
        <v>4797</v>
      </c>
      <c r="D166" s="38"/>
      <c r="E166" s="38"/>
      <c r="F166" s="38"/>
      <c r="G166" s="38"/>
      <c r="H166" s="43" t="s">
        <v>4567</v>
      </c>
      <c r="I166" s="43" t="s">
        <v>4500</v>
      </c>
    </row>
    <row r="167" ht="15.0" customHeight="1">
      <c r="A167" s="77" t="s">
        <v>1053</v>
      </c>
      <c r="B167" s="43" t="s">
        <v>4799</v>
      </c>
      <c r="C167" s="43" t="s">
        <v>4800</v>
      </c>
      <c r="D167" s="43" t="s">
        <v>4801</v>
      </c>
      <c r="E167" s="43" t="s">
        <v>4507</v>
      </c>
      <c r="F167" s="38"/>
      <c r="G167" s="38"/>
      <c r="H167" s="43" t="s">
        <v>4567</v>
      </c>
      <c r="I167" s="43" t="s">
        <v>4465</v>
      </c>
    </row>
    <row r="168" ht="15.0" customHeight="1">
      <c r="A168" s="77" t="s">
        <v>695</v>
      </c>
      <c r="B168" s="38" t="s">
        <v>4568</v>
      </c>
      <c r="C168" s="38"/>
      <c r="D168" s="38"/>
      <c r="E168" s="38"/>
      <c r="F168" s="38"/>
      <c r="G168" s="38"/>
      <c r="H168" s="43" t="s">
        <v>4464</v>
      </c>
      <c r="I168" s="43" t="s">
        <v>4500</v>
      </c>
    </row>
    <row r="169" ht="15.0" customHeight="1">
      <c r="A169" s="77" t="s">
        <v>4803</v>
      </c>
      <c r="B169" s="38" t="s">
        <v>4804</v>
      </c>
      <c r="C169" s="38"/>
      <c r="D169" s="38"/>
      <c r="E169" s="38"/>
      <c r="F169" s="38"/>
      <c r="G169" s="38"/>
      <c r="H169" s="43" t="s">
        <v>4805</v>
      </c>
      <c r="I169" s="43" t="s">
        <v>4611</v>
      </c>
    </row>
    <row r="170" ht="15.0" customHeight="1">
      <c r="A170" s="77" t="s">
        <v>2546</v>
      </c>
      <c r="B170" s="38" t="s">
        <v>4807</v>
      </c>
      <c r="C170" s="38" t="s">
        <v>4512</v>
      </c>
      <c r="D170" s="38"/>
      <c r="E170" s="38"/>
      <c r="F170" s="38"/>
      <c r="G170" s="38"/>
      <c r="H170" s="43" t="s">
        <v>4513</v>
      </c>
      <c r="I170" s="43" t="s">
        <v>4514</v>
      </c>
    </row>
    <row r="171" ht="15.0" customHeight="1">
      <c r="A171" s="77" t="s">
        <v>1086</v>
      </c>
      <c r="B171" s="43" t="s">
        <v>4808</v>
      </c>
      <c r="C171" s="38"/>
      <c r="D171" s="38"/>
      <c r="E171" s="38"/>
      <c r="F171" s="38"/>
      <c r="G171" s="38"/>
      <c r="H171" s="43" t="s">
        <v>4464</v>
      </c>
      <c r="I171" s="43" t="s">
        <v>4465</v>
      </c>
    </row>
    <row r="172" ht="15.0" customHeight="1">
      <c r="A172" s="77" t="s">
        <v>2550</v>
      </c>
      <c r="B172" s="38" t="s">
        <v>4810</v>
      </c>
      <c r="C172" s="38" t="s">
        <v>4811</v>
      </c>
      <c r="D172" s="38"/>
      <c r="E172" s="38"/>
      <c r="F172" s="38"/>
      <c r="G172" s="38"/>
      <c r="H172" s="43" t="s">
        <v>4513</v>
      </c>
      <c r="I172" s="43" t="s">
        <v>4514</v>
      </c>
    </row>
    <row r="173" ht="15.0" customHeight="1">
      <c r="A173" s="77" t="s">
        <v>2556</v>
      </c>
      <c r="B173" s="38" t="s">
        <v>4810</v>
      </c>
      <c r="C173" s="38"/>
      <c r="D173" s="38"/>
      <c r="E173" s="38"/>
      <c r="F173" s="38"/>
      <c r="G173" s="38"/>
      <c r="H173" s="43" t="s">
        <v>4513</v>
      </c>
      <c r="I173" s="43" t="s">
        <v>4514</v>
      </c>
    </row>
    <row r="174" ht="15.0" customHeight="1">
      <c r="A174" s="77" t="s">
        <v>2559</v>
      </c>
      <c r="B174" s="38" t="s">
        <v>4810</v>
      </c>
      <c r="C174" s="38"/>
      <c r="D174" s="38"/>
      <c r="E174" s="38"/>
      <c r="F174" s="38"/>
      <c r="G174" s="38"/>
      <c r="H174" s="43" t="s">
        <v>4513</v>
      </c>
      <c r="I174" s="43" t="s">
        <v>4514</v>
      </c>
    </row>
    <row r="175" ht="15.0" customHeight="1">
      <c r="A175" s="77" t="s">
        <v>2563</v>
      </c>
      <c r="B175" s="38" t="s">
        <v>4696</v>
      </c>
      <c r="C175" s="38"/>
      <c r="D175" s="38"/>
      <c r="E175" s="38"/>
      <c r="F175" s="38"/>
      <c r="G175" s="38"/>
      <c r="H175" s="43" t="s">
        <v>4813</v>
      </c>
      <c r="I175" s="43" t="s">
        <v>4514</v>
      </c>
    </row>
    <row r="176" ht="15.0" customHeight="1">
      <c r="A176" s="77" t="s">
        <v>2568</v>
      </c>
      <c r="B176" s="38" t="s">
        <v>4570</v>
      </c>
      <c r="C176" s="38"/>
      <c r="D176" s="38"/>
      <c r="E176" s="38"/>
      <c r="F176" s="38"/>
      <c r="G176" s="38"/>
      <c r="H176" s="43" t="s">
        <v>4513</v>
      </c>
      <c r="I176" s="43" t="s">
        <v>4514</v>
      </c>
    </row>
    <row r="177" ht="15.0" customHeight="1">
      <c r="A177" s="77" t="s">
        <v>566</v>
      </c>
      <c r="B177" s="38" t="s">
        <v>4814</v>
      </c>
      <c r="C177" s="38"/>
      <c r="D177" s="38"/>
      <c r="E177" s="38"/>
      <c r="F177" s="38"/>
      <c r="G177" s="38"/>
      <c r="H177" s="43" t="s">
        <v>4464</v>
      </c>
      <c r="I177" s="43" t="s">
        <v>4549</v>
      </c>
    </row>
    <row r="178" ht="15.0" customHeight="1">
      <c r="A178" s="77" t="s">
        <v>1102</v>
      </c>
      <c r="B178" s="43" t="s">
        <v>4816</v>
      </c>
      <c r="C178" s="43" t="s">
        <v>4817</v>
      </c>
      <c r="D178" s="43" t="s">
        <v>4818</v>
      </c>
      <c r="E178" s="43" t="s">
        <v>4819</v>
      </c>
      <c r="F178" s="43" t="s">
        <v>4820</v>
      </c>
      <c r="G178" s="43" t="s">
        <v>4821</v>
      </c>
      <c r="H178" s="43" t="s">
        <v>4464</v>
      </c>
      <c r="I178" s="43" t="s">
        <v>4465</v>
      </c>
    </row>
    <row r="179" ht="15.0" customHeight="1">
      <c r="A179" s="77" t="s">
        <v>1107</v>
      </c>
      <c r="B179" s="43" t="s">
        <v>4823</v>
      </c>
      <c r="C179" s="43" t="s">
        <v>4560</v>
      </c>
      <c r="D179" s="38"/>
      <c r="E179" s="38"/>
      <c r="F179" s="38"/>
      <c r="G179" s="38"/>
      <c r="H179" s="43" t="s">
        <v>4491</v>
      </c>
      <c r="I179" s="43" t="s">
        <v>4465</v>
      </c>
    </row>
    <row r="180" ht="15.0" customHeight="1">
      <c r="A180" s="77" t="s">
        <v>2125</v>
      </c>
      <c r="B180" s="43" t="s">
        <v>4824</v>
      </c>
      <c r="C180" s="43" t="s">
        <v>4825</v>
      </c>
      <c r="D180" s="43" t="s">
        <v>4826</v>
      </c>
      <c r="E180" s="43" t="s">
        <v>4827</v>
      </c>
      <c r="F180" s="43" t="s">
        <v>4814</v>
      </c>
      <c r="G180" s="38"/>
      <c r="H180" s="43" t="s">
        <v>4828</v>
      </c>
      <c r="I180" s="43" t="s">
        <v>4516</v>
      </c>
    </row>
    <row r="181" ht="15.0" customHeight="1">
      <c r="A181" s="77" t="s">
        <v>1754</v>
      </c>
      <c r="B181" s="43" t="s">
        <v>4830</v>
      </c>
      <c r="C181" s="43" t="s">
        <v>4825</v>
      </c>
      <c r="D181" s="43" t="s">
        <v>4826</v>
      </c>
      <c r="E181" s="43" t="s">
        <v>4827</v>
      </c>
      <c r="F181" s="43" t="s">
        <v>4580</v>
      </c>
      <c r="G181" s="38"/>
      <c r="H181" s="43" t="s">
        <v>4828</v>
      </c>
      <c r="I181" s="43" t="s">
        <v>4485</v>
      </c>
    </row>
    <row r="182" ht="15.0" customHeight="1">
      <c r="A182" s="77" t="s">
        <v>586</v>
      </c>
      <c r="B182" s="43" t="s">
        <v>4831</v>
      </c>
      <c r="C182" s="43" t="s">
        <v>4832</v>
      </c>
      <c r="D182" s="38"/>
      <c r="E182" s="38"/>
      <c r="F182" s="38"/>
      <c r="G182" s="38"/>
      <c r="H182" s="43" t="s">
        <v>4464</v>
      </c>
      <c r="I182" s="43" t="s">
        <v>4549</v>
      </c>
    </row>
    <row r="183" ht="15.0" customHeight="1">
      <c r="A183" s="77" t="s">
        <v>1130</v>
      </c>
      <c r="B183" s="38" t="s">
        <v>4833</v>
      </c>
      <c r="C183" s="38" t="s">
        <v>4808</v>
      </c>
      <c r="D183" s="38" t="s">
        <v>4834</v>
      </c>
      <c r="E183" s="38"/>
      <c r="F183" s="38"/>
      <c r="G183" s="38"/>
      <c r="H183" s="43" t="s">
        <v>4533</v>
      </c>
      <c r="I183" s="43" t="s">
        <v>4465</v>
      </c>
    </row>
    <row r="184" ht="15.0" customHeight="1">
      <c r="A184" s="77" t="s">
        <v>1148</v>
      </c>
      <c r="B184" s="43" t="s">
        <v>4835</v>
      </c>
      <c r="C184" s="43" t="s">
        <v>4836</v>
      </c>
      <c r="D184" s="38"/>
      <c r="E184" s="38"/>
      <c r="F184" s="38"/>
      <c r="G184" s="38"/>
      <c r="H184" s="43" t="s">
        <v>4837</v>
      </c>
      <c r="I184" s="43" t="s">
        <v>4465</v>
      </c>
    </row>
    <row r="185" ht="15.0" customHeight="1">
      <c r="A185" s="77" t="s">
        <v>1152</v>
      </c>
      <c r="B185" s="43" t="s">
        <v>4835</v>
      </c>
      <c r="C185" s="43" t="s">
        <v>4836</v>
      </c>
      <c r="D185" s="38"/>
      <c r="E185" s="38"/>
      <c r="F185" s="38"/>
      <c r="G185" s="38"/>
      <c r="H185" s="43" t="s">
        <v>4837</v>
      </c>
      <c r="I185" s="43" t="s">
        <v>4465</v>
      </c>
    </row>
    <row r="186" ht="15.0" customHeight="1">
      <c r="A186" s="77" t="s">
        <v>1157</v>
      </c>
      <c r="B186" s="43" t="s">
        <v>4835</v>
      </c>
      <c r="C186" s="43" t="s">
        <v>4839</v>
      </c>
      <c r="D186" s="38"/>
      <c r="E186" s="38"/>
      <c r="F186" s="38"/>
      <c r="G186" s="38"/>
      <c r="H186" s="43" t="s">
        <v>4837</v>
      </c>
      <c r="I186" s="43" t="s">
        <v>4465</v>
      </c>
    </row>
    <row r="187" ht="15.0" customHeight="1">
      <c r="A187" s="77" t="s">
        <v>1160</v>
      </c>
      <c r="B187" s="43" t="s">
        <v>4835</v>
      </c>
      <c r="C187" s="43" t="s">
        <v>4840</v>
      </c>
      <c r="D187" s="38"/>
      <c r="E187" s="38"/>
      <c r="F187" s="38"/>
      <c r="G187" s="38"/>
      <c r="H187" s="43" t="s">
        <v>4837</v>
      </c>
      <c r="I187" s="43" t="s">
        <v>4465</v>
      </c>
    </row>
    <row r="188" ht="15.0" customHeight="1">
      <c r="A188" s="77" t="s">
        <v>1166</v>
      </c>
      <c r="B188" s="43" t="s">
        <v>4835</v>
      </c>
      <c r="C188" s="43" t="s">
        <v>4841</v>
      </c>
      <c r="D188" s="38"/>
      <c r="E188" s="38"/>
      <c r="F188" s="38"/>
      <c r="G188" s="38"/>
      <c r="H188" s="43" t="s">
        <v>4837</v>
      </c>
      <c r="I188" s="43" t="s">
        <v>4465</v>
      </c>
    </row>
    <row r="189" ht="15.0" customHeight="1">
      <c r="A189" s="77" t="s">
        <v>1169</v>
      </c>
      <c r="B189" s="43" t="s">
        <v>4835</v>
      </c>
      <c r="C189" s="43" t="s">
        <v>4843</v>
      </c>
      <c r="D189" s="38"/>
      <c r="E189" s="38"/>
      <c r="F189" s="38"/>
      <c r="G189" s="38"/>
      <c r="H189" s="43" t="s">
        <v>4837</v>
      </c>
      <c r="I189" s="43" t="s">
        <v>4465</v>
      </c>
    </row>
    <row r="190" ht="15.0" customHeight="1">
      <c r="A190" s="77" t="s">
        <v>1173</v>
      </c>
      <c r="B190" s="38" t="s">
        <v>4835</v>
      </c>
      <c r="C190" s="38" t="s">
        <v>4843</v>
      </c>
      <c r="D190" s="38"/>
      <c r="E190" s="38"/>
      <c r="F190" s="38"/>
      <c r="G190" s="38"/>
      <c r="H190" s="43" t="s">
        <v>4837</v>
      </c>
      <c r="I190" s="43" t="s">
        <v>4465</v>
      </c>
    </row>
    <row r="191" ht="15.0" customHeight="1">
      <c r="A191" s="77" t="s">
        <v>1178</v>
      </c>
      <c r="B191" s="43" t="s">
        <v>4835</v>
      </c>
      <c r="C191" s="43" t="s">
        <v>4845</v>
      </c>
      <c r="D191" s="38"/>
      <c r="E191" s="38"/>
      <c r="F191" s="38"/>
      <c r="G191" s="38"/>
      <c r="H191" s="43" t="s">
        <v>4837</v>
      </c>
      <c r="I191" s="43" t="s">
        <v>4465</v>
      </c>
    </row>
    <row r="192" ht="15.0" customHeight="1">
      <c r="A192" s="77" t="s">
        <v>1183</v>
      </c>
      <c r="B192" s="43" t="s">
        <v>4835</v>
      </c>
      <c r="C192" s="43" t="s">
        <v>4845</v>
      </c>
      <c r="D192" s="38"/>
      <c r="E192" s="38"/>
      <c r="F192" s="38"/>
      <c r="G192" s="38"/>
      <c r="H192" s="43" t="s">
        <v>4837</v>
      </c>
      <c r="I192" s="43" t="s">
        <v>4465</v>
      </c>
    </row>
    <row r="193" ht="15.0" customHeight="1">
      <c r="A193" s="77" t="s">
        <v>740</v>
      </c>
      <c r="B193" s="43" t="s">
        <v>4835</v>
      </c>
      <c r="C193" s="43" t="s">
        <v>4847</v>
      </c>
      <c r="D193" s="38"/>
      <c r="E193" s="38"/>
      <c r="F193" s="38"/>
      <c r="G193" s="38"/>
      <c r="H193" s="43" t="s">
        <v>4837</v>
      </c>
      <c r="I193" s="43" t="s">
        <v>4500</v>
      </c>
    </row>
    <row r="194" ht="15.0" customHeight="1">
      <c r="A194" s="77" t="s">
        <v>750</v>
      </c>
      <c r="B194" s="43" t="s">
        <v>4849</v>
      </c>
      <c r="C194" s="43" t="s">
        <v>4850</v>
      </c>
      <c r="D194" s="43" t="s">
        <v>4851</v>
      </c>
      <c r="E194" s="43" t="s">
        <v>4852</v>
      </c>
      <c r="F194" s="43" t="s">
        <v>4853</v>
      </c>
      <c r="G194" s="38"/>
      <c r="H194" s="43" t="s">
        <v>4464</v>
      </c>
      <c r="I194" s="43" t="s">
        <v>4500</v>
      </c>
    </row>
    <row r="195" ht="15.0" customHeight="1">
      <c r="A195" s="77" t="s">
        <v>591</v>
      </c>
      <c r="B195" s="43" t="s">
        <v>4855</v>
      </c>
      <c r="C195" s="43" t="s">
        <v>4850</v>
      </c>
      <c r="D195" s="83" t="s">
        <v>4856</v>
      </c>
      <c r="E195" s="43" t="s">
        <v>4857</v>
      </c>
      <c r="F195" s="43" t="s">
        <v>4853</v>
      </c>
      <c r="G195" s="38"/>
      <c r="H195" s="43" t="s">
        <v>4464</v>
      </c>
      <c r="I195" s="41" t="s">
        <v>4549</v>
      </c>
    </row>
    <row r="196" ht="15.0" customHeight="1">
      <c r="A196" s="77" t="s">
        <v>754</v>
      </c>
      <c r="B196" s="38" t="s">
        <v>4559</v>
      </c>
      <c r="C196" s="38"/>
      <c r="D196" s="38"/>
      <c r="E196" s="38"/>
      <c r="F196" s="38"/>
      <c r="G196" s="38"/>
      <c r="H196" s="43" t="s">
        <v>4464</v>
      </c>
      <c r="I196" s="43" t="s">
        <v>4500</v>
      </c>
    </row>
    <row r="197" ht="15.0" customHeight="1">
      <c r="A197" s="77" t="s">
        <v>2129</v>
      </c>
      <c r="B197" s="38" t="s">
        <v>4501</v>
      </c>
      <c r="C197" s="38" t="s">
        <v>4749</v>
      </c>
      <c r="D197" s="38"/>
      <c r="E197" s="38"/>
      <c r="F197" s="38"/>
      <c r="G197" s="38"/>
      <c r="H197" s="43" t="s">
        <v>4491</v>
      </c>
      <c r="I197" s="43" t="s">
        <v>4516</v>
      </c>
    </row>
    <row r="198" ht="15.0" customHeight="1">
      <c r="A198" s="77" t="s">
        <v>2132</v>
      </c>
      <c r="B198" s="38" t="s">
        <v>4860</v>
      </c>
      <c r="C198" s="38" t="s">
        <v>4861</v>
      </c>
      <c r="D198" s="38" t="s">
        <v>4862</v>
      </c>
      <c r="E198" s="38"/>
      <c r="F198" s="38"/>
      <c r="G198" s="38"/>
      <c r="H198" s="43" t="s">
        <v>4464</v>
      </c>
      <c r="I198" s="43" t="s">
        <v>4516</v>
      </c>
    </row>
    <row r="199" ht="15.0" customHeight="1">
      <c r="A199" s="77" t="s">
        <v>1758</v>
      </c>
      <c r="B199" s="38" t="s">
        <v>4860</v>
      </c>
      <c r="C199" s="38" t="s">
        <v>4861</v>
      </c>
      <c r="D199" s="38" t="s">
        <v>4862</v>
      </c>
      <c r="E199" s="38"/>
      <c r="F199" s="38"/>
      <c r="G199" s="38"/>
      <c r="H199" s="43" t="s">
        <v>4464</v>
      </c>
      <c r="I199" s="43" t="s">
        <v>4485</v>
      </c>
    </row>
    <row r="200" ht="15.0" customHeight="1">
      <c r="A200" s="77" t="s">
        <v>1208</v>
      </c>
      <c r="B200" s="38" t="s">
        <v>4864</v>
      </c>
      <c r="C200" s="38" t="s">
        <v>4495</v>
      </c>
      <c r="D200" s="38"/>
      <c r="E200" s="38"/>
      <c r="F200" s="38"/>
      <c r="G200" s="38"/>
      <c r="H200" s="43" t="s">
        <v>4464</v>
      </c>
      <c r="I200" s="43" t="s">
        <v>4465</v>
      </c>
    </row>
    <row r="201" ht="15.0" customHeight="1">
      <c r="A201" s="77" t="s">
        <v>1225</v>
      </c>
      <c r="B201" s="38" t="s">
        <v>4865</v>
      </c>
      <c r="C201" s="38"/>
      <c r="D201" s="38"/>
      <c r="E201" s="38"/>
      <c r="F201" s="38"/>
      <c r="G201" s="38"/>
      <c r="H201" s="43" t="s">
        <v>4464</v>
      </c>
      <c r="I201" s="43" t="s">
        <v>4465</v>
      </c>
    </row>
    <row r="202" ht="15.0" customHeight="1">
      <c r="A202" s="77" t="s">
        <v>1230</v>
      </c>
      <c r="B202" s="38" t="s">
        <v>4866</v>
      </c>
      <c r="C202" s="38" t="s">
        <v>4743</v>
      </c>
      <c r="D202" s="38" t="s">
        <v>4794</v>
      </c>
      <c r="E202" s="38" t="s">
        <v>4568</v>
      </c>
      <c r="F202" s="38" t="s">
        <v>4559</v>
      </c>
      <c r="G202" s="38"/>
      <c r="H202" s="43" t="s">
        <v>4464</v>
      </c>
      <c r="I202" s="43" t="s">
        <v>4465</v>
      </c>
    </row>
    <row r="203" ht="15.0" customHeight="1">
      <c r="A203" s="77" t="s">
        <v>1240</v>
      </c>
      <c r="B203" s="43" t="s">
        <v>4487</v>
      </c>
      <c r="C203" s="43" t="s">
        <v>4868</v>
      </c>
      <c r="D203" s="43" t="s">
        <v>4489</v>
      </c>
      <c r="E203" s="43" t="s">
        <v>4538</v>
      </c>
      <c r="F203" s="38"/>
      <c r="G203" s="38"/>
      <c r="H203" s="43" t="s">
        <v>4491</v>
      </c>
      <c r="I203" s="43" t="s">
        <v>4465</v>
      </c>
    </row>
    <row r="204" ht="15.0" customHeight="1">
      <c r="A204" s="77" t="s">
        <v>1244</v>
      </c>
      <c r="B204" s="38" t="s">
        <v>4869</v>
      </c>
      <c r="C204" s="38" t="s">
        <v>4870</v>
      </c>
      <c r="D204" s="38" t="s">
        <v>4871</v>
      </c>
      <c r="E204" s="38"/>
      <c r="F204" s="38"/>
      <c r="G204" s="38"/>
      <c r="H204" s="43" t="s">
        <v>4464</v>
      </c>
      <c r="I204" s="43" t="s">
        <v>4465</v>
      </c>
    </row>
    <row r="205" ht="15.0" customHeight="1">
      <c r="A205" s="77" t="s">
        <v>3504</v>
      </c>
      <c r="B205" s="43" t="s">
        <v>4872</v>
      </c>
      <c r="C205" s="38"/>
      <c r="D205" s="38"/>
      <c r="E205" s="38"/>
      <c r="F205" s="38"/>
      <c r="G205" s="38"/>
      <c r="H205" s="43" t="s">
        <v>4464</v>
      </c>
      <c r="I205" s="43" t="s">
        <v>4473</v>
      </c>
    </row>
    <row r="206" ht="15.0" customHeight="1">
      <c r="A206" s="77" t="s">
        <v>819</v>
      </c>
      <c r="B206" s="43" t="s">
        <v>4874</v>
      </c>
      <c r="C206" s="38"/>
      <c r="D206" s="38"/>
      <c r="E206" s="38"/>
      <c r="F206" s="38"/>
      <c r="G206" s="38"/>
      <c r="H206" s="43" t="s">
        <v>4464</v>
      </c>
      <c r="I206" s="43" t="s">
        <v>4500</v>
      </c>
    </row>
    <row r="207" ht="15.0" customHeight="1">
      <c r="A207" s="77" t="s">
        <v>3818</v>
      </c>
      <c r="B207" s="43" t="s">
        <v>4875</v>
      </c>
      <c r="C207" s="38"/>
      <c r="D207" s="38"/>
      <c r="E207" s="38"/>
      <c r="F207" s="38"/>
      <c r="G207" s="38"/>
      <c r="H207" s="43" t="s">
        <v>4464</v>
      </c>
      <c r="I207" s="43" t="s">
        <v>4477</v>
      </c>
    </row>
    <row r="208" ht="15.0" customHeight="1">
      <c r="A208" s="77" t="s">
        <v>3820</v>
      </c>
      <c r="B208" s="43" t="s">
        <v>4876</v>
      </c>
      <c r="C208" s="38"/>
      <c r="D208" s="38"/>
      <c r="E208" s="38"/>
      <c r="F208" s="38"/>
      <c r="G208" s="38"/>
      <c r="H208" s="43" t="s">
        <v>4464</v>
      </c>
      <c r="I208" s="43" t="s">
        <v>4477</v>
      </c>
    </row>
    <row r="209" ht="15.0" customHeight="1">
      <c r="A209" s="77" t="s">
        <v>612</v>
      </c>
      <c r="B209" s="43" t="s">
        <v>4878</v>
      </c>
      <c r="C209" s="38"/>
      <c r="D209" s="38"/>
      <c r="E209" s="38"/>
      <c r="F209" s="38"/>
      <c r="G209" s="38"/>
      <c r="H209" s="43" t="s">
        <v>4464</v>
      </c>
      <c r="I209" s="43" t="s">
        <v>4549</v>
      </c>
    </row>
    <row r="210" ht="15.0" customHeight="1">
      <c r="A210" s="77" t="s">
        <v>4215</v>
      </c>
      <c r="B210" s="43" t="s">
        <v>4880</v>
      </c>
      <c r="C210" s="38"/>
      <c r="D210" s="38"/>
      <c r="E210" s="38"/>
      <c r="F210" s="38"/>
      <c r="G210" s="38"/>
      <c r="H210" s="43" t="s">
        <v>4464</v>
      </c>
      <c r="I210" s="41" t="s">
        <v>4497</v>
      </c>
    </row>
    <row r="211" ht="15.0" customHeight="1">
      <c r="A211" s="77" t="s">
        <v>1759</v>
      </c>
      <c r="B211" s="43" t="s">
        <v>4489</v>
      </c>
      <c r="C211" s="43" t="s">
        <v>4881</v>
      </c>
      <c r="D211" s="38"/>
      <c r="E211" s="38"/>
      <c r="F211" s="38"/>
      <c r="G211" s="38"/>
      <c r="H211" s="43" t="s">
        <v>4464</v>
      </c>
      <c r="I211" s="43" t="s">
        <v>4485</v>
      </c>
    </row>
    <row r="212" ht="15.0" customHeight="1">
      <c r="A212" s="77" t="s">
        <v>835</v>
      </c>
      <c r="B212" s="43" t="s">
        <v>4874</v>
      </c>
      <c r="C212" s="38"/>
      <c r="D212" s="38"/>
      <c r="E212" s="38"/>
      <c r="F212" s="38"/>
      <c r="G212" s="38"/>
      <c r="H212" s="43" t="s">
        <v>4464</v>
      </c>
      <c r="I212" s="43" t="s">
        <v>4500</v>
      </c>
    </row>
    <row r="213" ht="15.0" customHeight="1">
      <c r="A213" s="77" t="s">
        <v>2571</v>
      </c>
      <c r="B213" s="38" t="s">
        <v>4883</v>
      </c>
      <c r="C213" s="38" t="s">
        <v>4494</v>
      </c>
      <c r="D213" s="38"/>
      <c r="E213" s="38"/>
      <c r="F213" s="38"/>
      <c r="G213" s="38"/>
      <c r="H213" s="43" t="s">
        <v>4884</v>
      </c>
      <c r="I213" s="41" t="s">
        <v>4514</v>
      </c>
    </row>
    <row r="214" ht="15.0" customHeight="1">
      <c r="A214" s="77" t="s">
        <v>840</v>
      </c>
      <c r="B214" s="43" t="s">
        <v>4489</v>
      </c>
      <c r="C214" s="38"/>
      <c r="D214" s="38"/>
      <c r="E214" s="38"/>
      <c r="F214" s="38"/>
      <c r="G214" s="38"/>
      <c r="H214" s="43" t="s">
        <v>4464</v>
      </c>
      <c r="I214" s="43" t="s">
        <v>4500</v>
      </c>
    </row>
    <row r="215" ht="15.0" customHeight="1">
      <c r="A215" s="77" t="s">
        <v>1253</v>
      </c>
      <c r="B215" s="43" t="s">
        <v>4872</v>
      </c>
      <c r="C215" s="38"/>
      <c r="D215" s="38"/>
      <c r="E215" s="38"/>
      <c r="F215" s="38"/>
      <c r="G215" s="38"/>
      <c r="H215" s="43" t="s">
        <v>4464</v>
      </c>
      <c r="I215" s="43" t="s">
        <v>4465</v>
      </c>
    </row>
    <row r="216" ht="15.0" customHeight="1">
      <c r="A216" s="77" t="s">
        <v>843</v>
      </c>
      <c r="B216" s="43" t="s">
        <v>4494</v>
      </c>
      <c r="C216" s="38"/>
      <c r="D216" s="38"/>
      <c r="E216" s="38"/>
      <c r="F216" s="38"/>
      <c r="G216" s="38"/>
      <c r="H216" s="43" t="s">
        <v>4464</v>
      </c>
      <c r="I216" s="43" t="s">
        <v>4500</v>
      </c>
    </row>
    <row r="217" ht="15.0" customHeight="1">
      <c r="A217" s="77" t="s">
        <v>849</v>
      </c>
      <c r="B217" s="43" t="s">
        <v>4874</v>
      </c>
      <c r="C217" s="38"/>
      <c r="D217" s="38"/>
      <c r="E217" s="38"/>
      <c r="F217" s="38"/>
      <c r="G217" s="38"/>
      <c r="H217" s="43" t="s">
        <v>4464</v>
      </c>
      <c r="I217" s="43" t="s">
        <v>4500</v>
      </c>
    </row>
    <row r="218" ht="15.0" customHeight="1">
      <c r="A218" s="77" t="s">
        <v>2142</v>
      </c>
      <c r="B218" s="43" t="s">
        <v>4880</v>
      </c>
      <c r="C218" s="38"/>
      <c r="D218" s="38"/>
      <c r="E218" s="38"/>
      <c r="F218" s="38"/>
      <c r="G218" s="38"/>
      <c r="H218" s="43" t="s">
        <v>4464</v>
      </c>
      <c r="I218" s="43" t="s">
        <v>4516</v>
      </c>
    </row>
    <row r="219" ht="15.0" customHeight="1">
      <c r="A219" s="77" t="s">
        <v>615</v>
      </c>
      <c r="B219" s="38" t="s">
        <v>4494</v>
      </c>
      <c r="C219" s="38" t="s">
        <v>4463</v>
      </c>
      <c r="D219" s="38"/>
      <c r="E219" s="38"/>
      <c r="F219" s="38"/>
      <c r="G219" s="38"/>
      <c r="H219" s="43" t="s">
        <v>4464</v>
      </c>
      <c r="I219" s="43" t="s">
        <v>4549</v>
      </c>
    </row>
    <row r="220" ht="15.0" customHeight="1">
      <c r="A220" s="77" t="s">
        <v>2576</v>
      </c>
      <c r="B220" s="38" t="s">
        <v>4888</v>
      </c>
      <c r="C220" s="38" t="s">
        <v>4494</v>
      </c>
      <c r="D220" s="38"/>
      <c r="E220" s="38"/>
      <c r="F220" s="38"/>
      <c r="G220" s="38"/>
      <c r="H220" s="24" t="s">
        <v>4890</v>
      </c>
      <c r="I220" s="24" t="s">
        <v>4514</v>
      </c>
    </row>
    <row r="221" ht="15.0" customHeight="1">
      <c r="A221" s="77" t="s">
        <v>2581</v>
      </c>
      <c r="B221" s="38" t="s">
        <v>4891</v>
      </c>
      <c r="C221" s="38" t="s">
        <v>4494</v>
      </c>
      <c r="D221" s="38"/>
      <c r="E221" s="38"/>
      <c r="F221" s="38"/>
      <c r="G221" s="38"/>
      <c r="H221" s="24" t="s">
        <v>4893</v>
      </c>
      <c r="I221" s="24" t="s">
        <v>4514</v>
      </c>
    </row>
    <row r="222" ht="15.0" customHeight="1">
      <c r="A222" s="77" t="s">
        <v>1258</v>
      </c>
      <c r="B222" s="43" t="s">
        <v>4875</v>
      </c>
      <c r="C222" s="38"/>
      <c r="D222" s="38"/>
      <c r="E222" s="38"/>
      <c r="F222" s="38"/>
      <c r="G222" s="38"/>
      <c r="H222" s="43" t="s">
        <v>4464</v>
      </c>
      <c r="I222" s="43" t="s">
        <v>4465</v>
      </c>
    </row>
    <row r="223" ht="15.0" customHeight="1">
      <c r="A223" s="77" t="s">
        <v>2585</v>
      </c>
      <c r="B223" s="38" t="s">
        <v>4894</v>
      </c>
      <c r="C223" s="38" t="s">
        <v>4494</v>
      </c>
      <c r="D223" s="38"/>
      <c r="E223" s="38"/>
      <c r="F223" s="38"/>
      <c r="G223" s="38"/>
      <c r="H223" s="24" t="s">
        <v>4896</v>
      </c>
      <c r="I223" s="24" t="s">
        <v>4514</v>
      </c>
    </row>
    <row r="224" ht="15.0" customHeight="1">
      <c r="A224" s="77" t="s">
        <v>2587</v>
      </c>
      <c r="B224" s="38" t="s">
        <v>4897</v>
      </c>
      <c r="C224" s="38" t="s">
        <v>4494</v>
      </c>
      <c r="D224" s="38"/>
      <c r="E224" s="38"/>
      <c r="F224" s="38"/>
      <c r="G224" s="38"/>
      <c r="H224" s="43" t="s">
        <v>4898</v>
      </c>
      <c r="I224" s="43" t="s">
        <v>4514</v>
      </c>
    </row>
    <row r="225" ht="15.0" customHeight="1">
      <c r="A225" s="77" t="s">
        <v>1262</v>
      </c>
      <c r="B225" s="43" t="s">
        <v>4900</v>
      </c>
      <c r="C225" s="38"/>
      <c r="D225" s="38"/>
      <c r="E225" s="38"/>
      <c r="F225" s="38"/>
      <c r="G225" s="38"/>
      <c r="H225" s="43" t="s">
        <v>4464</v>
      </c>
      <c r="I225" s="43" t="s">
        <v>4465</v>
      </c>
    </row>
    <row r="226" ht="15.0" customHeight="1">
      <c r="A226" s="77" t="s">
        <v>1761</v>
      </c>
      <c r="B226" s="43" t="s">
        <v>4880</v>
      </c>
      <c r="C226" s="38"/>
      <c r="D226" s="38"/>
      <c r="E226" s="38"/>
      <c r="F226" s="38"/>
      <c r="G226" s="38"/>
      <c r="H226" s="43" t="s">
        <v>4464</v>
      </c>
      <c r="I226" s="43" t="s">
        <v>4485</v>
      </c>
    </row>
    <row r="227" ht="15.0" customHeight="1">
      <c r="A227" s="77" t="s">
        <v>2592</v>
      </c>
      <c r="B227" s="38" t="s">
        <v>4489</v>
      </c>
      <c r="C227" s="38" t="s">
        <v>4487</v>
      </c>
      <c r="D227" s="38"/>
      <c r="E227" s="38"/>
      <c r="F227" s="38"/>
      <c r="G227" s="38"/>
      <c r="H227" s="38" t="s">
        <v>4491</v>
      </c>
      <c r="I227" s="38" t="s">
        <v>4514</v>
      </c>
    </row>
    <row r="228" ht="15.0" customHeight="1">
      <c r="A228" s="77" t="s">
        <v>2595</v>
      </c>
      <c r="B228" s="38" t="s">
        <v>4902</v>
      </c>
      <c r="C228" s="38" t="s">
        <v>4494</v>
      </c>
      <c r="D228" s="38"/>
      <c r="E228" s="38"/>
      <c r="F228" s="38"/>
      <c r="G228" s="38"/>
      <c r="H228" s="43" t="s">
        <v>4903</v>
      </c>
      <c r="I228" s="43" t="s">
        <v>4514</v>
      </c>
    </row>
    <row r="229" ht="15.0" customHeight="1">
      <c r="A229" s="77" t="s">
        <v>1270</v>
      </c>
      <c r="B229" s="38" t="s">
        <v>4905</v>
      </c>
      <c r="C229" s="38" t="s">
        <v>4507</v>
      </c>
      <c r="D229" s="38"/>
      <c r="E229" s="38"/>
      <c r="F229" s="38"/>
      <c r="G229" s="38"/>
      <c r="H229" s="43" t="s">
        <v>4464</v>
      </c>
      <c r="I229" s="43" t="s">
        <v>4465</v>
      </c>
    </row>
    <row r="230" ht="15.0" customHeight="1">
      <c r="A230" s="77" t="s">
        <v>3399</v>
      </c>
      <c r="B230" s="43" t="s">
        <v>4906</v>
      </c>
      <c r="C230" s="38"/>
      <c r="D230" s="38"/>
      <c r="E230" s="38"/>
      <c r="F230" s="38"/>
      <c r="G230" s="38"/>
      <c r="H230" s="43" t="s">
        <v>4464</v>
      </c>
      <c r="I230" s="43" t="s">
        <v>4907</v>
      </c>
    </row>
    <row r="231" ht="15.0" customHeight="1">
      <c r="A231" s="77" t="s">
        <v>1277</v>
      </c>
      <c r="B231" s="38" t="s">
        <v>4569</v>
      </c>
      <c r="C231" s="38" t="s">
        <v>4527</v>
      </c>
      <c r="D231" s="38"/>
      <c r="E231" s="38"/>
      <c r="F231" s="38"/>
      <c r="G231" s="38"/>
      <c r="H231" s="43" t="s">
        <v>4464</v>
      </c>
      <c r="I231" s="43" t="s">
        <v>4465</v>
      </c>
    </row>
    <row r="232" ht="15.0" customHeight="1">
      <c r="A232" s="77" t="s">
        <v>3402</v>
      </c>
      <c r="B232" s="38" t="s">
        <v>4906</v>
      </c>
      <c r="C232" s="38"/>
      <c r="D232" s="38"/>
      <c r="E232" s="38"/>
      <c r="F232" s="38"/>
      <c r="G232" s="38"/>
      <c r="H232" s="43" t="s">
        <v>4464</v>
      </c>
      <c r="I232" s="43" t="s">
        <v>4907</v>
      </c>
    </row>
    <row r="233" ht="15.0" customHeight="1">
      <c r="A233" s="77" t="s">
        <v>1287</v>
      </c>
      <c r="B233" s="38" t="s">
        <v>4910</v>
      </c>
      <c r="C233" s="38" t="s">
        <v>4814</v>
      </c>
      <c r="D233" s="38"/>
      <c r="E233" s="38"/>
      <c r="F233" s="38"/>
      <c r="G233" s="38"/>
      <c r="H233" s="43" t="s">
        <v>4525</v>
      </c>
      <c r="I233" s="43" t="s">
        <v>4465</v>
      </c>
    </row>
    <row r="234" ht="15.0" customHeight="1">
      <c r="A234" s="77" t="s">
        <v>691</v>
      </c>
      <c r="B234" s="38" t="s">
        <v>4814</v>
      </c>
      <c r="C234" s="38" t="s">
        <v>4495</v>
      </c>
      <c r="D234" s="38"/>
      <c r="E234" s="38"/>
      <c r="F234" s="38"/>
      <c r="G234" s="38"/>
      <c r="H234" s="43" t="s">
        <v>4464</v>
      </c>
      <c r="I234" s="43" t="s">
        <v>4549</v>
      </c>
    </row>
    <row r="235" ht="15.0" customHeight="1">
      <c r="A235" s="77" t="s">
        <v>1305</v>
      </c>
      <c r="B235" s="38" t="s">
        <v>4690</v>
      </c>
      <c r="C235" s="38"/>
      <c r="D235" s="38"/>
      <c r="E235" s="38"/>
      <c r="F235" s="38"/>
      <c r="G235" s="38"/>
      <c r="H235" s="43" t="s">
        <v>4464</v>
      </c>
      <c r="I235" s="43" t="s">
        <v>4465</v>
      </c>
    </row>
    <row r="236" ht="15.0" customHeight="1">
      <c r="A236" s="77" t="s">
        <v>1309</v>
      </c>
      <c r="B236" s="38" t="s">
        <v>4913</v>
      </c>
      <c r="C236" s="38" t="s">
        <v>4505</v>
      </c>
      <c r="D236" s="38" t="s">
        <v>4557</v>
      </c>
      <c r="E236" s="38" t="s">
        <v>4696</v>
      </c>
      <c r="F236" s="38"/>
      <c r="G236" s="38"/>
      <c r="H236" s="43" t="s">
        <v>4464</v>
      </c>
      <c r="I236" s="43" t="s">
        <v>4465</v>
      </c>
    </row>
    <row r="237" ht="15.0" customHeight="1">
      <c r="A237" s="77" t="s">
        <v>1315</v>
      </c>
      <c r="B237" s="38" t="s">
        <v>4569</v>
      </c>
      <c r="C237" s="38" t="s">
        <v>4467</v>
      </c>
      <c r="D237" s="38"/>
      <c r="E237" s="38"/>
      <c r="F237" s="38"/>
      <c r="G237" s="38"/>
      <c r="H237" s="43" t="s">
        <v>4464</v>
      </c>
      <c r="I237" s="43" t="s">
        <v>4465</v>
      </c>
    </row>
    <row r="238" ht="15.0" customHeight="1">
      <c r="A238" s="77" t="s">
        <v>935</v>
      </c>
      <c r="B238" s="43" t="s">
        <v>4914</v>
      </c>
      <c r="C238" s="43" t="s">
        <v>4717</v>
      </c>
      <c r="D238" s="38"/>
      <c r="E238" s="38"/>
      <c r="F238" s="38"/>
      <c r="G238" s="38"/>
      <c r="H238" s="43" t="s">
        <v>4567</v>
      </c>
      <c r="I238" s="43" t="s">
        <v>4500</v>
      </c>
    </row>
    <row r="239" ht="15.0" customHeight="1">
      <c r="A239" s="77" t="s">
        <v>2165</v>
      </c>
      <c r="B239" s="38" t="s">
        <v>4916</v>
      </c>
      <c r="C239" s="38"/>
      <c r="D239" s="38"/>
      <c r="E239" s="38"/>
      <c r="F239" s="38"/>
      <c r="G239" s="38"/>
      <c r="H239" s="43" t="s">
        <v>4464</v>
      </c>
      <c r="I239" s="41" t="s">
        <v>4516</v>
      </c>
    </row>
    <row r="240" ht="15.0" customHeight="1">
      <c r="A240" s="77" t="s">
        <v>1787</v>
      </c>
      <c r="B240" s="38" t="s">
        <v>4917</v>
      </c>
      <c r="C240" s="38"/>
      <c r="D240" s="38"/>
      <c r="E240" s="38"/>
      <c r="F240" s="38"/>
      <c r="G240" s="38"/>
      <c r="H240" s="43" t="s">
        <v>4464</v>
      </c>
      <c r="I240" s="41" t="s">
        <v>4485</v>
      </c>
    </row>
    <row r="241" ht="15.0" customHeight="1">
      <c r="A241" s="77" t="s">
        <v>3835</v>
      </c>
      <c r="B241" s="38" t="s">
        <v>4918</v>
      </c>
      <c r="C241" s="38" t="s">
        <v>4919</v>
      </c>
      <c r="D241" s="38" t="s">
        <v>4920</v>
      </c>
      <c r="E241" s="38"/>
      <c r="F241" s="38"/>
      <c r="G241" s="38"/>
      <c r="H241" s="43" t="s">
        <v>4464</v>
      </c>
      <c r="I241" s="41" t="s">
        <v>4477</v>
      </c>
    </row>
    <row r="242" ht="15.0" customHeight="1">
      <c r="A242" s="77" t="s">
        <v>995</v>
      </c>
      <c r="B242" s="38" t="s">
        <v>4922</v>
      </c>
      <c r="C242" s="38" t="s">
        <v>4498</v>
      </c>
      <c r="D242" s="38"/>
      <c r="E242" s="38"/>
      <c r="F242" s="38"/>
      <c r="G242" s="38"/>
      <c r="H242" s="43" t="s">
        <v>4464</v>
      </c>
      <c r="I242" s="43" t="s">
        <v>4500</v>
      </c>
    </row>
    <row r="243" ht="15.0" customHeight="1">
      <c r="A243" s="77" t="s">
        <v>2598</v>
      </c>
      <c r="B243" s="43" t="s">
        <v>4924</v>
      </c>
      <c r="C243" s="43" t="s">
        <v>4487</v>
      </c>
      <c r="D243" s="38"/>
      <c r="E243" s="38"/>
      <c r="F243" s="38"/>
      <c r="G243" s="38"/>
      <c r="H243" s="43" t="s">
        <v>4491</v>
      </c>
      <c r="I243" s="43" t="s">
        <v>4514</v>
      </c>
    </row>
    <row r="244" ht="15.0" customHeight="1">
      <c r="A244" s="77" t="s">
        <v>720</v>
      </c>
      <c r="B244" s="38" t="s">
        <v>4866</v>
      </c>
      <c r="C244" s="38" t="s">
        <v>4925</v>
      </c>
      <c r="D244" s="38" t="s">
        <v>4926</v>
      </c>
      <c r="E244" s="38"/>
      <c r="F244" s="38"/>
      <c r="G244" s="38"/>
      <c r="H244" s="43" t="s">
        <v>4464</v>
      </c>
      <c r="I244" s="43" t="s">
        <v>4549</v>
      </c>
    </row>
    <row r="245" ht="15.0" customHeight="1">
      <c r="A245" s="77" t="s">
        <v>2167</v>
      </c>
      <c r="B245" s="43" t="s">
        <v>4835</v>
      </c>
      <c r="C245" s="43" t="s">
        <v>4845</v>
      </c>
      <c r="D245" s="38"/>
      <c r="E245" s="38"/>
      <c r="F245" s="38"/>
      <c r="G245" s="38"/>
      <c r="H245" s="43" t="s">
        <v>4837</v>
      </c>
      <c r="I245" s="41" t="s">
        <v>4516</v>
      </c>
    </row>
    <row r="246" ht="15.0" customHeight="1">
      <c r="A246" s="77" t="s">
        <v>1790</v>
      </c>
      <c r="B246" s="43" t="s">
        <v>4835</v>
      </c>
      <c r="C246" s="43" t="s">
        <v>4845</v>
      </c>
      <c r="D246" s="38"/>
      <c r="E246" s="38"/>
      <c r="F246" s="38"/>
      <c r="G246" s="38"/>
      <c r="H246" s="43" t="s">
        <v>4837</v>
      </c>
      <c r="I246" s="43" t="s">
        <v>4485</v>
      </c>
    </row>
    <row r="247" ht="15.0" customHeight="1">
      <c r="A247" s="77" t="s">
        <v>2601</v>
      </c>
      <c r="B247" s="43" t="s">
        <v>4835</v>
      </c>
      <c r="C247" s="43" t="s">
        <v>4487</v>
      </c>
      <c r="D247" s="38"/>
      <c r="E247" s="38"/>
      <c r="F247" s="38"/>
      <c r="G247" s="38"/>
      <c r="H247" s="43" t="s">
        <v>4837</v>
      </c>
      <c r="I247" s="41" t="s">
        <v>4514</v>
      </c>
    </row>
    <row r="248" ht="15.0" customHeight="1">
      <c r="A248" s="77" t="s">
        <v>2169</v>
      </c>
      <c r="B248" s="38" t="s">
        <v>4836</v>
      </c>
      <c r="C248" s="38"/>
      <c r="D248" s="38"/>
      <c r="E248" s="38"/>
      <c r="F248" s="38"/>
      <c r="G248" s="38"/>
      <c r="H248" s="43" t="s">
        <v>4928</v>
      </c>
      <c r="I248" s="41" t="s">
        <v>4516</v>
      </c>
    </row>
    <row r="249" ht="15.0" customHeight="1">
      <c r="A249" s="77" t="s">
        <v>1792</v>
      </c>
      <c r="B249" s="43" t="s">
        <v>4835</v>
      </c>
      <c r="C249" s="43" t="s">
        <v>4845</v>
      </c>
      <c r="D249" s="38"/>
      <c r="E249" s="38"/>
      <c r="F249" s="38"/>
      <c r="G249" s="38"/>
      <c r="H249" s="43" t="s">
        <v>4928</v>
      </c>
      <c r="I249" s="43" t="s">
        <v>4485</v>
      </c>
    </row>
    <row r="250" ht="15.0" customHeight="1">
      <c r="A250" s="77" t="s">
        <v>1336</v>
      </c>
      <c r="B250" s="38" t="s">
        <v>4930</v>
      </c>
      <c r="C250" s="38" t="s">
        <v>4565</v>
      </c>
      <c r="D250" s="38" t="s">
        <v>4463</v>
      </c>
      <c r="E250" s="38"/>
      <c r="F250" s="38"/>
      <c r="G250" s="38"/>
      <c r="H250" s="43" t="s">
        <v>4567</v>
      </c>
      <c r="I250" s="43" t="s">
        <v>4465</v>
      </c>
    </row>
    <row r="251" ht="15.0" customHeight="1">
      <c r="A251" s="77" t="s">
        <v>1339</v>
      </c>
      <c r="B251" s="43" t="s">
        <v>4931</v>
      </c>
      <c r="C251" s="43" t="s">
        <v>4505</v>
      </c>
      <c r="D251" s="38"/>
      <c r="E251" s="38"/>
      <c r="F251" s="38"/>
      <c r="G251" s="38"/>
      <c r="H251" s="43" t="s">
        <v>4567</v>
      </c>
      <c r="I251" s="43" t="s">
        <v>4465</v>
      </c>
    </row>
    <row r="252" ht="15.0" customHeight="1">
      <c r="A252" s="77" t="s">
        <v>1342</v>
      </c>
      <c r="B252" s="43" t="s">
        <v>4932</v>
      </c>
      <c r="C252" s="43" t="s">
        <v>4874</v>
      </c>
      <c r="D252" s="38"/>
      <c r="E252" s="38"/>
      <c r="F252" s="38"/>
      <c r="G252" s="38"/>
      <c r="H252" s="43" t="s">
        <v>4567</v>
      </c>
      <c r="I252" s="43" t="s">
        <v>4465</v>
      </c>
    </row>
    <row r="253" ht="15.0" customHeight="1">
      <c r="A253" s="77" t="s">
        <v>1344</v>
      </c>
      <c r="B253" s="43" t="s">
        <v>4799</v>
      </c>
      <c r="C253" s="43" t="s">
        <v>4565</v>
      </c>
      <c r="D253" s="43" t="s">
        <v>4463</v>
      </c>
      <c r="E253" s="38"/>
      <c r="F253" s="38"/>
      <c r="G253" s="38"/>
      <c r="H253" s="43" t="s">
        <v>4567</v>
      </c>
      <c r="I253" s="43" t="s">
        <v>4465</v>
      </c>
    </row>
    <row r="254" ht="15.0" customHeight="1">
      <c r="A254" s="77" t="s">
        <v>2434</v>
      </c>
      <c r="B254" s="38" t="s">
        <v>4601</v>
      </c>
      <c r="C254" s="43" t="s">
        <v>4772</v>
      </c>
      <c r="D254" s="38"/>
      <c r="E254" s="38"/>
      <c r="F254" s="38"/>
      <c r="G254" s="38"/>
      <c r="H254" s="43" t="s">
        <v>4533</v>
      </c>
      <c r="I254" s="43" t="s">
        <v>4534</v>
      </c>
    </row>
    <row r="255" ht="15.0" customHeight="1">
      <c r="A255" s="76" t="s">
        <v>1008</v>
      </c>
      <c r="B255" s="38" t="s">
        <v>4855</v>
      </c>
      <c r="C255" s="38" t="s">
        <v>4935</v>
      </c>
      <c r="D255" s="38" t="s">
        <v>4936</v>
      </c>
      <c r="E255" s="38" t="s">
        <v>4937</v>
      </c>
      <c r="F255" s="38" t="s">
        <v>4938</v>
      </c>
      <c r="G255" s="77" t="s">
        <v>4939</v>
      </c>
      <c r="H255" s="43" t="s">
        <v>4464</v>
      </c>
      <c r="I255" s="43" t="s">
        <v>4500</v>
      </c>
    </row>
    <row r="256" ht="15.0" customHeight="1">
      <c r="A256" s="77" t="s">
        <v>3521</v>
      </c>
      <c r="B256" s="43" t="s">
        <v>4834</v>
      </c>
      <c r="C256" s="38"/>
      <c r="D256" s="38"/>
      <c r="E256" s="38"/>
      <c r="F256" s="38"/>
      <c r="G256" s="38"/>
      <c r="H256" s="43" t="s">
        <v>4464</v>
      </c>
      <c r="I256" s="43" t="s">
        <v>4473</v>
      </c>
    </row>
    <row r="257" ht="15.0" customHeight="1">
      <c r="A257" s="77" t="s">
        <v>1367</v>
      </c>
      <c r="B257" s="38" t="s">
        <v>4941</v>
      </c>
      <c r="C257" s="38"/>
      <c r="D257" s="38"/>
      <c r="E257" s="38"/>
      <c r="F257" s="38"/>
      <c r="G257" s="38"/>
      <c r="H257" s="43" t="s">
        <v>4464</v>
      </c>
      <c r="I257" s="43" t="s">
        <v>4465</v>
      </c>
    </row>
    <row r="258" ht="15.0" customHeight="1">
      <c r="A258" s="77" t="s">
        <v>748</v>
      </c>
      <c r="B258" s="43" t="s">
        <v>4559</v>
      </c>
      <c r="C258" s="38"/>
      <c r="D258" s="38"/>
      <c r="E258" s="38"/>
      <c r="F258" s="38"/>
      <c r="G258" s="38"/>
      <c r="H258" s="43" t="s">
        <v>4464</v>
      </c>
      <c r="I258" s="43" t="s">
        <v>4549</v>
      </c>
    </row>
    <row r="259" ht="15.0" customHeight="1">
      <c r="A259" s="77" t="s">
        <v>2435</v>
      </c>
      <c r="B259" s="38" t="s">
        <v>4905</v>
      </c>
      <c r="C259" s="38"/>
      <c r="D259" s="38"/>
      <c r="E259" s="38"/>
      <c r="F259" s="38"/>
      <c r="G259" s="38"/>
      <c r="H259" s="43" t="s">
        <v>4533</v>
      </c>
      <c r="I259" s="43" t="s">
        <v>4534</v>
      </c>
    </row>
    <row r="260" ht="15.0" customHeight="1">
      <c r="A260" s="77" t="s">
        <v>1369</v>
      </c>
      <c r="B260" s="38" t="s">
        <v>4752</v>
      </c>
      <c r="C260" s="38"/>
      <c r="D260" s="38"/>
      <c r="E260" s="38"/>
      <c r="F260" s="38"/>
      <c r="G260" s="38"/>
      <c r="H260" s="43" t="s">
        <v>4464</v>
      </c>
      <c r="I260" s="43" t="s">
        <v>4465</v>
      </c>
    </row>
    <row r="261" ht="15.0" customHeight="1">
      <c r="A261" s="77" t="s">
        <v>1371</v>
      </c>
      <c r="B261" s="38" t="s">
        <v>4495</v>
      </c>
      <c r="C261" s="38"/>
      <c r="D261" s="38"/>
      <c r="E261" s="38"/>
      <c r="F261" s="38"/>
      <c r="G261" s="38"/>
      <c r="H261" s="43" t="s">
        <v>4464</v>
      </c>
      <c r="I261" s="43" t="s">
        <v>4465</v>
      </c>
    </row>
    <row r="262" ht="15.0" customHeight="1">
      <c r="A262" s="77" t="s">
        <v>1373</v>
      </c>
      <c r="B262" s="38" t="s">
        <v>4463</v>
      </c>
      <c r="C262" s="38"/>
      <c r="D262" s="38"/>
      <c r="E262" s="38"/>
      <c r="F262" s="38"/>
      <c r="G262" s="38"/>
      <c r="H262" s="43" t="s">
        <v>4464</v>
      </c>
      <c r="I262" s="43" t="s">
        <v>4465</v>
      </c>
    </row>
    <row r="263" ht="15.0" customHeight="1">
      <c r="A263" s="77" t="s">
        <v>1376</v>
      </c>
      <c r="B263" s="38" t="s">
        <v>4505</v>
      </c>
      <c r="C263" s="38"/>
      <c r="D263" s="38"/>
      <c r="E263" s="38"/>
      <c r="F263" s="38"/>
      <c r="G263" s="38"/>
      <c r="H263" s="43" t="s">
        <v>4464</v>
      </c>
      <c r="I263" s="43" t="s">
        <v>4465</v>
      </c>
    </row>
    <row r="264" ht="15.0" customHeight="1">
      <c r="A264" s="77" t="s">
        <v>1378</v>
      </c>
      <c r="B264" s="38" t="s">
        <v>4463</v>
      </c>
      <c r="C264" s="38"/>
      <c r="D264" s="38"/>
      <c r="E264" s="38"/>
      <c r="F264" s="38"/>
      <c r="G264" s="38"/>
      <c r="H264" s="43" t="s">
        <v>4464</v>
      </c>
      <c r="I264" s="43" t="s">
        <v>4465</v>
      </c>
    </row>
    <row r="265" ht="15.0" customHeight="1">
      <c r="A265" s="77" t="s">
        <v>1380</v>
      </c>
      <c r="B265" s="38" t="s">
        <v>4945</v>
      </c>
      <c r="C265" s="38"/>
      <c r="D265" s="38"/>
      <c r="E265" s="38"/>
      <c r="F265" s="38"/>
      <c r="G265" s="38"/>
      <c r="H265" s="43" t="s">
        <v>4464</v>
      </c>
      <c r="I265" s="43" t="s">
        <v>4465</v>
      </c>
    </row>
    <row r="266" ht="15.0" customHeight="1">
      <c r="A266" s="77" t="s">
        <v>766</v>
      </c>
      <c r="B266" s="38" t="s">
        <v>4495</v>
      </c>
      <c r="C266" s="38" t="s">
        <v>4523</v>
      </c>
      <c r="D266" s="38"/>
      <c r="E266" s="38"/>
      <c r="F266" s="38"/>
      <c r="G266" s="38"/>
      <c r="H266" s="43" t="s">
        <v>4464</v>
      </c>
      <c r="I266" s="43" t="s">
        <v>4549</v>
      </c>
    </row>
    <row r="267" ht="15.0" customHeight="1">
      <c r="A267" s="77" t="s">
        <v>772</v>
      </c>
      <c r="B267" s="43" t="s">
        <v>4463</v>
      </c>
      <c r="C267" s="43" t="s">
        <v>4946</v>
      </c>
      <c r="D267" s="38"/>
      <c r="E267" s="38"/>
      <c r="F267" s="38"/>
      <c r="G267" s="38"/>
      <c r="H267" s="43" t="s">
        <v>4464</v>
      </c>
      <c r="I267" s="43" t="s">
        <v>4549</v>
      </c>
    </row>
    <row r="268" ht="15.0" customHeight="1">
      <c r="A268" s="77" t="s">
        <v>2604</v>
      </c>
      <c r="B268" s="43" t="s">
        <v>4463</v>
      </c>
      <c r="C268" s="43" t="s">
        <v>4487</v>
      </c>
      <c r="D268" s="38"/>
      <c r="E268" s="38"/>
      <c r="F268" s="38"/>
      <c r="G268" s="38"/>
      <c r="H268" s="43" t="s">
        <v>4491</v>
      </c>
      <c r="I268" s="41" t="s">
        <v>4514</v>
      </c>
    </row>
    <row r="269" ht="15.0" customHeight="1">
      <c r="A269" s="77" t="s">
        <v>1382</v>
      </c>
      <c r="B269" s="43" t="s">
        <v>4560</v>
      </c>
      <c r="C269" s="38"/>
      <c r="D269" s="38"/>
      <c r="E269" s="38"/>
      <c r="F269" s="38"/>
      <c r="G269" s="38"/>
      <c r="H269" s="43" t="s">
        <v>4464</v>
      </c>
      <c r="I269" s="43" t="s">
        <v>4465</v>
      </c>
    </row>
    <row r="270" ht="15.0" customHeight="1">
      <c r="A270" s="77" t="s">
        <v>2438</v>
      </c>
      <c r="B270" s="38" t="s">
        <v>4538</v>
      </c>
      <c r="C270" s="38" t="s">
        <v>4463</v>
      </c>
      <c r="D270" s="38"/>
      <c r="E270" s="38"/>
      <c r="F270" s="38"/>
      <c r="G270" s="38"/>
      <c r="H270" s="43" t="s">
        <v>4533</v>
      </c>
      <c r="I270" s="43" t="s">
        <v>4534</v>
      </c>
    </row>
    <row r="271" ht="15.0" customHeight="1">
      <c r="A271" s="77" t="s">
        <v>1388</v>
      </c>
      <c r="B271" s="43" t="s">
        <v>4948</v>
      </c>
      <c r="C271" s="43" t="s">
        <v>4560</v>
      </c>
      <c r="D271" s="38"/>
      <c r="E271" s="38"/>
      <c r="F271" s="38"/>
      <c r="G271" s="38"/>
      <c r="H271" s="43" t="s">
        <v>4464</v>
      </c>
      <c r="I271" s="43" t="s">
        <v>4465</v>
      </c>
    </row>
    <row r="272" ht="15.0" customHeight="1">
      <c r="A272" s="77" t="s">
        <v>1390</v>
      </c>
      <c r="B272" s="38" t="s">
        <v>4601</v>
      </c>
      <c r="C272" s="38" t="s">
        <v>4495</v>
      </c>
      <c r="D272" s="38"/>
      <c r="E272" s="38"/>
      <c r="F272" s="38"/>
      <c r="G272" s="38"/>
      <c r="H272" s="43" t="s">
        <v>4464</v>
      </c>
      <c r="I272" s="43" t="s">
        <v>4465</v>
      </c>
    </row>
    <row r="273" ht="15.0" customHeight="1">
      <c r="A273" s="77" t="s">
        <v>1392</v>
      </c>
      <c r="B273" s="43" t="s">
        <v>4511</v>
      </c>
      <c r="C273" s="43" t="s">
        <v>4559</v>
      </c>
      <c r="D273" s="38"/>
      <c r="E273" s="38"/>
      <c r="F273" s="38"/>
      <c r="G273" s="38"/>
      <c r="H273" s="43" t="s">
        <v>4464</v>
      </c>
      <c r="I273" s="43" t="s">
        <v>4465</v>
      </c>
    </row>
    <row r="274" ht="15.0" customHeight="1">
      <c r="A274" s="77" t="s">
        <v>777</v>
      </c>
      <c r="B274" s="43" t="s">
        <v>4569</v>
      </c>
      <c r="C274" s="43" t="s">
        <v>4559</v>
      </c>
      <c r="D274" s="38"/>
      <c r="E274" s="38"/>
      <c r="F274" s="38"/>
      <c r="G274" s="38"/>
      <c r="H274" s="43" t="s">
        <v>4464</v>
      </c>
      <c r="I274" s="43" t="s">
        <v>4549</v>
      </c>
    </row>
    <row r="275" ht="15.0" customHeight="1">
      <c r="A275" s="77" t="s">
        <v>1394</v>
      </c>
      <c r="B275" s="38" t="s">
        <v>4864</v>
      </c>
      <c r="C275" s="38" t="s">
        <v>4905</v>
      </c>
      <c r="D275" s="38" t="s">
        <v>4951</v>
      </c>
      <c r="E275" s="38"/>
      <c r="F275" s="38"/>
      <c r="G275" s="38"/>
      <c r="H275" s="43" t="s">
        <v>4464</v>
      </c>
      <c r="I275" s="43" t="s">
        <v>4465</v>
      </c>
    </row>
    <row r="276" ht="15.0" customHeight="1">
      <c r="A276" s="76" t="s">
        <v>1397</v>
      </c>
      <c r="B276" s="43" t="s">
        <v>4864</v>
      </c>
      <c r="C276" s="43" t="s">
        <v>4905</v>
      </c>
      <c r="D276" s="43" t="s">
        <v>4776</v>
      </c>
      <c r="E276" s="38"/>
      <c r="F276" s="38"/>
      <c r="G276" s="38"/>
      <c r="H276" s="43" t="s">
        <v>4464</v>
      </c>
      <c r="I276" s="43" t="s">
        <v>4465</v>
      </c>
    </row>
    <row r="277" ht="15.0" customHeight="1">
      <c r="A277" s="77" t="s">
        <v>1399</v>
      </c>
      <c r="B277" s="38" t="s">
        <v>4952</v>
      </c>
      <c r="C277" s="38" t="s">
        <v>4495</v>
      </c>
      <c r="D277" s="38"/>
      <c r="E277" s="38"/>
      <c r="F277" s="38"/>
      <c r="G277" s="38"/>
      <c r="H277" s="43" t="s">
        <v>4464</v>
      </c>
      <c r="I277" s="43" t="s">
        <v>4465</v>
      </c>
    </row>
    <row r="278" ht="15.0" customHeight="1">
      <c r="A278" s="77" t="s">
        <v>1402</v>
      </c>
      <c r="B278" s="38" t="s">
        <v>4470</v>
      </c>
      <c r="C278" s="38" t="s">
        <v>4463</v>
      </c>
      <c r="D278" s="38" t="s">
        <v>4951</v>
      </c>
      <c r="E278" s="38" t="s">
        <v>4954</v>
      </c>
      <c r="F278" s="38"/>
      <c r="G278" s="38"/>
      <c r="H278" s="43" t="s">
        <v>4464</v>
      </c>
      <c r="I278" s="43" t="s">
        <v>4465</v>
      </c>
    </row>
    <row r="279" ht="15.0" customHeight="1">
      <c r="A279" s="77" t="s">
        <v>1404</v>
      </c>
      <c r="B279" s="38" t="s">
        <v>4601</v>
      </c>
      <c r="C279" s="38" t="s">
        <v>4495</v>
      </c>
      <c r="D279" s="38"/>
      <c r="E279" s="38"/>
      <c r="F279" s="38"/>
      <c r="G279" s="38"/>
      <c r="H279" s="43" t="s">
        <v>4464</v>
      </c>
      <c r="I279" s="43" t="s">
        <v>4465</v>
      </c>
    </row>
    <row r="280" ht="15.0" customHeight="1">
      <c r="A280" s="77" t="s">
        <v>1408</v>
      </c>
      <c r="B280" s="38" t="s">
        <v>4864</v>
      </c>
      <c r="C280" s="38" t="s">
        <v>4905</v>
      </c>
      <c r="D280" s="38"/>
      <c r="E280" s="38"/>
      <c r="F280" s="38"/>
      <c r="G280" s="38"/>
      <c r="H280" s="43" t="s">
        <v>4464</v>
      </c>
      <c r="I280" s="43" t="s">
        <v>4465</v>
      </c>
    </row>
    <row r="281" ht="15.0" customHeight="1">
      <c r="A281" s="77" t="s">
        <v>1410</v>
      </c>
      <c r="B281" s="38" t="s">
        <v>4505</v>
      </c>
      <c r="C281" s="38"/>
      <c r="D281" s="38"/>
      <c r="E281" s="38"/>
      <c r="F281" s="38"/>
      <c r="G281" s="38"/>
      <c r="H281" s="43" t="s">
        <v>4464</v>
      </c>
      <c r="I281" s="43" t="s">
        <v>4465</v>
      </c>
    </row>
    <row r="282" ht="15.0" customHeight="1">
      <c r="A282" s="77" t="s">
        <v>1798</v>
      </c>
      <c r="B282" s="38" t="s">
        <v>4914</v>
      </c>
      <c r="C282" s="38" t="s">
        <v>4955</v>
      </c>
      <c r="D282" s="38" t="s">
        <v>4956</v>
      </c>
      <c r="E282" s="38" t="s">
        <v>4566</v>
      </c>
      <c r="F282" s="38"/>
      <c r="G282" s="38"/>
      <c r="H282" s="43" t="s">
        <v>4567</v>
      </c>
      <c r="I282" s="43" t="s">
        <v>4485</v>
      </c>
    </row>
    <row r="283" ht="15.0" customHeight="1">
      <c r="A283" s="77" t="s">
        <v>1412</v>
      </c>
      <c r="B283" s="38" t="s">
        <v>4469</v>
      </c>
      <c r="C283" s="38" t="s">
        <v>4559</v>
      </c>
      <c r="D283" s="38"/>
      <c r="E283" s="38"/>
      <c r="F283" s="38"/>
      <c r="G283" s="38"/>
      <c r="H283" s="43" t="s">
        <v>4464</v>
      </c>
      <c r="I283" s="43" t="s">
        <v>4465</v>
      </c>
    </row>
    <row r="284" ht="15.0" customHeight="1">
      <c r="A284" s="77" t="s">
        <v>2176</v>
      </c>
      <c r="B284" s="84" t="s">
        <v>4814</v>
      </c>
      <c r="C284" s="84" t="s">
        <v>4960</v>
      </c>
      <c r="D284" s="38"/>
      <c r="E284" s="38"/>
      <c r="F284" s="38"/>
      <c r="G284" s="38"/>
      <c r="H284" s="43" t="s">
        <v>4464</v>
      </c>
      <c r="I284" s="43" t="s">
        <v>4516</v>
      </c>
    </row>
    <row r="285" ht="15.0" customHeight="1">
      <c r="A285" s="77" t="s">
        <v>1800</v>
      </c>
      <c r="B285" s="38" t="s">
        <v>4719</v>
      </c>
      <c r="C285" s="38" t="s">
        <v>4511</v>
      </c>
      <c r="D285" s="38" t="s">
        <v>4558</v>
      </c>
      <c r="E285" s="38" t="s">
        <v>4467</v>
      </c>
      <c r="F285" s="38"/>
      <c r="G285" s="38"/>
      <c r="H285" s="43" t="s">
        <v>4464</v>
      </c>
      <c r="I285" s="43" t="s">
        <v>4485</v>
      </c>
    </row>
    <row r="286" ht="15.0" customHeight="1">
      <c r="A286" s="77" t="s">
        <v>1416</v>
      </c>
      <c r="B286" s="38" t="s">
        <v>4834</v>
      </c>
      <c r="C286" s="38" t="s">
        <v>4569</v>
      </c>
      <c r="D286" s="38" t="s">
        <v>4579</v>
      </c>
      <c r="E286" s="38"/>
      <c r="F286" s="38"/>
      <c r="G286" s="38"/>
      <c r="H286" s="43" t="s">
        <v>4464</v>
      </c>
      <c r="I286" s="43" t="s">
        <v>4465</v>
      </c>
    </row>
    <row r="287" ht="15.0" customHeight="1">
      <c r="A287" s="77" t="s">
        <v>1041</v>
      </c>
      <c r="B287" s="38" t="s">
        <v>4505</v>
      </c>
      <c r="C287" s="38"/>
      <c r="D287" s="38"/>
      <c r="E287" s="38"/>
      <c r="F287" s="38"/>
      <c r="G287" s="38"/>
      <c r="H287" s="43" t="s">
        <v>4464</v>
      </c>
      <c r="I287" s="43" t="s">
        <v>4500</v>
      </c>
    </row>
    <row r="288" ht="15.0" customHeight="1">
      <c r="A288" s="77" t="s">
        <v>792</v>
      </c>
      <c r="B288" s="38" t="s">
        <v>4511</v>
      </c>
      <c r="C288" s="38" t="s">
        <v>4512</v>
      </c>
      <c r="D288" s="38"/>
      <c r="E288" s="38"/>
      <c r="F288" s="38"/>
      <c r="G288" s="38"/>
      <c r="H288" s="43" t="s">
        <v>4464</v>
      </c>
      <c r="I288" s="43" t="s">
        <v>4549</v>
      </c>
    </row>
    <row r="289" ht="15.0" customHeight="1">
      <c r="A289" s="77" t="s">
        <v>3846</v>
      </c>
      <c r="B289" s="38" t="s">
        <v>4505</v>
      </c>
      <c r="C289" s="38"/>
      <c r="D289" s="38"/>
      <c r="E289" s="38"/>
      <c r="F289" s="38"/>
      <c r="G289" s="38"/>
      <c r="H289" s="43" t="s">
        <v>4464</v>
      </c>
      <c r="I289" s="43" t="s">
        <v>4477</v>
      </c>
    </row>
    <row r="290" ht="15.0" customHeight="1">
      <c r="A290" s="77" t="s">
        <v>4162</v>
      </c>
      <c r="B290" s="38" t="s">
        <v>4690</v>
      </c>
      <c r="C290" s="38"/>
      <c r="D290" s="38"/>
      <c r="E290" s="38"/>
      <c r="F290" s="38"/>
      <c r="G290" s="38"/>
      <c r="H290" s="43" t="s">
        <v>4464</v>
      </c>
      <c r="I290" s="43" t="s">
        <v>4460</v>
      </c>
    </row>
    <row r="291" ht="15.0" customHeight="1">
      <c r="A291" s="77" t="s">
        <v>2609</v>
      </c>
      <c r="B291" s="38" t="s">
        <v>4470</v>
      </c>
      <c r="C291" s="38" t="s">
        <v>4774</v>
      </c>
      <c r="D291" s="38" t="s">
        <v>4772</v>
      </c>
      <c r="E291" s="38"/>
      <c r="F291" s="38"/>
      <c r="G291" s="38"/>
      <c r="H291" s="43" t="s">
        <v>4513</v>
      </c>
      <c r="I291" s="43" t="s">
        <v>4514</v>
      </c>
    </row>
    <row r="292" ht="15.0" customHeight="1">
      <c r="A292" s="76" t="s">
        <v>1429</v>
      </c>
      <c r="B292" s="38" t="s">
        <v>4964</v>
      </c>
      <c r="C292" s="38"/>
      <c r="D292" s="38"/>
      <c r="E292" s="38"/>
      <c r="F292" s="38"/>
      <c r="G292" s="38"/>
      <c r="H292" s="43" t="s">
        <v>4464</v>
      </c>
      <c r="I292" s="43" t="s">
        <v>4465</v>
      </c>
    </row>
    <row r="293" ht="15.0" customHeight="1">
      <c r="A293" s="77" t="s">
        <v>2440</v>
      </c>
      <c r="B293" s="38" t="s">
        <v>4462</v>
      </c>
      <c r="C293" s="38"/>
      <c r="D293" s="38"/>
      <c r="E293" s="38"/>
      <c r="F293" s="38"/>
      <c r="G293" s="38"/>
      <c r="H293" s="43" t="s">
        <v>4533</v>
      </c>
      <c r="I293" s="43" t="s">
        <v>4534</v>
      </c>
    </row>
    <row r="294" ht="15.0" customHeight="1">
      <c r="A294" s="77" t="s">
        <v>3992</v>
      </c>
      <c r="B294" s="38" t="s">
        <v>4717</v>
      </c>
      <c r="C294" s="38"/>
      <c r="D294" s="38"/>
      <c r="E294" s="38"/>
      <c r="F294" s="38"/>
      <c r="G294" s="38"/>
      <c r="H294" s="43" t="s">
        <v>4464</v>
      </c>
      <c r="I294" s="43" t="s">
        <v>4966</v>
      </c>
    </row>
    <row r="295" ht="15.0" customHeight="1">
      <c r="A295" s="77" t="s">
        <v>1436</v>
      </c>
      <c r="B295" s="43" t="s">
        <v>4967</v>
      </c>
      <c r="C295" s="43" t="s">
        <v>4717</v>
      </c>
      <c r="D295" s="43" t="s">
        <v>4656</v>
      </c>
      <c r="E295" s="38"/>
      <c r="F295" s="38"/>
      <c r="G295" s="38"/>
      <c r="H295" s="43" t="s">
        <v>4459</v>
      </c>
      <c r="I295" s="43" t="s">
        <v>4465</v>
      </c>
    </row>
    <row r="296" ht="15.0" customHeight="1">
      <c r="A296" s="77" t="s">
        <v>3853</v>
      </c>
      <c r="B296" s="43" t="s">
        <v>4814</v>
      </c>
      <c r="C296" s="38"/>
      <c r="D296" s="38"/>
      <c r="E296" s="38"/>
      <c r="F296" s="38"/>
      <c r="G296" s="38"/>
      <c r="H296" s="43" t="s">
        <v>4464</v>
      </c>
      <c r="I296" s="43" t="s">
        <v>4477</v>
      </c>
    </row>
    <row r="297" ht="15.0" customHeight="1">
      <c r="A297" s="77" t="s">
        <v>1439</v>
      </c>
      <c r="B297" s="43" t="s">
        <v>4969</v>
      </c>
      <c r="C297" s="43" t="s">
        <v>4511</v>
      </c>
      <c r="D297" s="38"/>
      <c r="E297" s="38"/>
      <c r="F297" s="38"/>
      <c r="G297" s="38"/>
      <c r="H297" s="43" t="s">
        <v>4464</v>
      </c>
      <c r="I297" s="43" t="s">
        <v>4465</v>
      </c>
    </row>
    <row r="298" ht="15.0" customHeight="1">
      <c r="A298" s="77" t="s">
        <v>4266</v>
      </c>
      <c r="B298" s="38" t="s">
        <v>4719</v>
      </c>
      <c r="C298" s="38"/>
      <c r="D298" s="38"/>
      <c r="E298" s="38"/>
      <c r="F298" s="38"/>
      <c r="G298" s="38"/>
      <c r="H298" s="43" t="s">
        <v>4464</v>
      </c>
      <c r="I298" s="43" t="s">
        <v>4482</v>
      </c>
    </row>
    <row r="299" ht="15.0" customHeight="1">
      <c r="A299" s="77" t="s">
        <v>3545</v>
      </c>
      <c r="B299" s="43" t="s">
        <v>4786</v>
      </c>
      <c r="C299" s="38"/>
      <c r="D299" s="38"/>
      <c r="E299" s="38"/>
      <c r="F299" s="38"/>
      <c r="G299" s="38"/>
      <c r="H299" s="43" t="s">
        <v>4971</v>
      </c>
      <c r="I299" s="43" t="s">
        <v>4473</v>
      </c>
    </row>
    <row r="300" ht="15.0" customHeight="1">
      <c r="A300" s="77" t="s">
        <v>3854</v>
      </c>
      <c r="B300" s="43" t="s">
        <v>4615</v>
      </c>
      <c r="C300" s="38"/>
      <c r="D300" s="38"/>
      <c r="E300" s="38"/>
      <c r="F300" s="38"/>
      <c r="G300" s="38"/>
      <c r="H300" s="43" t="s">
        <v>4971</v>
      </c>
      <c r="I300" s="43" t="s">
        <v>4477</v>
      </c>
    </row>
    <row r="301" ht="15.0" customHeight="1">
      <c r="A301" s="77" t="s">
        <v>4275</v>
      </c>
      <c r="B301" s="43" t="s">
        <v>4615</v>
      </c>
      <c r="C301" s="38"/>
      <c r="D301" s="38"/>
      <c r="E301" s="38"/>
      <c r="F301" s="38"/>
      <c r="G301" s="38"/>
      <c r="H301" s="43" t="s">
        <v>4971</v>
      </c>
      <c r="I301" s="41" t="s">
        <v>4497</v>
      </c>
    </row>
    <row r="302" ht="15.0" customHeight="1">
      <c r="A302" s="77" t="s">
        <v>803</v>
      </c>
      <c r="B302" s="43" t="s">
        <v>4487</v>
      </c>
      <c r="C302" s="43" t="s">
        <v>4973</v>
      </c>
      <c r="D302" s="43" t="s">
        <v>4489</v>
      </c>
      <c r="E302" s="43" t="s">
        <v>4665</v>
      </c>
      <c r="F302" s="38"/>
      <c r="G302" s="38"/>
      <c r="H302" s="43" t="s">
        <v>4491</v>
      </c>
      <c r="I302" s="43" t="s">
        <v>4549</v>
      </c>
    </row>
    <row r="303" ht="15.0" customHeight="1">
      <c r="A303" s="77" t="s">
        <v>1105</v>
      </c>
      <c r="B303" s="43" t="s">
        <v>4487</v>
      </c>
      <c r="C303" s="43" t="s">
        <v>4974</v>
      </c>
      <c r="D303" s="43" t="s">
        <v>4489</v>
      </c>
      <c r="E303" s="38"/>
      <c r="F303" s="38"/>
      <c r="G303" s="38"/>
      <c r="H303" s="43" t="s">
        <v>4491</v>
      </c>
      <c r="I303" s="43" t="s">
        <v>4500</v>
      </c>
    </row>
    <row r="304" ht="15.0" customHeight="1">
      <c r="A304" s="77" t="s">
        <v>2218</v>
      </c>
      <c r="B304" s="38" t="s">
        <v>4524</v>
      </c>
      <c r="C304" s="38"/>
      <c r="D304" s="38"/>
      <c r="E304" s="38"/>
      <c r="F304" s="38"/>
      <c r="G304" s="38"/>
      <c r="H304" s="43" t="s">
        <v>4525</v>
      </c>
      <c r="I304" s="43" t="s">
        <v>4479</v>
      </c>
    </row>
    <row r="305" ht="15.0" customHeight="1">
      <c r="A305" s="77" t="s">
        <v>3858</v>
      </c>
      <c r="B305" s="38" t="s">
        <v>4976</v>
      </c>
      <c r="C305" s="38" t="s">
        <v>4820</v>
      </c>
      <c r="D305" s="38" t="s">
        <v>4977</v>
      </c>
      <c r="E305" s="38"/>
      <c r="F305" s="38"/>
      <c r="G305" s="38"/>
      <c r="H305" s="43" t="s">
        <v>4464</v>
      </c>
      <c r="I305" s="43" t="s">
        <v>4477</v>
      </c>
    </row>
    <row r="306" ht="15.0" customHeight="1">
      <c r="A306" s="77" t="s">
        <v>1455</v>
      </c>
      <c r="B306" s="38" t="s">
        <v>4979</v>
      </c>
      <c r="C306" s="38" t="s">
        <v>4463</v>
      </c>
      <c r="D306" s="38" t="s">
        <v>4511</v>
      </c>
      <c r="E306" s="38"/>
      <c r="F306" s="38"/>
      <c r="G306" s="38"/>
      <c r="H306" s="43" t="s">
        <v>4464</v>
      </c>
      <c r="I306" s="43" t="s">
        <v>4465</v>
      </c>
    </row>
    <row r="307" ht="15.0" customHeight="1">
      <c r="A307" s="77" t="s">
        <v>2616</v>
      </c>
      <c r="B307" s="43" t="s">
        <v>4981</v>
      </c>
      <c r="C307" s="43" t="s">
        <v>4487</v>
      </c>
      <c r="D307" s="38"/>
      <c r="E307" s="38"/>
      <c r="F307" s="38"/>
      <c r="G307" s="38"/>
      <c r="H307" s="43" t="s">
        <v>4464</v>
      </c>
      <c r="I307" s="43" t="s">
        <v>4514</v>
      </c>
    </row>
    <row r="308" ht="15.0" customHeight="1">
      <c r="A308" s="77" t="s">
        <v>806</v>
      </c>
      <c r="B308" s="38" t="s">
        <v>4982</v>
      </c>
      <c r="C308" s="38" t="s">
        <v>4983</v>
      </c>
      <c r="D308" s="38" t="s">
        <v>4792</v>
      </c>
      <c r="E308" s="38"/>
      <c r="F308" s="38"/>
      <c r="G308" s="38"/>
      <c r="H308" s="43" t="s">
        <v>4464</v>
      </c>
      <c r="I308" s="43" t="s">
        <v>4549</v>
      </c>
    </row>
    <row r="309" ht="15.0" customHeight="1">
      <c r="A309" s="77" t="s">
        <v>1459</v>
      </c>
      <c r="B309" s="38" t="s">
        <v>4984</v>
      </c>
      <c r="C309" s="38"/>
      <c r="D309" s="38"/>
      <c r="E309" s="38"/>
      <c r="F309" s="38"/>
      <c r="G309" s="38"/>
      <c r="H309" s="43" t="s">
        <v>4464</v>
      </c>
      <c r="I309" s="43" t="s">
        <v>4465</v>
      </c>
    </row>
    <row r="310" ht="15.0" customHeight="1">
      <c r="A310" s="77" t="s">
        <v>1461</v>
      </c>
      <c r="B310" s="38" t="s">
        <v>4696</v>
      </c>
      <c r="C310" s="38"/>
      <c r="D310" s="38"/>
      <c r="E310" s="38"/>
      <c r="F310" s="38"/>
      <c r="G310" s="38"/>
      <c r="H310" s="43" t="s">
        <v>4464</v>
      </c>
      <c r="I310" s="43" t="s">
        <v>4465</v>
      </c>
    </row>
    <row r="311" ht="15.0" customHeight="1">
      <c r="A311" s="77" t="s">
        <v>1464</v>
      </c>
      <c r="B311" s="43" t="s">
        <v>4986</v>
      </c>
      <c r="C311" s="43" t="s">
        <v>4558</v>
      </c>
      <c r="D311" s="38"/>
      <c r="E311" s="38"/>
      <c r="F311" s="38"/>
      <c r="G311" s="38"/>
      <c r="H311" s="43" t="s">
        <v>4464</v>
      </c>
      <c r="I311" s="43" t="s">
        <v>4465</v>
      </c>
    </row>
    <row r="312" ht="15.0" customHeight="1">
      <c r="A312" s="77" t="s">
        <v>1466</v>
      </c>
      <c r="B312" s="38" t="s">
        <v>4654</v>
      </c>
      <c r="C312" s="38"/>
      <c r="D312" s="38"/>
      <c r="E312" s="38"/>
      <c r="F312" s="38"/>
      <c r="G312" s="38"/>
      <c r="H312" s="43" t="s">
        <v>4464</v>
      </c>
      <c r="I312" s="43" t="s">
        <v>4465</v>
      </c>
    </row>
    <row r="313" ht="15.0" customHeight="1">
      <c r="A313" s="77" t="s">
        <v>1469</v>
      </c>
      <c r="B313" s="43" t="s">
        <v>4988</v>
      </c>
      <c r="C313" s="38"/>
      <c r="D313" s="38"/>
      <c r="E313" s="38"/>
      <c r="F313" s="38"/>
      <c r="G313" s="38"/>
      <c r="H313" s="43" t="s">
        <v>4464</v>
      </c>
      <c r="I313" s="43" t="s">
        <v>4465</v>
      </c>
    </row>
    <row r="314" ht="15.0" customHeight="1">
      <c r="A314" s="77" t="s">
        <v>1471</v>
      </c>
      <c r="B314" s="38" t="s">
        <v>4990</v>
      </c>
      <c r="C314" s="38"/>
      <c r="D314" s="38"/>
      <c r="E314" s="38"/>
      <c r="F314" s="38"/>
      <c r="G314" s="38"/>
      <c r="H314" s="43" t="s">
        <v>4464</v>
      </c>
      <c r="I314" s="43" t="s">
        <v>4465</v>
      </c>
    </row>
    <row r="315" ht="15.0" customHeight="1">
      <c r="A315" s="77" t="s">
        <v>4163</v>
      </c>
      <c r="B315" s="38" t="s">
        <v>4511</v>
      </c>
      <c r="C315" s="38" t="s">
        <v>4696</v>
      </c>
      <c r="D315" s="38"/>
      <c r="E315" s="38"/>
      <c r="F315" s="38"/>
      <c r="G315" s="38"/>
      <c r="H315" s="43" t="s">
        <v>4464</v>
      </c>
      <c r="I315" s="43" t="s">
        <v>4460</v>
      </c>
    </row>
    <row r="316" ht="15.0" customHeight="1">
      <c r="A316" s="77" t="s">
        <v>1474</v>
      </c>
      <c r="B316" s="43" t="s">
        <v>4654</v>
      </c>
      <c r="C316" s="38"/>
      <c r="D316" s="38"/>
      <c r="E316" s="38"/>
      <c r="F316" s="38"/>
      <c r="G316" s="38"/>
      <c r="H316" s="43" t="s">
        <v>4464</v>
      </c>
      <c r="I316" s="43" t="s">
        <v>4465</v>
      </c>
    </row>
    <row r="317" ht="15.0" customHeight="1">
      <c r="A317" s="77" t="s">
        <v>1476</v>
      </c>
      <c r="B317" s="38" t="s">
        <v>4993</v>
      </c>
      <c r="C317" s="38"/>
      <c r="D317" s="38"/>
      <c r="E317" s="38"/>
      <c r="F317" s="38"/>
      <c r="G317" s="38"/>
      <c r="H317" s="43" t="s">
        <v>4464</v>
      </c>
      <c r="I317" s="43" t="s">
        <v>4465</v>
      </c>
    </row>
    <row r="318" ht="15.0" customHeight="1">
      <c r="A318" s="77" t="s">
        <v>1479</v>
      </c>
      <c r="B318" s="38" t="s">
        <v>4511</v>
      </c>
      <c r="C318" s="38"/>
      <c r="D318" s="38"/>
      <c r="E318" s="38"/>
      <c r="F318" s="38"/>
      <c r="G318" s="38"/>
      <c r="H318" s="43" t="s">
        <v>4464</v>
      </c>
      <c r="I318" s="43" t="s">
        <v>4465</v>
      </c>
    </row>
    <row r="319" ht="15.0" customHeight="1">
      <c r="A319" s="77" t="s">
        <v>1481</v>
      </c>
      <c r="B319" s="38" t="s">
        <v>4470</v>
      </c>
      <c r="C319" s="38"/>
      <c r="D319" s="38"/>
      <c r="E319" s="38"/>
      <c r="F319" s="38"/>
      <c r="G319" s="38"/>
      <c r="H319" s="43" t="s">
        <v>4464</v>
      </c>
      <c r="I319" s="43" t="s">
        <v>4465</v>
      </c>
    </row>
    <row r="320" ht="15.0" customHeight="1">
      <c r="A320" s="77" t="s">
        <v>808</v>
      </c>
      <c r="B320" s="38" t="s">
        <v>4466</v>
      </c>
      <c r="C320" s="38" t="s">
        <v>4512</v>
      </c>
      <c r="D320" s="38"/>
      <c r="E320" s="38"/>
      <c r="F320" s="38"/>
      <c r="G320" s="38"/>
      <c r="H320" s="43" t="s">
        <v>4464</v>
      </c>
      <c r="I320" s="43" t="s">
        <v>4549</v>
      </c>
    </row>
    <row r="321" ht="15.0" customHeight="1">
      <c r="A321" s="77" t="s">
        <v>3859</v>
      </c>
      <c r="B321" s="43" t="s">
        <v>4997</v>
      </c>
      <c r="C321" s="43" t="s">
        <v>4998</v>
      </c>
      <c r="D321" s="38"/>
      <c r="E321" s="38"/>
      <c r="F321" s="38"/>
      <c r="G321" s="38"/>
      <c r="H321" s="43" t="s">
        <v>4464</v>
      </c>
      <c r="I321" s="43" t="s">
        <v>4477</v>
      </c>
    </row>
    <row r="322" ht="15.0" customHeight="1">
      <c r="A322" s="77" t="s">
        <v>1131</v>
      </c>
      <c r="B322" s="43" t="s">
        <v>4489</v>
      </c>
      <c r="C322" s="43" t="s">
        <v>5000</v>
      </c>
      <c r="D322" s="38"/>
      <c r="E322" s="38"/>
      <c r="F322" s="38"/>
      <c r="G322" s="38"/>
      <c r="H322" s="43" t="s">
        <v>4464</v>
      </c>
      <c r="I322" s="43" t="s">
        <v>4500</v>
      </c>
    </row>
    <row r="323" ht="15.0" customHeight="1">
      <c r="A323" s="77" t="s">
        <v>1492</v>
      </c>
      <c r="B323" s="43" t="s">
        <v>5001</v>
      </c>
      <c r="C323" s="43" t="s">
        <v>4661</v>
      </c>
      <c r="D323" s="38"/>
      <c r="E323" s="38"/>
      <c r="F323" s="38"/>
      <c r="G323" s="38"/>
      <c r="H323" s="43" t="s">
        <v>4491</v>
      </c>
      <c r="I323" s="43" t="s">
        <v>4465</v>
      </c>
    </row>
    <row r="324" ht="15.0" customHeight="1">
      <c r="A324" s="77" t="s">
        <v>1495</v>
      </c>
      <c r="B324" s="43" t="s">
        <v>5001</v>
      </c>
      <c r="C324" s="43" t="s">
        <v>4560</v>
      </c>
      <c r="D324" s="43" t="s">
        <v>5003</v>
      </c>
      <c r="E324" s="38"/>
      <c r="F324" s="38"/>
      <c r="G324" s="38"/>
      <c r="H324" s="43" t="s">
        <v>4491</v>
      </c>
      <c r="I324" s="43" t="s">
        <v>4465</v>
      </c>
    </row>
    <row r="325" ht="15.0" customHeight="1">
      <c r="A325" s="77" t="s">
        <v>2189</v>
      </c>
      <c r="B325" s="43" t="s">
        <v>4501</v>
      </c>
      <c r="C325" s="43" t="s">
        <v>4749</v>
      </c>
      <c r="D325" s="38"/>
      <c r="E325" s="38"/>
      <c r="F325" s="38"/>
      <c r="G325" s="38"/>
      <c r="H325" s="43" t="s">
        <v>4491</v>
      </c>
      <c r="I325" s="43" t="s">
        <v>4516</v>
      </c>
    </row>
    <row r="326" ht="15.0" customHeight="1">
      <c r="A326" s="77" t="s">
        <v>1146</v>
      </c>
      <c r="B326" s="43" t="s">
        <v>5004</v>
      </c>
      <c r="C326" s="43" t="s">
        <v>4470</v>
      </c>
      <c r="D326" s="38"/>
      <c r="E326" s="38"/>
      <c r="F326" s="38"/>
      <c r="G326" s="38"/>
      <c r="H326" s="43" t="s">
        <v>4464</v>
      </c>
      <c r="I326" s="43" t="s">
        <v>4500</v>
      </c>
    </row>
    <row r="327" ht="15.0" customHeight="1">
      <c r="A327" s="77" t="s">
        <v>1807</v>
      </c>
      <c r="B327" s="38" t="s">
        <v>5005</v>
      </c>
      <c r="C327" s="38"/>
      <c r="D327" s="38"/>
      <c r="E327" s="38"/>
      <c r="F327" s="38"/>
      <c r="G327" s="38"/>
      <c r="H327" s="43" t="s">
        <v>4464</v>
      </c>
      <c r="I327" s="43" t="s">
        <v>4485</v>
      </c>
    </row>
    <row r="328" ht="15.0" customHeight="1">
      <c r="A328" s="77" t="s">
        <v>1502</v>
      </c>
      <c r="B328" s="38" t="s">
        <v>4463</v>
      </c>
      <c r="C328" s="38"/>
      <c r="D328" s="38"/>
      <c r="E328" s="38"/>
      <c r="F328" s="38"/>
      <c r="G328" s="38"/>
      <c r="H328" s="43" t="s">
        <v>4533</v>
      </c>
      <c r="I328" s="43" t="s">
        <v>4465</v>
      </c>
    </row>
    <row r="329" ht="15.0" customHeight="1">
      <c r="A329" s="77" t="s">
        <v>4164</v>
      </c>
      <c r="B329" s="43" t="s">
        <v>5007</v>
      </c>
      <c r="C329" s="38"/>
      <c r="D329" s="38"/>
      <c r="E329" s="38"/>
      <c r="F329" s="38"/>
      <c r="G329" s="38"/>
      <c r="H329" s="43" t="s">
        <v>4464</v>
      </c>
      <c r="I329" s="43" t="s">
        <v>4460</v>
      </c>
    </row>
    <row r="330" ht="15.0" customHeight="1">
      <c r="A330" s="77" t="s">
        <v>1504</v>
      </c>
      <c r="B330" s="43" t="s">
        <v>4503</v>
      </c>
      <c r="C330" s="43" t="s">
        <v>4969</v>
      </c>
      <c r="D330" s="38"/>
      <c r="E330" s="38"/>
      <c r="F330" s="38"/>
      <c r="G330" s="38"/>
      <c r="H330" s="43" t="s">
        <v>4464</v>
      </c>
      <c r="I330" s="43" t="s">
        <v>4465</v>
      </c>
    </row>
    <row r="331" ht="15.0" customHeight="1">
      <c r="A331" s="77" t="s">
        <v>4270</v>
      </c>
      <c r="B331" s="43" t="s">
        <v>5008</v>
      </c>
      <c r="C331" s="38"/>
      <c r="D331" s="38"/>
      <c r="E331" s="38"/>
      <c r="F331" s="38"/>
      <c r="G331" s="38"/>
      <c r="H331" s="43" t="s">
        <v>4464</v>
      </c>
      <c r="I331" s="43" t="s">
        <v>4482</v>
      </c>
    </row>
    <row r="332" ht="15.0" customHeight="1">
      <c r="A332" s="77" t="s">
        <v>1163</v>
      </c>
      <c r="B332" s="43" t="s">
        <v>4570</v>
      </c>
      <c r="C332" s="38"/>
      <c r="D332" s="38"/>
      <c r="E332" s="38"/>
      <c r="F332" s="38"/>
      <c r="G332" s="38"/>
      <c r="H332" s="43" t="s">
        <v>4464</v>
      </c>
      <c r="I332" s="43" t="s">
        <v>4500</v>
      </c>
    </row>
    <row r="333" ht="15.0" customHeight="1">
      <c r="A333" s="77" t="s">
        <v>5009</v>
      </c>
      <c r="B333" s="38" t="s">
        <v>5010</v>
      </c>
      <c r="C333" s="38" t="s">
        <v>4684</v>
      </c>
      <c r="D333" s="38"/>
      <c r="E333" s="38"/>
      <c r="F333" s="38"/>
      <c r="G333" s="38"/>
      <c r="H333" s="43" t="s">
        <v>5011</v>
      </c>
      <c r="I333" s="43" t="s">
        <v>4611</v>
      </c>
    </row>
    <row r="334" ht="15.0" customHeight="1">
      <c r="A334" s="76" t="s">
        <v>1510</v>
      </c>
      <c r="B334" s="38" t="s">
        <v>4670</v>
      </c>
      <c r="C334" s="38"/>
      <c r="D334" s="38"/>
      <c r="E334" s="38"/>
      <c r="F334" s="38"/>
      <c r="G334" s="38"/>
      <c r="H334" s="43" t="s">
        <v>4464</v>
      </c>
      <c r="I334" s="43" t="s">
        <v>4465</v>
      </c>
    </row>
    <row r="335" ht="15.0" customHeight="1">
      <c r="A335" s="77" t="s">
        <v>1516</v>
      </c>
      <c r="B335" s="38" t="s">
        <v>4511</v>
      </c>
      <c r="C335" s="38" t="s">
        <v>4558</v>
      </c>
      <c r="D335" s="38" t="s">
        <v>4467</v>
      </c>
      <c r="E335" s="38" t="s">
        <v>4559</v>
      </c>
      <c r="F335" s="38"/>
      <c r="G335" s="38"/>
      <c r="H335" s="43" t="s">
        <v>4464</v>
      </c>
      <c r="I335" s="43" t="s">
        <v>4465</v>
      </c>
    </row>
    <row r="336" ht="15.0" customHeight="1">
      <c r="A336" s="77" t="s">
        <v>1206</v>
      </c>
      <c r="B336" s="43" t="s">
        <v>4523</v>
      </c>
      <c r="C336" s="38"/>
      <c r="D336" s="38"/>
      <c r="E336" s="38"/>
      <c r="F336" s="38"/>
      <c r="G336" s="38"/>
      <c r="H336" s="43" t="s">
        <v>4464</v>
      </c>
      <c r="I336" s="43" t="s">
        <v>4500</v>
      </c>
    </row>
    <row r="337" ht="15.0" customHeight="1">
      <c r="A337" s="77" t="s">
        <v>1819</v>
      </c>
      <c r="B337" s="38" t="s">
        <v>4507</v>
      </c>
      <c r="C337" s="38" t="s">
        <v>4570</v>
      </c>
      <c r="D337" s="38" t="s">
        <v>4696</v>
      </c>
      <c r="E337" s="38"/>
      <c r="F337" s="38"/>
      <c r="G337" s="38"/>
      <c r="H337" s="43" t="s">
        <v>4464</v>
      </c>
      <c r="I337" s="43" t="s">
        <v>4485</v>
      </c>
    </row>
    <row r="338" ht="15.0" customHeight="1">
      <c r="A338" s="77" t="s">
        <v>2198</v>
      </c>
      <c r="B338" s="43" t="s">
        <v>5012</v>
      </c>
      <c r="C338" s="38"/>
      <c r="D338" s="38"/>
      <c r="E338" s="38"/>
      <c r="F338" s="38"/>
      <c r="G338" s="38"/>
      <c r="H338" s="43" t="s">
        <v>4464</v>
      </c>
      <c r="I338" s="43" t="s">
        <v>4516</v>
      </c>
    </row>
    <row r="339" ht="15.0" customHeight="1">
      <c r="A339" s="77" t="s">
        <v>1526</v>
      </c>
      <c r="B339" s="43" t="s">
        <v>4823</v>
      </c>
      <c r="C339" s="43" t="s">
        <v>4749</v>
      </c>
      <c r="D339" s="38"/>
      <c r="E339" s="38"/>
      <c r="F339" s="38"/>
      <c r="G339" s="38"/>
      <c r="H339" s="43" t="s">
        <v>4491</v>
      </c>
      <c r="I339" s="43" t="s">
        <v>4465</v>
      </c>
    </row>
    <row r="340" ht="15.0" customHeight="1">
      <c r="A340" s="77" t="s">
        <v>1528</v>
      </c>
      <c r="B340" s="38" t="s">
        <v>4865</v>
      </c>
      <c r="C340" s="38" t="s">
        <v>4719</v>
      </c>
      <c r="D340" s="38"/>
      <c r="E340" s="38"/>
      <c r="F340" s="38"/>
      <c r="G340" s="38"/>
      <c r="H340" s="43" t="s">
        <v>4464</v>
      </c>
      <c r="I340" s="43" t="s">
        <v>4465</v>
      </c>
    </row>
    <row r="341" ht="15.0" customHeight="1">
      <c r="A341" s="77" t="s">
        <v>1533</v>
      </c>
      <c r="B341" s="38" t="s">
        <v>4470</v>
      </c>
      <c r="C341" s="38" t="s">
        <v>4570</v>
      </c>
      <c r="D341" s="38"/>
      <c r="E341" s="38"/>
      <c r="F341" s="38"/>
      <c r="G341" s="38"/>
      <c r="H341" s="43" t="s">
        <v>4464</v>
      </c>
      <c r="I341" s="43" t="s">
        <v>4465</v>
      </c>
    </row>
    <row r="342" ht="15.0" customHeight="1">
      <c r="A342" s="77" t="s">
        <v>3870</v>
      </c>
      <c r="B342" s="43" t="s">
        <v>5014</v>
      </c>
      <c r="C342" s="43" t="s">
        <v>5015</v>
      </c>
      <c r="D342" s="43" t="s">
        <v>5016</v>
      </c>
      <c r="E342" s="38"/>
      <c r="F342" s="38"/>
      <c r="G342" s="38"/>
      <c r="H342" s="43" t="s">
        <v>4464</v>
      </c>
      <c r="I342" s="43" t="s">
        <v>4477</v>
      </c>
    </row>
    <row r="343" ht="15.0" customHeight="1">
      <c r="A343" s="77" t="s">
        <v>1541</v>
      </c>
      <c r="B343" s="38" t="s">
        <v>5017</v>
      </c>
      <c r="C343" s="38" t="s">
        <v>4814</v>
      </c>
      <c r="D343" s="38"/>
      <c r="E343" s="38"/>
      <c r="F343" s="38"/>
      <c r="G343" s="38"/>
      <c r="H343" s="43" t="s">
        <v>4464</v>
      </c>
      <c r="I343" s="43" t="s">
        <v>4465</v>
      </c>
    </row>
    <row r="344" ht="15.0" customHeight="1">
      <c r="A344" s="77" t="s">
        <v>905</v>
      </c>
      <c r="B344" s="38" t="s">
        <v>5018</v>
      </c>
      <c r="C344" s="38" t="s">
        <v>5017</v>
      </c>
      <c r="D344" s="38" t="s">
        <v>5019</v>
      </c>
      <c r="E344" s="38"/>
      <c r="F344" s="38"/>
      <c r="G344" s="38"/>
      <c r="H344" s="43" t="s">
        <v>4464</v>
      </c>
      <c r="I344" s="43" t="s">
        <v>4549</v>
      </c>
    </row>
    <row r="345" ht="15.0" customHeight="1">
      <c r="A345" s="77" t="s">
        <v>2621</v>
      </c>
      <c r="B345" s="38" t="s">
        <v>5020</v>
      </c>
      <c r="C345" s="38"/>
      <c r="D345" s="38"/>
      <c r="E345" s="38"/>
      <c r="F345" s="38"/>
      <c r="G345" s="38"/>
      <c r="H345" s="43" t="s">
        <v>4464</v>
      </c>
      <c r="I345" s="43" t="s">
        <v>4514</v>
      </c>
    </row>
    <row r="346" ht="15.0" customHeight="1">
      <c r="A346" s="76" t="s">
        <v>1543</v>
      </c>
      <c r="B346" s="43" t="s">
        <v>5021</v>
      </c>
      <c r="C346" s="43" t="s">
        <v>4566</v>
      </c>
      <c r="D346" s="38"/>
      <c r="E346" s="38"/>
      <c r="F346" s="38"/>
      <c r="G346" s="38"/>
      <c r="H346" s="43" t="s">
        <v>4828</v>
      </c>
      <c r="I346" s="43" t="s">
        <v>4465</v>
      </c>
    </row>
    <row r="347" ht="15.0" customHeight="1">
      <c r="A347" s="77" t="s">
        <v>1545</v>
      </c>
      <c r="B347" s="43" t="s">
        <v>4826</v>
      </c>
      <c r="C347" s="43" t="s">
        <v>5022</v>
      </c>
      <c r="D347" s="38"/>
      <c r="E347" s="38"/>
      <c r="F347" s="38"/>
      <c r="G347" s="38"/>
      <c r="H347" s="43" t="s">
        <v>4828</v>
      </c>
      <c r="I347" s="43" t="s">
        <v>4465</v>
      </c>
    </row>
    <row r="348" ht="15.0" customHeight="1">
      <c r="A348" s="77" t="s">
        <v>1547</v>
      </c>
      <c r="B348" s="43" t="s">
        <v>4825</v>
      </c>
      <c r="C348" s="38"/>
      <c r="D348" s="38"/>
      <c r="E348" s="38"/>
      <c r="F348" s="38"/>
      <c r="G348" s="38"/>
      <c r="H348" s="43" t="s">
        <v>4828</v>
      </c>
      <c r="I348" s="43" t="s">
        <v>4465</v>
      </c>
    </row>
    <row r="349" ht="15.0" customHeight="1">
      <c r="A349" s="77" t="s">
        <v>1549</v>
      </c>
      <c r="B349" s="43" t="s">
        <v>5023</v>
      </c>
      <c r="C349" s="38"/>
      <c r="D349" s="38"/>
      <c r="E349" s="38"/>
      <c r="F349" s="38"/>
      <c r="G349" s="38"/>
      <c r="H349" s="43" t="s">
        <v>4828</v>
      </c>
      <c r="I349" s="43" t="s">
        <v>4465</v>
      </c>
    </row>
    <row r="350" ht="15.0" customHeight="1">
      <c r="A350" s="77" t="s">
        <v>1551</v>
      </c>
      <c r="B350" s="43" t="s">
        <v>5024</v>
      </c>
      <c r="C350" s="38"/>
      <c r="D350" s="38"/>
      <c r="E350" s="38"/>
      <c r="F350" s="38"/>
      <c r="G350" s="38"/>
      <c r="H350" s="43" t="s">
        <v>4828</v>
      </c>
      <c r="I350" s="43" t="s">
        <v>4465</v>
      </c>
    </row>
    <row r="351" ht="15.0" customHeight="1">
      <c r="A351" s="77" t="s">
        <v>1553</v>
      </c>
      <c r="B351" s="43" t="s">
        <v>4827</v>
      </c>
      <c r="C351" s="43" t="s">
        <v>4601</v>
      </c>
      <c r="D351" s="38"/>
      <c r="E351" s="38"/>
      <c r="F351" s="38"/>
      <c r="G351" s="38"/>
      <c r="H351" s="43" t="s">
        <v>4828</v>
      </c>
      <c r="I351" s="43" t="s">
        <v>4465</v>
      </c>
    </row>
    <row r="352" ht="15.0" customHeight="1">
      <c r="A352" s="77" t="s">
        <v>4276</v>
      </c>
      <c r="B352" s="43" t="s">
        <v>5023</v>
      </c>
      <c r="C352" s="38"/>
      <c r="D352" s="38"/>
      <c r="E352" s="38"/>
      <c r="F352" s="38"/>
      <c r="G352" s="38"/>
      <c r="H352" s="43" t="s">
        <v>4828</v>
      </c>
      <c r="I352" s="43" t="s">
        <v>4482</v>
      </c>
    </row>
    <row r="353" ht="15.0" customHeight="1">
      <c r="A353" s="77" t="s">
        <v>1829</v>
      </c>
      <c r="B353" s="43" t="s">
        <v>5025</v>
      </c>
      <c r="C353" s="43" t="s">
        <v>5026</v>
      </c>
      <c r="D353" s="43" t="s">
        <v>5021</v>
      </c>
      <c r="E353" s="43" t="s">
        <v>5027</v>
      </c>
      <c r="F353" s="38"/>
      <c r="G353" s="38"/>
      <c r="H353" s="43" t="s">
        <v>4828</v>
      </c>
      <c r="I353" s="43" t="s">
        <v>4485</v>
      </c>
    </row>
    <row r="354" ht="15.0" customHeight="1">
      <c r="A354" s="77" t="s">
        <v>2624</v>
      </c>
      <c r="B354" s="43" t="s">
        <v>5024</v>
      </c>
      <c r="C354" s="43" t="s">
        <v>4487</v>
      </c>
      <c r="D354" s="38"/>
      <c r="E354" s="38"/>
      <c r="F354" s="38"/>
      <c r="G354" s="38"/>
      <c r="H354" s="43" t="s">
        <v>4828</v>
      </c>
      <c r="I354" s="43" t="s">
        <v>4514</v>
      </c>
    </row>
    <row r="355" ht="15.0" customHeight="1">
      <c r="A355" s="77" t="s">
        <v>1710</v>
      </c>
      <c r="B355" s="43" t="s">
        <v>4715</v>
      </c>
      <c r="C355" s="43" t="s">
        <v>5026</v>
      </c>
      <c r="D355" s="43" t="s">
        <v>5021</v>
      </c>
      <c r="E355" s="43" t="s">
        <v>5027</v>
      </c>
      <c r="F355" s="38"/>
      <c r="G355" s="38"/>
      <c r="H355" s="43" t="s">
        <v>4828</v>
      </c>
      <c r="I355" s="43" t="s">
        <v>4549</v>
      </c>
    </row>
    <row r="356" ht="15.0" customHeight="1">
      <c r="A356" s="77" t="s">
        <v>1556</v>
      </c>
      <c r="B356" s="38" t="s">
        <v>4993</v>
      </c>
      <c r="C356" s="38"/>
      <c r="D356" s="38"/>
      <c r="E356" s="38"/>
      <c r="F356" s="38"/>
      <c r="G356" s="38"/>
      <c r="H356" s="43" t="s">
        <v>4464</v>
      </c>
      <c r="I356" s="43" t="s">
        <v>4465</v>
      </c>
    </row>
    <row r="357" ht="15.0" customHeight="1">
      <c r="A357" s="77" t="s">
        <v>1559</v>
      </c>
      <c r="B357" s="38" t="s">
        <v>4745</v>
      </c>
      <c r="C357" s="38" t="s">
        <v>4559</v>
      </c>
      <c r="D357" s="38"/>
      <c r="E357" s="38"/>
      <c r="F357" s="38"/>
      <c r="G357" s="38"/>
      <c r="H357" s="43" t="s">
        <v>4464</v>
      </c>
      <c r="I357" s="43" t="s">
        <v>4465</v>
      </c>
    </row>
    <row r="358" ht="15.0" customHeight="1">
      <c r="A358" s="77" t="s">
        <v>1561</v>
      </c>
      <c r="B358" s="38" t="s">
        <v>5029</v>
      </c>
      <c r="C358" s="38" t="s">
        <v>4463</v>
      </c>
      <c r="D358" s="38"/>
      <c r="E358" s="38"/>
      <c r="F358" s="38"/>
      <c r="G358" s="38"/>
      <c r="H358" s="43" t="s">
        <v>4464</v>
      </c>
      <c r="I358" s="43" t="s">
        <v>4465</v>
      </c>
    </row>
    <row r="359" ht="15.0" customHeight="1">
      <c r="A359" s="77" t="s">
        <v>908</v>
      </c>
      <c r="B359" s="43" t="s">
        <v>5030</v>
      </c>
      <c r="C359" s="38"/>
      <c r="D359" s="38"/>
      <c r="E359" s="38"/>
      <c r="F359" s="38"/>
      <c r="G359" s="38"/>
      <c r="H359" s="43" t="s">
        <v>4464</v>
      </c>
      <c r="I359" s="43" t="s">
        <v>4549</v>
      </c>
    </row>
    <row r="360" ht="15.0" customHeight="1">
      <c r="A360" s="77" t="s">
        <v>1562</v>
      </c>
      <c r="B360" s="38" t="s">
        <v>4774</v>
      </c>
      <c r="C360" s="38" t="s">
        <v>4559</v>
      </c>
      <c r="D360" s="38"/>
      <c r="E360" s="38"/>
      <c r="F360" s="38"/>
      <c r="G360" s="38"/>
      <c r="H360" s="43" t="s">
        <v>4464</v>
      </c>
      <c r="I360" s="43" t="s">
        <v>4465</v>
      </c>
    </row>
    <row r="361" ht="15.0" customHeight="1">
      <c r="A361" s="77" t="s">
        <v>2627</v>
      </c>
      <c r="B361" s="38" t="s">
        <v>5031</v>
      </c>
      <c r="C361" s="38" t="s">
        <v>4512</v>
      </c>
      <c r="D361" s="38"/>
      <c r="E361" s="38"/>
      <c r="F361" s="38"/>
      <c r="G361" s="38"/>
      <c r="H361" s="43" t="s">
        <v>4513</v>
      </c>
      <c r="I361" s="43" t="s">
        <v>4514</v>
      </c>
    </row>
    <row r="362" ht="15.0" customHeight="1">
      <c r="A362" s="77" t="s">
        <v>1302</v>
      </c>
      <c r="B362" s="43" t="s">
        <v>4501</v>
      </c>
      <c r="C362" s="38"/>
      <c r="D362" s="38"/>
      <c r="E362" s="38"/>
      <c r="F362" s="38"/>
      <c r="G362" s="38"/>
      <c r="H362" s="43" t="s">
        <v>4491</v>
      </c>
      <c r="I362" s="43" t="s">
        <v>4500</v>
      </c>
    </row>
    <row r="363" ht="15.0" customHeight="1">
      <c r="A363" s="77" t="s">
        <v>2635</v>
      </c>
      <c r="B363" s="38" t="s">
        <v>4566</v>
      </c>
      <c r="C363" s="38"/>
      <c r="D363" s="38"/>
      <c r="E363" s="38"/>
      <c r="F363" s="38"/>
      <c r="G363" s="38"/>
      <c r="H363" s="43" t="s">
        <v>4464</v>
      </c>
      <c r="I363" s="43" t="s">
        <v>4514</v>
      </c>
    </row>
    <row r="364" ht="15.0" customHeight="1">
      <c r="A364" s="77" t="s">
        <v>1575</v>
      </c>
      <c r="B364" s="38" t="s">
        <v>5032</v>
      </c>
      <c r="C364" s="38" t="s">
        <v>4579</v>
      </c>
      <c r="D364" s="38" t="s">
        <v>4832</v>
      </c>
      <c r="E364" s="38"/>
      <c r="F364" s="38"/>
      <c r="G364" s="38"/>
      <c r="H364" s="43" t="s">
        <v>4464</v>
      </c>
      <c r="I364" s="43" t="s">
        <v>4465</v>
      </c>
    </row>
    <row r="365" ht="15.0" customHeight="1">
      <c r="A365" s="77" t="s">
        <v>1320</v>
      </c>
      <c r="B365" s="38" t="s">
        <v>4467</v>
      </c>
      <c r="C365" s="38"/>
      <c r="D365" s="38"/>
      <c r="E365" s="38"/>
      <c r="F365" s="38"/>
      <c r="G365" s="38"/>
      <c r="H365" s="43" t="s">
        <v>4464</v>
      </c>
      <c r="I365" s="43" t="s">
        <v>4500</v>
      </c>
    </row>
    <row r="366" ht="15.0" customHeight="1">
      <c r="A366" s="77" t="s">
        <v>3586</v>
      </c>
      <c r="B366" s="43" t="s">
        <v>5033</v>
      </c>
      <c r="C366" s="38"/>
      <c r="D366" s="38"/>
      <c r="E366" s="38"/>
      <c r="F366" s="38"/>
      <c r="G366" s="38"/>
      <c r="H366" s="43" t="s">
        <v>4464</v>
      </c>
      <c r="I366" s="43" t="s">
        <v>4473</v>
      </c>
    </row>
    <row r="367" ht="15.0" customHeight="1">
      <c r="A367" s="77" t="s">
        <v>1583</v>
      </c>
      <c r="B367" s="38" t="s">
        <v>5034</v>
      </c>
      <c r="C367" s="38" t="s">
        <v>4470</v>
      </c>
      <c r="D367" s="38"/>
      <c r="E367" s="38"/>
      <c r="F367" s="38"/>
      <c r="G367" s="38"/>
      <c r="H367" s="43" t="s">
        <v>4464</v>
      </c>
      <c r="I367" s="43" t="s">
        <v>4465</v>
      </c>
    </row>
    <row r="368" ht="15.0" customHeight="1">
      <c r="A368" s="77" t="s">
        <v>3887</v>
      </c>
      <c r="B368" s="38" t="s">
        <v>5035</v>
      </c>
      <c r="C368" s="38"/>
      <c r="D368" s="38"/>
      <c r="E368" s="38"/>
      <c r="F368" s="38"/>
      <c r="G368" s="38"/>
      <c r="H368" s="43" t="s">
        <v>4464</v>
      </c>
      <c r="I368" s="43" t="s">
        <v>4477</v>
      </c>
    </row>
    <row r="369" ht="15.0" customHeight="1">
      <c r="A369" s="77" t="s">
        <v>2246</v>
      </c>
      <c r="B369" s="43" t="s">
        <v>5036</v>
      </c>
      <c r="C369" s="38"/>
      <c r="D369" s="38"/>
      <c r="E369" s="38"/>
      <c r="F369" s="38"/>
      <c r="G369" s="38"/>
      <c r="H369" s="43" t="s">
        <v>4464</v>
      </c>
      <c r="I369" s="43" t="s">
        <v>4479</v>
      </c>
    </row>
    <row r="370" ht="15.0" customHeight="1">
      <c r="A370" s="77" t="s">
        <v>4279</v>
      </c>
      <c r="B370" s="38" t="s">
        <v>5038</v>
      </c>
      <c r="C370" s="38"/>
      <c r="D370" s="38"/>
      <c r="E370" s="38"/>
      <c r="F370" s="38"/>
      <c r="G370" s="38"/>
      <c r="H370" s="43" t="s">
        <v>4464</v>
      </c>
      <c r="I370" s="41" t="s">
        <v>4482</v>
      </c>
    </row>
    <row r="371" ht="15.0" customHeight="1">
      <c r="A371" s="77" t="s">
        <v>1842</v>
      </c>
      <c r="B371" s="38" t="s">
        <v>5039</v>
      </c>
      <c r="C371" s="38"/>
      <c r="D371" s="38"/>
      <c r="E371" s="38"/>
      <c r="F371" s="38"/>
      <c r="G371" s="38"/>
      <c r="H371" s="43" t="s">
        <v>4464</v>
      </c>
      <c r="I371" s="41" t="s">
        <v>4485</v>
      </c>
    </row>
    <row r="372" ht="15.0" customHeight="1">
      <c r="A372" s="77" t="s">
        <v>910</v>
      </c>
      <c r="B372" s="38" t="s">
        <v>5034</v>
      </c>
      <c r="C372" s="38" t="s">
        <v>4569</v>
      </c>
      <c r="D372" s="38"/>
      <c r="E372" s="38"/>
      <c r="F372" s="38"/>
      <c r="G372" s="38"/>
      <c r="H372" s="43" t="s">
        <v>4464</v>
      </c>
      <c r="I372" s="43" t="s">
        <v>4549</v>
      </c>
    </row>
    <row r="373" ht="15.0" customHeight="1">
      <c r="A373" s="77" t="s">
        <v>916</v>
      </c>
      <c r="B373" s="43" t="s">
        <v>5040</v>
      </c>
      <c r="C373" s="43" t="s">
        <v>5041</v>
      </c>
      <c r="D373" s="43" t="s">
        <v>5042</v>
      </c>
      <c r="E373" s="43" t="s">
        <v>4686</v>
      </c>
      <c r="F373" s="38"/>
      <c r="G373" s="38"/>
      <c r="H373" s="43" t="s">
        <v>4567</v>
      </c>
      <c r="I373" s="43" t="s">
        <v>4549</v>
      </c>
    </row>
    <row r="374" ht="15.0" customHeight="1">
      <c r="A374" s="77" t="s">
        <v>928</v>
      </c>
      <c r="B374" s="38" t="s">
        <v>4564</v>
      </c>
      <c r="C374" s="38" t="s">
        <v>4796</v>
      </c>
      <c r="D374" s="38"/>
      <c r="E374" s="38"/>
      <c r="F374" s="38"/>
      <c r="G374" s="38"/>
      <c r="H374" s="43" t="s">
        <v>5043</v>
      </c>
      <c r="I374" s="43" t="s">
        <v>4549</v>
      </c>
    </row>
    <row r="375" ht="15.0" customHeight="1">
      <c r="A375" s="77" t="s">
        <v>1587</v>
      </c>
      <c r="B375" s="38" t="s">
        <v>4808</v>
      </c>
      <c r="C375" s="38" t="s">
        <v>4894</v>
      </c>
      <c r="D375" s="38"/>
      <c r="E375" s="38"/>
      <c r="F375" s="38"/>
      <c r="G375" s="38"/>
      <c r="H375" s="43" t="s">
        <v>4464</v>
      </c>
      <c r="I375" s="43" t="s">
        <v>4465</v>
      </c>
    </row>
    <row r="376" ht="15.0" customHeight="1">
      <c r="A376" s="77" t="s">
        <v>1595</v>
      </c>
      <c r="B376" s="38" t="s">
        <v>4689</v>
      </c>
      <c r="C376" s="38"/>
      <c r="D376" s="38"/>
      <c r="E376" s="38"/>
      <c r="F376" s="38"/>
      <c r="G376" s="38"/>
      <c r="H376" s="43" t="s">
        <v>4572</v>
      </c>
      <c r="I376" s="43" t="s">
        <v>4465</v>
      </c>
    </row>
    <row r="377" ht="15.0" customHeight="1">
      <c r="A377" s="77" t="s">
        <v>1598</v>
      </c>
      <c r="B377" s="38" t="s">
        <v>5044</v>
      </c>
      <c r="C377" s="38" t="s">
        <v>4470</v>
      </c>
      <c r="D377" s="38" t="s">
        <v>4557</v>
      </c>
      <c r="E377" s="38"/>
      <c r="F377" s="38"/>
      <c r="G377" s="38"/>
      <c r="H377" s="43" t="s">
        <v>4464</v>
      </c>
      <c r="I377" s="43" t="s">
        <v>4465</v>
      </c>
    </row>
    <row r="378" ht="15.0" customHeight="1">
      <c r="A378" s="77" t="s">
        <v>2661</v>
      </c>
      <c r="B378" s="38" t="s">
        <v>4537</v>
      </c>
      <c r="C378" s="38"/>
      <c r="D378" s="38"/>
      <c r="E378" s="38"/>
      <c r="F378" s="38"/>
      <c r="G378" s="38"/>
      <c r="H378" s="43" t="s">
        <v>4525</v>
      </c>
      <c r="I378" s="43" t="s">
        <v>4514</v>
      </c>
    </row>
    <row r="379" ht="15.0" customHeight="1">
      <c r="A379" s="77" t="s">
        <v>3893</v>
      </c>
      <c r="B379" s="43" t="s">
        <v>5045</v>
      </c>
      <c r="C379" s="43" t="s">
        <v>5046</v>
      </c>
      <c r="D379" s="43" t="s">
        <v>5047</v>
      </c>
      <c r="E379" s="38"/>
      <c r="F379" s="38"/>
      <c r="G379" s="38"/>
      <c r="H379" s="43" t="s">
        <v>4464</v>
      </c>
      <c r="I379" s="43" t="s">
        <v>4477</v>
      </c>
    </row>
    <row r="380" ht="15.0" customHeight="1">
      <c r="A380" s="77" t="s">
        <v>1599</v>
      </c>
      <c r="B380" s="38" t="s">
        <v>5048</v>
      </c>
      <c r="C380" s="38" t="s">
        <v>4558</v>
      </c>
      <c r="D380" s="38"/>
      <c r="E380" s="38"/>
      <c r="F380" s="38"/>
      <c r="G380" s="38"/>
      <c r="H380" s="43" t="s">
        <v>4464</v>
      </c>
      <c r="I380" s="43" t="s">
        <v>4465</v>
      </c>
    </row>
    <row r="381" ht="15.0" customHeight="1">
      <c r="A381" s="77" t="s">
        <v>2663</v>
      </c>
      <c r="B381" s="43" t="s">
        <v>5049</v>
      </c>
      <c r="C381" s="43" t="s">
        <v>4487</v>
      </c>
      <c r="D381" s="38"/>
      <c r="E381" s="38"/>
      <c r="F381" s="38"/>
      <c r="G381" s="38"/>
      <c r="H381" s="43" t="s">
        <v>4464</v>
      </c>
      <c r="I381" s="41" t="s">
        <v>4514</v>
      </c>
    </row>
    <row r="382" ht="15.0" customHeight="1">
      <c r="A382" s="77" t="s">
        <v>946</v>
      </c>
      <c r="B382" s="43" t="s">
        <v>5051</v>
      </c>
      <c r="C382" s="43" t="s">
        <v>5052</v>
      </c>
      <c r="D382" s="43" t="s">
        <v>5053</v>
      </c>
      <c r="E382" s="38"/>
      <c r="F382" s="38"/>
      <c r="G382" s="38"/>
      <c r="H382" s="43" t="s">
        <v>4464</v>
      </c>
      <c r="I382" s="43" t="s">
        <v>4549</v>
      </c>
    </row>
    <row r="383" ht="15.0" customHeight="1">
      <c r="A383" s="77" t="s">
        <v>966</v>
      </c>
      <c r="B383" s="38" t="s">
        <v>4511</v>
      </c>
      <c r="C383" s="38"/>
      <c r="D383" s="38"/>
      <c r="E383" s="38"/>
      <c r="F383" s="38"/>
      <c r="G383" s="38"/>
      <c r="H383" s="43" t="s">
        <v>4464</v>
      </c>
      <c r="I383" s="43" t="s">
        <v>4549</v>
      </c>
    </row>
    <row r="384" ht="15.0" customHeight="1">
      <c r="A384" s="77" t="s">
        <v>1619</v>
      </c>
      <c r="B384" s="38" t="s">
        <v>5054</v>
      </c>
      <c r="C384" s="38" t="s">
        <v>4507</v>
      </c>
      <c r="D384" s="38"/>
      <c r="E384" s="38"/>
      <c r="F384" s="38"/>
      <c r="G384" s="38"/>
      <c r="H384" s="43" t="s">
        <v>4464</v>
      </c>
      <c r="I384" s="43" t="s">
        <v>4465</v>
      </c>
    </row>
    <row r="385" ht="15.0" customHeight="1">
      <c r="A385" s="77" t="s">
        <v>3599</v>
      </c>
      <c r="B385" s="43" t="s">
        <v>5055</v>
      </c>
      <c r="C385" s="38"/>
      <c r="D385" s="38"/>
      <c r="E385" s="38"/>
      <c r="F385" s="38"/>
      <c r="G385" s="38"/>
      <c r="H385" s="43" t="s">
        <v>4464</v>
      </c>
      <c r="I385" s="43" t="s">
        <v>4473</v>
      </c>
    </row>
    <row r="386" ht="15.0" customHeight="1">
      <c r="A386" s="77" t="s">
        <v>3899</v>
      </c>
      <c r="B386" s="38" t="s">
        <v>5056</v>
      </c>
      <c r="C386" s="38"/>
      <c r="D386" s="38"/>
      <c r="E386" s="38"/>
      <c r="F386" s="38"/>
      <c r="G386" s="38"/>
      <c r="H386" s="43" t="s">
        <v>4464</v>
      </c>
      <c r="I386" s="43" t="s">
        <v>4477</v>
      </c>
    </row>
    <row r="387" ht="15.0" customHeight="1">
      <c r="A387" s="77" t="s">
        <v>2253</v>
      </c>
      <c r="B387" s="38" t="s">
        <v>5057</v>
      </c>
      <c r="C387" s="38"/>
      <c r="D387" s="38"/>
      <c r="E387" s="38"/>
      <c r="F387" s="38"/>
      <c r="G387" s="38"/>
      <c r="H387" s="43" t="s">
        <v>4464</v>
      </c>
      <c r="I387" s="43" t="s">
        <v>4479</v>
      </c>
    </row>
    <row r="388" ht="15.0" customHeight="1">
      <c r="A388" s="77" t="s">
        <v>1343</v>
      </c>
      <c r="B388" s="38" t="s">
        <v>5054</v>
      </c>
      <c r="C388" s="38" t="s">
        <v>4772</v>
      </c>
      <c r="D388" s="38"/>
      <c r="E388" s="38"/>
      <c r="F388" s="38"/>
      <c r="G388" s="38"/>
      <c r="H388" s="43" t="s">
        <v>4464</v>
      </c>
      <c r="I388" s="43" t="s">
        <v>4500</v>
      </c>
    </row>
    <row r="389" ht="15.0" customHeight="1">
      <c r="A389" s="77" t="s">
        <v>4288</v>
      </c>
      <c r="B389" s="43" t="s">
        <v>5058</v>
      </c>
      <c r="C389" s="38"/>
      <c r="D389" s="38"/>
      <c r="E389" s="38"/>
      <c r="F389" s="38"/>
      <c r="G389" s="38"/>
      <c r="H389" s="43" t="s">
        <v>4464</v>
      </c>
      <c r="I389" s="43" t="s">
        <v>4482</v>
      </c>
    </row>
    <row r="390" ht="15.0" customHeight="1">
      <c r="A390" s="77" t="s">
        <v>1855</v>
      </c>
      <c r="B390" s="43" t="s">
        <v>5057</v>
      </c>
      <c r="C390" s="38"/>
      <c r="D390" s="38"/>
      <c r="E390" s="38"/>
      <c r="F390" s="38"/>
      <c r="G390" s="38"/>
      <c r="H390" s="43" t="s">
        <v>4464</v>
      </c>
      <c r="I390" s="43" t="s">
        <v>4485</v>
      </c>
    </row>
    <row r="391" ht="15.0" customHeight="1">
      <c r="A391" s="77" t="s">
        <v>1621</v>
      </c>
      <c r="B391" s="38" t="s">
        <v>5059</v>
      </c>
      <c r="C391" s="38" t="s">
        <v>4710</v>
      </c>
      <c r="D391" s="38"/>
      <c r="E391" s="38"/>
      <c r="F391" s="38"/>
      <c r="G391" s="38"/>
      <c r="H391" s="43" t="s">
        <v>4464</v>
      </c>
      <c r="I391" s="43" t="s">
        <v>4465</v>
      </c>
    </row>
    <row r="392" ht="15.0" customHeight="1">
      <c r="A392" s="77" t="s">
        <v>3602</v>
      </c>
      <c r="B392" s="38" t="s">
        <v>5061</v>
      </c>
      <c r="C392" s="38"/>
      <c r="D392" s="38"/>
      <c r="E392" s="38"/>
      <c r="F392" s="38"/>
      <c r="G392" s="38"/>
      <c r="H392" s="43" t="s">
        <v>4464</v>
      </c>
      <c r="I392" s="41" t="s">
        <v>4473</v>
      </c>
    </row>
    <row r="393" ht="15.0" customHeight="1">
      <c r="A393" s="77" t="s">
        <v>3900</v>
      </c>
      <c r="B393" s="38" t="s">
        <v>5062</v>
      </c>
      <c r="C393" s="38"/>
      <c r="D393" s="38"/>
      <c r="E393" s="38"/>
      <c r="F393" s="38"/>
      <c r="G393" s="38"/>
      <c r="H393" s="43" t="s">
        <v>4464</v>
      </c>
      <c r="I393" s="43" t="s">
        <v>4477</v>
      </c>
    </row>
    <row r="394" ht="15.0" customHeight="1">
      <c r="A394" s="77" t="s">
        <v>2257</v>
      </c>
      <c r="B394" s="43" t="s">
        <v>5063</v>
      </c>
      <c r="C394" s="38"/>
      <c r="D394" s="38"/>
      <c r="E394" s="38"/>
      <c r="F394" s="38"/>
      <c r="G394" s="38"/>
      <c r="H394" s="43" t="s">
        <v>4464</v>
      </c>
      <c r="I394" s="43" t="s">
        <v>4479</v>
      </c>
    </row>
    <row r="395" ht="15.0" customHeight="1">
      <c r="A395" s="77" t="s">
        <v>4289</v>
      </c>
      <c r="B395" s="38" t="s">
        <v>5064</v>
      </c>
      <c r="C395" s="38"/>
      <c r="D395" s="38"/>
      <c r="E395" s="38"/>
      <c r="F395" s="38"/>
      <c r="G395" s="38"/>
      <c r="H395" s="43" t="s">
        <v>4464</v>
      </c>
      <c r="I395" s="43" t="s">
        <v>4482</v>
      </c>
    </row>
    <row r="396" ht="15.0" customHeight="1">
      <c r="A396" s="77" t="s">
        <v>1856</v>
      </c>
      <c r="B396" s="43" t="s">
        <v>5065</v>
      </c>
      <c r="C396" s="38"/>
      <c r="D396" s="38"/>
      <c r="E396" s="38"/>
      <c r="F396" s="38"/>
      <c r="G396" s="38"/>
      <c r="H396" s="43" t="s">
        <v>4464</v>
      </c>
      <c r="I396" s="43" t="s">
        <v>4485</v>
      </c>
    </row>
    <row r="397" ht="15.0" customHeight="1">
      <c r="A397" s="77" t="s">
        <v>1623</v>
      </c>
      <c r="B397" s="38" t="s">
        <v>5059</v>
      </c>
      <c r="C397" s="38" t="s">
        <v>4507</v>
      </c>
      <c r="D397" s="38"/>
      <c r="E397" s="38"/>
      <c r="F397" s="38"/>
      <c r="G397" s="38"/>
      <c r="H397" s="43" t="s">
        <v>4464</v>
      </c>
      <c r="I397" s="43" t="s">
        <v>4465</v>
      </c>
    </row>
    <row r="398" ht="15.0" customHeight="1">
      <c r="A398" s="77" t="s">
        <v>1633</v>
      </c>
      <c r="B398" s="43" t="s">
        <v>4967</v>
      </c>
      <c r="C398" s="43" t="s">
        <v>4717</v>
      </c>
      <c r="D398" s="38"/>
      <c r="E398" s="38"/>
      <c r="F398" s="38"/>
      <c r="G398" s="38"/>
      <c r="H398" s="43" t="s">
        <v>4459</v>
      </c>
      <c r="I398" s="43" t="s">
        <v>4465</v>
      </c>
    </row>
    <row r="399" ht="15.0" customHeight="1">
      <c r="A399" s="77" t="s">
        <v>1635</v>
      </c>
      <c r="B399" s="43" t="s">
        <v>5066</v>
      </c>
      <c r="C399" s="38"/>
      <c r="D399" s="38"/>
      <c r="E399" s="38"/>
      <c r="F399" s="38"/>
      <c r="G399" s="38"/>
      <c r="H399" s="43" t="s">
        <v>4464</v>
      </c>
      <c r="I399" s="43" t="s">
        <v>4465</v>
      </c>
    </row>
    <row r="400" ht="15.0" customHeight="1">
      <c r="A400" s="77" t="s">
        <v>1361</v>
      </c>
      <c r="B400" s="38" t="s">
        <v>5067</v>
      </c>
      <c r="C400" s="38" t="s">
        <v>4566</v>
      </c>
      <c r="D400" s="38"/>
      <c r="E400" s="38"/>
      <c r="F400" s="38"/>
      <c r="G400" s="38"/>
      <c r="H400" s="43" t="s">
        <v>4459</v>
      </c>
      <c r="I400" s="43" t="s">
        <v>4500</v>
      </c>
    </row>
    <row r="401" ht="15.0" customHeight="1">
      <c r="A401" s="77" t="s">
        <v>1642</v>
      </c>
      <c r="B401" s="43" t="s">
        <v>4487</v>
      </c>
      <c r="C401" s="43" t="s">
        <v>5068</v>
      </c>
      <c r="D401" s="43" t="s">
        <v>4489</v>
      </c>
      <c r="E401" s="43" t="s">
        <v>4608</v>
      </c>
      <c r="F401" s="38"/>
      <c r="G401" s="38"/>
      <c r="H401" s="43" t="s">
        <v>4491</v>
      </c>
      <c r="I401" s="43" t="s">
        <v>4465</v>
      </c>
    </row>
    <row r="402" ht="15.0" customHeight="1">
      <c r="A402" s="77" t="s">
        <v>5069</v>
      </c>
      <c r="B402" s="43" t="s">
        <v>5070</v>
      </c>
      <c r="C402" s="43" t="s">
        <v>5071</v>
      </c>
      <c r="D402" s="38"/>
      <c r="E402" s="38"/>
      <c r="F402" s="38"/>
      <c r="G402" s="38"/>
      <c r="H402" s="43" t="s">
        <v>5072</v>
      </c>
      <c r="I402" s="43" t="s">
        <v>4611</v>
      </c>
    </row>
    <row r="403" ht="15.0" customHeight="1">
      <c r="A403" s="77" t="s">
        <v>1644</v>
      </c>
      <c r="B403" s="38" t="s">
        <v>4601</v>
      </c>
      <c r="C403" s="38" t="s">
        <v>4557</v>
      </c>
      <c r="D403" s="38" t="s">
        <v>4512</v>
      </c>
      <c r="E403" s="38"/>
      <c r="F403" s="38"/>
      <c r="G403" s="38"/>
      <c r="H403" s="43" t="s">
        <v>4464</v>
      </c>
      <c r="I403" s="43" t="s">
        <v>4465</v>
      </c>
    </row>
    <row r="404" ht="15.0" customHeight="1">
      <c r="A404" s="77" t="s">
        <v>1646</v>
      </c>
      <c r="B404" s="38" t="s">
        <v>4601</v>
      </c>
      <c r="C404" s="38"/>
      <c r="D404" s="38"/>
      <c r="E404" s="38"/>
      <c r="F404" s="38"/>
      <c r="G404" s="38"/>
      <c r="H404" s="43" t="s">
        <v>4464</v>
      </c>
      <c r="I404" s="43" t="s">
        <v>4465</v>
      </c>
    </row>
    <row r="405" ht="15.0" customHeight="1">
      <c r="A405" s="77" t="s">
        <v>1656</v>
      </c>
      <c r="B405" s="43" t="s">
        <v>4503</v>
      </c>
      <c r="C405" s="38"/>
      <c r="D405" s="38"/>
      <c r="E405" s="38"/>
      <c r="F405" s="38"/>
      <c r="G405" s="38"/>
      <c r="H405" s="43" t="s">
        <v>4464</v>
      </c>
      <c r="I405" s="43" t="s">
        <v>4465</v>
      </c>
    </row>
    <row r="406" ht="15.0" customHeight="1">
      <c r="A406" s="77" t="s">
        <v>1383</v>
      </c>
      <c r="B406" s="38" t="s">
        <v>4566</v>
      </c>
      <c r="C406" s="38"/>
      <c r="D406" s="38"/>
      <c r="E406" s="38"/>
      <c r="F406" s="38"/>
      <c r="G406" s="38"/>
      <c r="H406" s="43" t="s">
        <v>4464</v>
      </c>
      <c r="I406" s="43" t="s">
        <v>4500</v>
      </c>
    </row>
    <row r="407" ht="15.0" customHeight="1">
      <c r="A407" s="77" t="s">
        <v>1010</v>
      </c>
      <c r="B407" s="38" t="s">
        <v>4717</v>
      </c>
      <c r="C407" s="38" t="s">
        <v>4566</v>
      </c>
      <c r="D407" s="38"/>
      <c r="E407" s="38"/>
      <c r="F407" s="38"/>
      <c r="G407" s="38"/>
      <c r="H407" s="43" t="s">
        <v>4464</v>
      </c>
      <c r="I407" s="43" t="s">
        <v>4549</v>
      </c>
    </row>
    <row r="408" ht="15.0" customHeight="1">
      <c r="A408" s="77" t="s">
        <v>1019</v>
      </c>
      <c r="B408" s="43" t="s">
        <v>4998</v>
      </c>
      <c r="C408" s="43" t="s">
        <v>4997</v>
      </c>
      <c r="D408" s="43" t="s">
        <v>4743</v>
      </c>
      <c r="E408" s="38"/>
      <c r="F408" s="38"/>
      <c r="G408" s="38"/>
      <c r="H408" s="43" t="s">
        <v>4464</v>
      </c>
      <c r="I408" s="43" t="s">
        <v>4549</v>
      </c>
    </row>
    <row r="409" ht="15.0" customHeight="1">
      <c r="A409" s="77" t="s">
        <v>1022</v>
      </c>
      <c r="B409" s="43" t="s">
        <v>5074</v>
      </c>
      <c r="C409" s="43" t="s">
        <v>5075</v>
      </c>
      <c r="D409" s="43" t="s">
        <v>5076</v>
      </c>
      <c r="E409" s="38"/>
      <c r="F409" s="38"/>
      <c r="G409" s="38"/>
      <c r="H409" s="43" t="s">
        <v>4464</v>
      </c>
      <c r="I409" s="43" t="s">
        <v>4549</v>
      </c>
    </row>
    <row r="410" ht="15.0" customHeight="1">
      <c r="A410" s="77" t="s">
        <v>3914</v>
      </c>
      <c r="B410" s="43" t="s">
        <v>5077</v>
      </c>
      <c r="C410" s="38"/>
      <c r="D410" s="38"/>
      <c r="E410" s="38"/>
      <c r="F410" s="38"/>
      <c r="G410" s="38"/>
      <c r="H410" s="43" t="s">
        <v>4464</v>
      </c>
      <c r="I410" s="41" t="s">
        <v>4477</v>
      </c>
    </row>
    <row r="411" ht="15.0" customHeight="1">
      <c r="A411" s="77" t="s">
        <v>1025</v>
      </c>
      <c r="B411" s="43" t="s">
        <v>5078</v>
      </c>
      <c r="C411" s="38"/>
      <c r="D411" s="38"/>
      <c r="E411" s="38"/>
      <c r="F411" s="38"/>
      <c r="G411" s="38"/>
      <c r="H411" s="43" t="s">
        <v>4464</v>
      </c>
      <c r="I411" s="43" t="s">
        <v>4549</v>
      </c>
    </row>
    <row r="412" ht="15.0" customHeight="1">
      <c r="A412" s="77" t="s">
        <v>3916</v>
      </c>
      <c r="B412" s="43" t="s">
        <v>5079</v>
      </c>
      <c r="C412" s="38"/>
      <c r="D412" s="38"/>
      <c r="E412" s="38"/>
      <c r="F412" s="38"/>
      <c r="G412" s="38"/>
      <c r="H412" s="43" t="s">
        <v>4464</v>
      </c>
      <c r="I412" s="41" t="s">
        <v>4477</v>
      </c>
    </row>
    <row r="413" ht="15.0" customHeight="1">
      <c r="A413" s="77" t="s">
        <v>3918</v>
      </c>
      <c r="B413" s="43" t="s">
        <v>5080</v>
      </c>
      <c r="C413" s="38"/>
      <c r="D413" s="38"/>
      <c r="E413" s="38"/>
      <c r="F413" s="38"/>
      <c r="G413" s="38"/>
      <c r="H413" s="43" t="s">
        <v>4464</v>
      </c>
      <c r="I413" s="43" t="s">
        <v>4477</v>
      </c>
    </row>
    <row r="414" ht="15.0" customHeight="1">
      <c r="A414" s="77" t="s">
        <v>1678</v>
      </c>
      <c r="B414" s="38" t="s">
        <v>4599</v>
      </c>
      <c r="C414" s="38"/>
      <c r="D414" s="38"/>
      <c r="E414" s="38"/>
      <c r="F414" s="38"/>
      <c r="G414" s="38"/>
      <c r="H414" s="43" t="s">
        <v>4464</v>
      </c>
      <c r="I414" s="43" t="s">
        <v>4465</v>
      </c>
    </row>
    <row r="415" ht="15.0" customHeight="1">
      <c r="A415" s="77" t="s">
        <v>4315</v>
      </c>
      <c r="B415" s="38" t="s">
        <v>4861</v>
      </c>
      <c r="C415" s="38"/>
      <c r="D415" s="38"/>
      <c r="E415" s="38"/>
      <c r="F415" s="38"/>
      <c r="G415" s="38"/>
      <c r="H415" s="43" t="s">
        <v>4464</v>
      </c>
      <c r="I415" s="43" t="s">
        <v>4497</v>
      </c>
    </row>
    <row r="416" ht="15.0" customHeight="1">
      <c r="A416" s="77" t="s">
        <v>1409</v>
      </c>
      <c r="B416" s="38" t="s">
        <v>5081</v>
      </c>
      <c r="C416" s="38" t="s">
        <v>5082</v>
      </c>
      <c r="D416" s="38" t="s">
        <v>4512</v>
      </c>
      <c r="E416" s="38"/>
      <c r="F416" s="38"/>
      <c r="G416" s="38"/>
      <c r="H416" s="43" t="s">
        <v>4464</v>
      </c>
      <c r="I416" s="43" t="s">
        <v>4500</v>
      </c>
    </row>
    <row r="417" ht="15.0" customHeight="1">
      <c r="A417" s="77" t="s">
        <v>1706</v>
      </c>
      <c r="B417" s="38" t="s">
        <v>4969</v>
      </c>
      <c r="C417" s="38" t="s">
        <v>5070</v>
      </c>
      <c r="D417" s="38"/>
      <c r="E417" s="38"/>
      <c r="F417" s="38"/>
      <c r="G417" s="38"/>
      <c r="H417" s="43" t="s">
        <v>4464</v>
      </c>
      <c r="I417" s="43" t="s">
        <v>4465</v>
      </c>
    </row>
    <row r="418" ht="15.0" customHeight="1">
      <c r="A418" s="77" t="s">
        <v>1424</v>
      </c>
      <c r="B418" s="38" t="s">
        <v>4569</v>
      </c>
      <c r="C418" s="38" t="s">
        <v>4527</v>
      </c>
      <c r="D418" s="38"/>
      <c r="E418" s="38"/>
      <c r="F418" s="38"/>
      <c r="G418" s="38"/>
      <c r="H418" s="43" t="s">
        <v>4464</v>
      </c>
      <c r="I418" s="43" t="s">
        <v>4500</v>
      </c>
    </row>
    <row r="419" ht="15.0" customHeight="1">
      <c r="A419" s="77" t="s">
        <v>1719</v>
      </c>
      <c r="B419" s="38" t="s">
        <v>5083</v>
      </c>
      <c r="C419" s="38" t="s">
        <v>5084</v>
      </c>
      <c r="D419" s="38" t="s">
        <v>5085</v>
      </c>
      <c r="E419" s="38" t="s">
        <v>5086</v>
      </c>
      <c r="F419" s="38" t="s">
        <v>5087</v>
      </c>
      <c r="G419" s="38"/>
      <c r="H419" s="38" t="s">
        <v>4533</v>
      </c>
      <c r="I419" s="38" t="s">
        <v>4465</v>
      </c>
    </row>
    <row r="420" ht="15.0" customHeight="1">
      <c r="A420" s="77" t="s">
        <v>1724</v>
      </c>
      <c r="B420" s="43" t="s">
        <v>5001</v>
      </c>
      <c r="C420" s="43" t="s">
        <v>4752</v>
      </c>
      <c r="D420" s="38"/>
      <c r="E420" s="38"/>
      <c r="F420" s="38"/>
      <c r="G420" s="38"/>
      <c r="H420" s="43" t="s">
        <v>4491</v>
      </c>
      <c r="I420" s="43" t="s">
        <v>4465</v>
      </c>
    </row>
    <row r="421" ht="15.0" customHeight="1">
      <c r="A421" s="77" t="s">
        <v>1729</v>
      </c>
      <c r="B421" s="38" t="s">
        <v>4511</v>
      </c>
      <c r="C421" s="38" t="s">
        <v>4570</v>
      </c>
      <c r="D421" s="38"/>
      <c r="E421" s="38"/>
      <c r="F421" s="38"/>
      <c r="G421" s="38"/>
      <c r="H421" s="43" t="s">
        <v>4464</v>
      </c>
      <c r="I421" s="43" t="s">
        <v>4465</v>
      </c>
    </row>
    <row r="422" ht="15.0" customHeight="1">
      <c r="A422" s="77" t="s">
        <v>1732</v>
      </c>
      <c r="B422" s="38" t="s">
        <v>4570</v>
      </c>
      <c r="C422" s="38"/>
      <c r="D422" s="38"/>
      <c r="E422" s="38"/>
      <c r="F422" s="38"/>
      <c r="G422" s="38"/>
      <c r="H422" s="43" t="s">
        <v>4464</v>
      </c>
      <c r="I422" s="43" t="s">
        <v>4465</v>
      </c>
    </row>
    <row r="423" ht="15.0" customHeight="1">
      <c r="A423" s="77" t="s">
        <v>2443</v>
      </c>
      <c r="B423" s="38" t="s">
        <v>4495</v>
      </c>
      <c r="C423" s="38"/>
      <c r="D423" s="38"/>
      <c r="E423" s="38"/>
      <c r="F423" s="38"/>
      <c r="G423" s="38"/>
      <c r="H423" s="43" t="s">
        <v>4533</v>
      </c>
      <c r="I423" s="43" t="s">
        <v>4534</v>
      </c>
    </row>
    <row r="424" ht="15.0" customHeight="1">
      <c r="A424" s="77" t="s">
        <v>1735</v>
      </c>
      <c r="B424" s="38" t="s">
        <v>5089</v>
      </c>
      <c r="C424" s="38" t="s">
        <v>4507</v>
      </c>
      <c r="D424" s="38"/>
      <c r="E424" s="38"/>
      <c r="F424" s="38"/>
      <c r="G424" s="38"/>
      <c r="H424" s="43" t="s">
        <v>4464</v>
      </c>
      <c r="I424" s="43" t="s">
        <v>4465</v>
      </c>
    </row>
    <row r="425" ht="15.0" customHeight="1">
      <c r="A425" s="77" t="s">
        <v>3927</v>
      </c>
      <c r="B425" s="38" t="s">
        <v>5090</v>
      </c>
      <c r="C425" s="38" t="s">
        <v>5091</v>
      </c>
      <c r="D425" s="38" t="s">
        <v>5092</v>
      </c>
      <c r="E425" s="38"/>
      <c r="F425" s="38"/>
      <c r="G425" s="38"/>
      <c r="H425" s="43" t="s">
        <v>4464</v>
      </c>
      <c r="I425" s="43" t="s">
        <v>4477</v>
      </c>
    </row>
    <row r="426" ht="15.0" customHeight="1">
      <c r="A426" s="77" t="s">
        <v>2676</v>
      </c>
      <c r="B426" s="43" t="s">
        <v>4816</v>
      </c>
      <c r="C426" s="43" t="s">
        <v>4487</v>
      </c>
      <c r="D426" s="38"/>
      <c r="E426" s="38"/>
      <c r="F426" s="38"/>
      <c r="G426" s="38"/>
      <c r="H426" s="43" t="s">
        <v>4491</v>
      </c>
      <c r="I426" s="41" t="s">
        <v>4514</v>
      </c>
    </row>
    <row r="427" ht="15.0" customHeight="1">
      <c r="A427" s="77" t="s">
        <v>1030</v>
      </c>
      <c r="B427" s="84" t="s">
        <v>5093</v>
      </c>
      <c r="C427" s="84" t="s">
        <v>5094</v>
      </c>
      <c r="D427" s="84" t="s">
        <v>4794</v>
      </c>
      <c r="E427" s="38"/>
      <c r="F427" s="38"/>
      <c r="G427" s="38"/>
      <c r="H427" s="43" t="s">
        <v>4464</v>
      </c>
      <c r="I427" s="43" t="s">
        <v>4549</v>
      </c>
    </row>
    <row r="428" ht="15.0" customHeight="1">
      <c r="A428" s="77" t="s">
        <v>1912</v>
      </c>
      <c r="B428" s="38" t="s">
        <v>4490</v>
      </c>
      <c r="C428" s="38" t="s">
        <v>4566</v>
      </c>
      <c r="D428" s="38"/>
      <c r="E428" s="38"/>
      <c r="F428" s="38"/>
      <c r="G428" s="38"/>
      <c r="H428" s="43" t="s">
        <v>4464</v>
      </c>
      <c r="I428" s="41" t="s">
        <v>4485</v>
      </c>
    </row>
    <row r="429" ht="15.0" customHeight="1">
      <c r="A429" s="77" t="s">
        <v>1033</v>
      </c>
      <c r="B429" s="43" t="s">
        <v>4487</v>
      </c>
      <c r="C429" s="43" t="s">
        <v>5095</v>
      </c>
      <c r="D429" s="43" t="s">
        <v>4489</v>
      </c>
      <c r="E429" s="38"/>
      <c r="F429" s="38"/>
      <c r="G429" s="38"/>
      <c r="H429" s="43" t="s">
        <v>4491</v>
      </c>
      <c r="I429" s="43" t="s">
        <v>4549</v>
      </c>
    </row>
    <row r="430" ht="15.0" customHeight="1">
      <c r="A430" s="77" t="s">
        <v>2266</v>
      </c>
      <c r="B430" s="43" t="s">
        <v>4688</v>
      </c>
      <c r="C430" s="43" t="s">
        <v>4580</v>
      </c>
      <c r="D430" s="38"/>
      <c r="E430" s="38"/>
      <c r="F430" s="38"/>
      <c r="G430" s="38"/>
      <c r="H430" s="43" t="s">
        <v>4572</v>
      </c>
      <c r="I430" s="41" t="s">
        <v>4516</v>
      </c>
    </row>
    <row r="431" ht="15.0" customHeight="1">
      <c r="A431" s="77" t="s">
        <v>1914</v>
      </c>
      <c r="B431" s="43" t="s">
        <v>4688</v>
      </c>
      <c r="C431" s="43" t="s">
        <v>4580</v>
      </c>
      <c r="D431" s="38"/>
      <c r="E431" s="38"/>
      <c r="F431" s="38"/>
      <c r="G431" s="38"/>
      <c r="H431" s="43" t="s">
        <v>4572</v>
      </c>
      <c r="I431" s="43" t="s">
        <v>4485</v>
      </c>
    </row>
    <row r="432" ht="15.0" customHeight="1">
      <c r="A432" s="77" t="s">
        <v>2271</v>
      </c>
      <c r="B432" s="38" t="s">
        <v>5096</v>
      </c>
      <c r="C432" s="38" t="s">
        <v>5097</v>
      </c>
      <c r="D432" s="38" t="s">
        <v>5098</v>
      </c>
      <c r="E432" s="38" t="s">
        <v>5099</v>
      </c>
      <c r="F432" s="38" t="s">
        <v>5100</v>
      </c>
      <c r="G432" s="38" t="s">
        <v>5101</v>
      </c>
      <c r="H432" s="43" t="s">
        <v>4464</v>
      </c>
      <c r="I432" s="43" t="s">
        <v>4516</v>
      </c>
    </row>
    <row r="433" ht="15.0" customHeight="1">
      <c r="A433" s="77" t="s">
        <v>1750</v>
      </c>
      <c r="B433" s="43" t="s">
        <v>5001</v>
      </c>
      <c r="C433" s="43" t="s">
        <v>4661</v>
      </c>
      <c r="D433" s="38"/>
      <c r="E433" s="38"/>
      <c r="F433" s="38"/>
      <c r="G433" s="38"/>
      <c r="H433" s="43" t="s">
        <v>4491</v>
      </c>
      <c r="I433" s="43" t="s">
        <v>4465</v>
      </c>
    </row>
    <row r="434" ht="15.0" customHeight="1">
      <c r="A434" s="77" t="s">
        <v>1752</v>
      </c>
      <c r="B434" s="38" t="s">
        <v>4538</v>
      </c>
      <c r="C434" s="38" t="s">
        <v>4463</v>
      </c>
      <c r="D434" s="38" t="s">
        <v>4511</v>
      </c>
      <c r="E434" s="38"/>
      <c r="F434" s="38"/>
      <c r="G434" s="38"/>
      <c r="H434" s="43" t="s">
        <v>4464</v>
      </c>
      <c r="I434" s="43" t="s">
        <v>4465</v>
      </c>
    </row>
    <row r="435" ht="15.0" customHeight="1">
      <c r="A435" s="77" t="s">
        <v>1755</v>
      </c>
      <c r="B435" s="43" t="s">
        <v>4656</v>
      </c>
      <c r="C435" s="43" t="s">
        <v>4717</v>
      </c>
      <c r="D435" s="38"/>
      <c r="E435" s="38"/>
      <c r="F435" s="38"/>
      <c r="G435" s="38"/>
      <c r="H435" s="43" t="s">
        <v>4464</v>
      </c>
      <c r="I435" s="43" t="s">
        <v>4465</v>
      </c>
    </row>
    <row r="436" ht="15.0" customHeight="1">
      <c r="A436" s="77" t="s">
        <v>1757</v>
      </c>
      <c r="B436" s="43" t="s">
        <v>5102</v>
      </c>
      <c r="C436" s="38"/>
      <c r="D436" s="38"/>
      <c r="E436" s="38"/>
      <c r="F436" s="38"/>
      <c r="G436" s="38"/>
      <c r="H436" s="43" t="s">
        <v>4464</v>
      </c>
      <c r="I436" s="43" t="s">
        <v>4465</v>
      </c>
    </row>
    <row r="437" ht="15.0" customHeight="1">
      <c r="A437" s="77" t="s">
        <v>2273</v>
      </c>
      <c r="B437" s="43" t="s">
        <v>4501</v>
      </c>
      <c r="C437" s="43" t="s">
        <v>4749</v>
      </c>
      <c r="D437" s="38"/>
      <c r="E437" s="38"/>
      <c r="F437" s="38"/>
      <c r="G437" s="38"/>
      <c r="H437" s="43" t="s">
        <v>4491</v>
      </c>
      <c r="I437" s="43" t="s">
        <v>4516</v>
      </c>
    </row>
    <row r="438" ht="15.0" customHeight="1">
      <c r="A438" s="77" t="s">
        <v>1916</v>
      </c>
      <c r="B438" s="43" t="s">
        <v>4501</v>
      </c>
      <c r="C438" s="43" t="s">
        <v>4749</v>
      </c>
      <c r="D438" s="38"/>
      <c r="E438" s="38"/>
      <c r="F438" s="38"/>
      <c r="G438" s="38"/>
      <c r="H438" s="43" t="s">
        <v>4491</v>
      </c>
      <c r="I438" s="43" t="s">
        <v>4485</v>
      </c>
    </row>
    <row r="439" ht="15.0" customHeight="1">
      <c r="A439" s="77" t="s">
        <v>1438</v>
      </c>
      <c r="B439" s="43" t="s">
        <v>4487</v>
      </c>
      <c r="C439" s="43" t="s">
        <v>5104</v>
      </c>
      <c r="D439" s="43" t="s">
        <v>4489</v>
      </c>
      <c r="E439" s="43" t="s">
        <v>4490</v>
      </c>
      <c r="F439" s="38"/>
      <c r="G439" s="38"/>
      <c r="H439" s="43" t="s">
        <v>4491</v>
      </c>
      <c r="I439" s="43" t="s">
        <v>4500</v>
      </c>
    </row>
    <row r="440" ht="15.0" customHeight="1">
      <c r="A440" s="77" t="s">
        <v>1775</v>
      </c>
      <c r="B440" s="43" t="s">
        <v>5105</v>
      </c>
      <c r="C440" s="43" t="s">
        <v>5106</v>
      </c>
      <c r="D440" s="43" t="s">
        <v>5107</v>
      </c>
      <c r="E440" s="43" t="s">
        <v>5108</v>
      </c>
      <c r="F440" s="43" t="s">
        <v>5109</v>
      </c>
      <c r="G440" s="43" t="s">
        <v>5110</v>
      </c>
      <c r="H440" s="43" t="s">
        <v>4464</v>
      </c>
      <c r="I440" s="43" t="s">
        <v>4465</v>
      </c>
    </row>
    <row r="441" ht="15.0" customHeight="1">
      <c r="A441" s="77" t="s">
        <v>1778</v>
      </c>
      <c r="B441" s="38" t="s">
        <v>5111</v>
      </c>
      <c r="C441" s="38" t="s">
        <v>4498</v>
      </c>
      <c r="D441" s="38" t="s">
        <v>4608</v>
      </c>
      <c r="E441" s="38"/>
      <c r="F441" s="38"/>
      <c r="G441" s="38"/>
      <c r="H441" s="43" t="s">
        <v>4464</v>
      </c>
      <c r="I441" s="43" t="s">
        <v>4465</v>
      </c>
    </row>
    <row r="442" ht="15.0" customHeight="1">
      <c r="A442" s="77" t="s">
        <v>1781</v>
      </c>
      <c r="B442" s="38" t="s">
        <v>5111</v>
      </c>
      <c r="C442" s="38" t="s">
        <v>4665</v>
      </c>
      <c r="D442" s="38"/>
      <c r="E442" s="38"/>
      <c r="F442" s="38"/>
      <c r="G442" s="38"/>
      <c r="H442" s="43" t="s">
        <v>4464</v>
      </c>
      <c r="I442" s="43" t="s">
        <v>4465</v>
      </c>
    </row>
    <row r="443" ht="15.0" customHeight="1">
      <c r="A443" s="77" t="s">
        <v>1454</v>
      </c>
      <c r="B443" s="43" t="s">
        <v>5112</v>
      </c>
      <c r="C443" s="43" t="s">
        <v>4498</v>
      </c>
      <c r="D443" s="38"/>
      <c r="E443" s="38"/>
      <c r="F443" s="38"/>
      <c r="G443" s="38"/>
      <c r="H443" s="43" t="s">
        <v>4464</v>
      </c>
      <c r="I443" s="43" t="s">
        <v>4500</v>
      </c>
    </row>
    <row r="444" ht="15.0" customHeight="1">
      <c r="A444" s="77" t="s">
        <v>1784</v>
      </c>
      <c r="B444" s="43" t="s">
        <v>5113</v>
      </c>
      <c r="C444" s="43" t="s">
        <v>5114</v>
      </c>
      <c r="D444" s="38"/>
      <c r="E444" s="38"/>
      <c r="F444" s="38"/>
      <c r="G444" s="38"/>
      <c r="H444" s="43" t="s">
        <v>4464</v>
      </c>
      <c r="I444" s="43" t="s">
        <v>4465</v>
      </c>
    </row>
    <row r="445" ht="15.0" customHeight="1">
      <c r="A445" s="77" t="s">
        <v>2310</v>
      </c>
      <c r="B445" s="38" t="s">
        <v>5109</v>
      </c>
      <c r="C445" s="38"/>
      <c r="D445" s="38"/>
      <c r="E445" s="38"/>
      <c r="F445" s="38"/>
      <c r="G445" s="38"/>
      <c r="H445" s="43" t="s">
        <v>4464</v>
      </c>
      <c r="I445" s="43" t="s">
        <v>4479</v>
      </c>
    </row>
    <row r="446" ht="15.0" customHeight="1">
      <c r="A446" s="77" t="s">
        <v>1457</v>
      </c>
      <c r="B446" s="38" t="s">
        <v>5115</v>
      </c>
      <c r="C446" s="38" t="s">
        <v>4559</v>
      </c>
      <c r="D446" s="38"/>
      <c r="E446" s="38"/>
      <c r="F446" s="38"/>
      <c r="G446" s="38"/>
      <c r="H446" s="43" t="s">
        <v>4464</v>
      </c>
      <c r="I446" s="43" t="s">
        <v>4500</v>
      </c>
    </row>
    <row r="447" ht="15.0" customHeight="1">
      <c r="A447" s="77" t="s">
        <v>1788</v>
      </c>
      <c r="B447" s="43" t="s">
        <v>5116</v>
      </c>
      <c r="C447" s="38"/>
      <c r="D447" s="38"/>
      <c r="E447" s="38"/>
      <c r="F447" s="38"/>
      <c r="G447" s="38"/>
      <c r="H447" s="43" t="s">
        <v>4464</v>
      </c>
      <c r="I447" s="43" t="s">
        <v>4465</v>
      </c>
    </row>
    <row r="448" ht="15.0" customHeight="1">
      <c r="A448" s="77" t="s">
        <v>1791</v>
      </c>
      <c r="B448" s="38" t="s">
        <v>5118</v>
      </c>
      <c r="C448" s="38" t="s">
        <v>4498</v>
      </c>
      <c r="D448" s="38"/>
      <c r="E448" s="38"/>
      <c r="F448" s="38"/>
      <c r="G448" s="38"/>
      <c r="H448" s="43" t="s">
        <v>4464</v>
      </c>
      <c r="I448" s="43" t="s">
        <v>4465</v>
      </c>
    </row>
    <row r="449" ht="15.0" customHeight="1">
      <c r="A449" s="77" t="s">
        <v>2680</v>
      </c>
      <c r="B449" s="43" t="s">
        <v>5119</v>
      </c>
      <c r="C449" s="43" t="s">
        <v>4487</v>
      </c>
      <c r="D449" s="38"/>
      <c r="E449" s="38"/>
      <c r="F449" s="38"/>
      <c r="G449" s="38"/>
      <c r="H449" s="43" t="s">
        <v>5120</v>
      </c>
      <c r="I449" s="43" t="s">
        <v>4514</v>
      </c>
    </row>
    <row r="450" ht="15.0" customHeight="1">
      <c r="A450" s="77" t="s">
        <v>1036</v>
      </c>
      <c r="B450" s="38" t="s">
        <v>5121</v>
      </c>
      <c r="C450" s="38" t="s">
        <v>5096</v>
      </c>
      <c r="D450" s="38" t="s">
        <v>5098</v>
      </c>
      <c r="E450" s="38" t="s">
        <v>5099</v>
      </c>
      <c r="F450" s="38" t="s">
        <v>5100</v>
      </c>
      <c r="G450" s="38" t="s">
        <v>5101</v>
      </c>
      <c r="H450" s="43" t="s">
        <v>5120</v>
      </c>
      <c r="I450" s="43" t="s">
        <v>4549</v>
      </c>
    </row>
    <row r="451" ht="15.0" customHeight="1">
      <c r="A451" s="77" t="s">
        <v>4186</v>
      </c>
      <c r="B451" s="43" t="s">
        <v>5112</v>
      </c>
      <c r="C451" s="43" t="s">
        <v>5122</v>
      </c>
      <c r="D451" s="38"/>
      <c r="E451" s="38"/>
      <c r="F451" s="38"/>
      <c r="G451" s="38"/>
      <c r="H451" s="43" t="s">
        <v>5120</v>
      </c>
      <c r="I451" s="43" t="s">
        <v>4460</v>
      </c>
    </row>
    <row r="452" ht="15.0" customHeight="1">
      <c r="A452" s="77" t="s">
        <v>2683</v>
      </c>
      <c r="B452" s="38" t="s">
        <v>4603</v>
      </c>
      <c r="C452" s="38" t="s">
        <v>4512</v>
      </c>
      <c r="D452" s="38"/>
      <c r="E452" s="38"/>
      <c r="F452" s="38"/>
      <c r="G452" s="38"/>
      <c r="H452" s="43" t="s">
        <v>4513</v>
      </c>
      <c r="I452" s="43" t="s">
        <v>4514</v>
      </c>
    </row>
    <row r="453" ht="15.0" customHeight="1">
      <c r="A453" s="77" t="s">
        <v>1796</v>
      </c>
      <c r="B453" s="43" t="s">
        <v>4466</v>
      </c>
      <c r="C453" s="43" t="s">
        <v>4467</v>
      </c>
      <c r="D453" s="38"/>
      <c r="E453" s="38"/>
      <c r="F453" s="38"/>
      <c r="G453" s="38"/>
      <c r="H453" s="43" t="s">
        <v>4464</v>
      </c>
      <c r="I453" s="43" t="s">
        <v>4465</v>
      </c>
    </row>
    <row r="454" ht="15.0" customHeight="1">
      <c r="A454" s="77" t="s">
        <v>1799</v>
      </c>
      <c r="B454" s="38" t="s">
        <v>4941</v>
      </c>
      <c r="C454" s="38" t="s">
        <v>4745</v>
      </c>
      <c r="D454" s="38" t="s">
        <v>5123</v>
      </c>
      <c r="E454" s="38" t="s">
        <v>4668</v>
      </c>
      <c r="F454" s="38"/>
      <c r="G454" s="38"/>
      <c r="H454" s="43" t="s">
        <v>4464</v>
      </c>
      <c r="I454" s="43" t="s">
        <v>4465</v>
      </c>
    </row>
    <row r="455" ht="15.0" customHeight="1">
      <c r="A455" s="77" t="s">
        <v>1806</v>
      </c>
      <c r="B455" s="38" t="s">
        <v>4696</v>
      </c>
      <c r="C455" s="38" t="s">
        <v>4512</v>
      </c>
      <c r="D455" s="38"/>
      <c r="E455" s="38"/>
      <c r="F455" s="38"/>
      <c r="G455" s="38"/>
      <c r="H455" s="43" t="s">
        <v>4464</v>
      </c>
      <c r="I455" s="43" t="s">
        <v>4465</v>
      </c>
    </row>
    <row r="456" ht="15.0" customHeight="1">
      <c r="A456" s="77" t="s">
        <v>3945</v>
      </c>
      <c r="B456" s="43" t="s">
        <v>5124</v>
      </c>
      <c r="C456" s="38"/>
      <c r="D456" s="38"/>
      <c r="E456" s="38"/>
      <c r="F456" s="38"/>
      <c r="G456" s="38"/>
      <c r="H456" s="43" t="s">
        <v>4464</v>
      </c>
      <c r="I456" s="43" t="s">
        <v>4477</v>
      </c>
    </row>
    <row r="457" ht="15.0" customHeight="1">
      <c r="A457" s="77" t="s">
        <v>1812</v>
      </c>
      <c r="B457" s="38" t="s">
        <v>4865</v>
      </c>
      <c r="C457" s="38" t="s">
        <v>4603</v>
      </c>
      <c r="D457" s="38"/>
      <c r="E457" s="38"/>
      <c r="F457" s="38"/>
      <c r="G457" s="38"/>
      <c r="H457" s="43" t="s">
        <v>4464</v>
      </c>
      <c r="I457" s="43" t="s">
        <v>4465</v>
      </c>
    </row>
    <row r="458" ht="15.0" customHeight="1">
      <c r="A458" s="77" t="s">
        <v>2445</v>
      </c>
      <c r="B458" s="38" t="s">
        <v>4710</v>
      </c>
      <c r="C458" s="38"/>
      <c r="D458" s="38"/>
      <c r="E458" s="38"/>
      <c r="F458" s="38"/>
      <c r="G458" s="38"/>
      <c r="H458" s="43" t="s">
        <v>4533</v>
      </c>
      <c r="I458" s="43" t="s">
        <v>4534</v>
      </c>
    </row>
    <row r="459" ht="15.0" customHeight="1">
      <c r="A459" s="77" t="s">
        <v>2293</v>
      </c>
      <c r="B459" s="43" t="s">
        <v>4845</v>
      </c>
      <c r="C459" s="38"/>
      <c r="D459" s="38"/>
      <c r="E459" s="38"/>
      <c r="F459" s="38"/>
      <c r="G459" s="38"/>
      <c r="H459" s="43" t="s">
        <v>4928</v>
      </c>
      <c r="I459" s="43" t="s">
        <v>4516</v>
      </c>
    </row>
    <row r="460" ht="15.0" customHeight="1">
      <c r="A460" s="77" t="s">
        <v>1932</v>
      </c>
      <c r="B460" s="38" t="s">
        <v>4845</v>
      </c>
      <c r="C460" s="38"/>
      <c r="D460" s="38"/>
      <c r="E460" s="38"/>
      <c r="F460" s="38"/>
      <c r="G460" s="38"/>
      <c r="H460" s="43" t="s">
        <v>4928</v>
      </c>
      <c r="I460" s="43" t="s">
        <v>4485</v>
      </c>
    </row>
    <row r="461" ht="15.0" customHeight="1">
      <c r="A461" s="76" t="s">
        <v>3651</v>
      </c>
      <c r="B461" s="43" t="s">
        <v>4646</v>
      </c>
      <c r="C461" s="38"/>
      <c r="D461" s="38"/>
      <c r="E461" s="38"/>
      <c r="F461" s="38"/>
      <c r="G461" s="38"/>
      <c r="H461" s="43" t="s">
        <v>5126</v>
      </c>
      <c r="I461" s="43" t="s">
        <v>4473</v>
      </c>
    </row>
    <row r="462" ht="15.0" customHeight="1">
      <c r="A462" s="76" t="s">
        <v>3950</v>
      </c>
      <c r="B462" s="43" t="s">
        <v>4617</v>
      </c>
      <c r="C462" s="38"/>
      <c r="D462" s="38"/>
      <c r="E462" s="38"/>
      <c r="F462" s="38"/>
      <c r="G462" s="38"/>
      <c r="H462" s="43" t="s">
        <v>5126</v>
      </c>
      <c r="I462" s="43" t="s">
        <v>4477</v>
      </c>
    </row>
    <row r="463" ht="15.0" customHeight="1">
      <c r="A463" s="76" t="s">
        <v>4335</v>
      </c>
      <c r="B463" s="43" t="s">
        <v>4617</v>
      </c>
      <c r="C463" s="38"/>
      <c r="D463" s="38"/>
      <c r="E463" s="38"/>
      <c r="F463" s="38"/>
      <c r="G463" s="38"/>
      <c r="H463" s="43" t="s">
        <v>5126</v>
      </c>
      <c r="I463" s="43" t="s">
        <v>4497</v>
      </c>
    </row>
    <row r="464" ht="15.0" customHeight="1">
      <c r="A464" s="77" t="s">
        <v>1821</v>
      </c>
      <c r="B464" s="43" t="s">
        <v>4568</v>
      </c>
      <c r="C464" s="38"/>
      <c r="D464" s="38"/>
      <c r="E464" s="38"/>
      <c r="F464" s="38"/>
      <c r="G464" s="38"/>
      <c r="H464" s="43" t="s">
        <v>4464</v>
      </c>
      <c r="I464" s="43" t="s">
        <v>4465</v>
      </c>
    </row>
    <row r="465" ht="15.0" customHeight="1">
      <c r="A465" s="77" t="s">
        <v>2686</v>
      </c>
      <c r="B465" s="38" t="s">
        <v>4696</v>
      </c>
      <c r="C465" s="38"/>
      <c r="D465" s="38"/>
      <c r="E465" s="38"/>
      <c r="F465" s="38"/>
      <c r="G465" s="38"/>
      <c r="H465" s="43" t="s">
        <v>4464</v>
      </c>
      <c r="I465" s="43" t="s">
        <v>4514</v>
      </c>
    </row>
    <row r="466" ht="15.0" customHeight="1">
      <c r="A466" s="77" t="s">
        <v>1824</v>
      </c>
      <c r="B466" s="38" t="s">
        <v>4673</v>
      </c>
      <c r="C466" s="38"/>
      <c r="D466" s="38"/>
      <c r="E466" s="38"/>
      <c r="F466" s="38"/>
      <c r="G466" s="38"/>
      <c r="H466" s="43" t="s">
        <v>4464</v>
      </c>
      <c r="I466" s="43" t="s">
        <v>4465</v>
      </c>
    </row>
    <row r="467" ht="15.0" customHeight="1">
      <c r="A467" s="77" t="s">
        <v>1052</v>
      </c>
      <c r="B467" s="43" t="s">
        <v>4727</v>
      </c>
      <c r="C467" s="43" t="s">
        <v>4728</v>
      </c>
      <c r="D467" s="43" t="s">
        <v>5051</v>
      </c>
      <c r="E467" s="38"/>
      <c r="F467" s="38"/>
      <c r="G467" s="38"/>
      <c r="H467" s="43" t="s">
        <v>4464</v>
      </c>
      <c r="I467" s="43" t="s">
        <v>4549</v>
      </c>
    </row>
    <row r="468" ht="15.0" customHeight="1">
      <c r="A468" s="77" t="s">
        <v>4188</v>
      </c>
      <c r="B468" s="43" t="s">
        <v>4841</v>
      </c>
      <c r="C468" s="38"/>
      <c r="D468" s="38"/>
      <c r="E468" s="38"/>
      <c r="F468" s="38"/>
      <c r="G468" s="38"/>
      <c r="H468" s="43" t="s">
        <v>4928</v>
      </c>
      <c r="I468" s="41" t="s">
        <v>4460</v>
      </c>
    </row>
    <row r="469" ht="15.0" customHeight="1">
      <c r="A469" s="77" t="s">
        <v>1939</v>
      </c>
      <c r="B469" s="43" t="s">
        <v>5127</v>
      </c>
      <c r="C469" s="38"/>
      <c r="D469" s="38"/>
      <c r="E469" s="38"/>
      <c r="F469" s="38"/>
      <c r="G469" s="38"/>
      <c r="H469" s="43" t="s">
        <v>4928</v>
      </c>
      <c r="I469" s="41" t="s">
        <v>4485</v>
      </c>
    </row>
    <row r="470" ht="15.0" customHeight="1">
      <c r="A470" s="77" t="s">
        <v>1055</v>
      </c>
      <c r="B470" s="43" t="s">
        <v>4843</v>
      </c>
      <c r="C470" s="38"/>
      <c r="D470" s="38"/>
      <c r="E470" s="38"/>
      <c r="F470" s="38"/>
      <c r="G470" s="38"/>
      <c r="H470" s="43" t="s">
        <v>4928</v>
      </c>
      <c r="I470" s="43" t="s">
        <v>4549</v>
      </c>
    </row>
    <row r="471" ht="15.0" customHeight="1">
      <c r="A471" s="77" t="s">
        <v>3954</v>
      </c>
      <c r="B471" s="43" t="s">
        <v>4835</v>
      </c>
      <c r="C471" s="43" t="s">
        <v>4840</v>
      </c>
      <c r="D471" s="38"/>
      <c r="E471" s="38"/>
      <c r="F471" s="38"/>
      <c r="G471" s="38"/>
      <c r="H471" s="43" t="s">
        <v>4837</v>
      </c>
      <c r="I471" s="41" t="s">
        <v>4477</v>
      </c>
    </row>
    <row r="472" ht="15.0" customHeight="1">
      <c r="A472" s="77" t="s">
        <v>1841</v>
      </c>
      <c r="B472" s="43" t="s">
        <v>4501</v>
      </c>
      <c r="C472" s="43" t="s">
        <v>4560</v>
      </c>
      <c r="D472" s="38"/>
      <c r="E472" s="38"/>
      <c r="F472" s="38"/>
      <c r="G472" s="38"/>
      <c r="H472" s="43" t="s">
        <v>4491</v>
      </c>
      <c r="I472" s="43" t="s">
        <v>4465</v>
      </c>
    </row>
    <row r="473" ht="15.0" customHeight="1">
      <c r="A473" s="77" t="s">
        <v>2447</v>
      </c>
      <c r="B473" s="38" t="s">
        <v>4993</v>
      </c>
      <c r="C473" s="38"/>
      <c r="D473" s="38"/>
      <c r="E473" s="38"/>
      <c r="F473" s="38"/>
      <c r="G473" s="38"/>
      <c r="H473" s="43" t="s">
        <v>4533</v>
      </c>
      <c r="I473" s="43" t="s">
        <v>4534</v>
      </c>
    </row>
    <row r="474" ht="15.0" customHeight="1">
      <c r="A474" s="77" t="s">
        <v>1478</v>
      </c>
      <c r="B474" s="43" t="s">
        <v>5129</v>
      </c>
      <c r="C474" s="38"/>
      <c r="D474" s="38"/>
      <c r="E474" s="38"/>
      <c r="F474" s="38"/>
      <c r="G474" s="38"/>
      <c r="H474" s="43" t="s">
        <v>4464</v>
      </c>
      <c r="I474" s="43" t="s">
        <v>4500</v>
      </c>
    </row>
    <row r="475" ht="15.0" customHeight="1">
      <c r="A475" s="77" t="s">
        <v>1480</v>
      </c>
      <c r="B475" s="38" t="s">
        <v>5130</v>
      </c>
      <c r="C475" s="38"/>
      <c r="D475" s="38"/>
      <c r="E475" s="38"/>
      <c r="F475" s="38"/>
      <c r="G475" s="38"/>
      <c r="H475" s="43" t="s">
        <v>4464</v>
      </c>
      <c r="I475" s="43" t="s">
        <v>4500</v>
      </c>
    </row>
    <row r="476" ht="15.0" customHeight="1">
      <c r="A476" s="77" t="s">
        <v>1942</v>
      </c>
      <c r="B476" s="38" t="s">
        <v>4654</v>
      </c>
      <c r="C476" s="38"/>
      <c r="D476" s="38"/>
      <c r="E476" s="38"/>
      <c r="F476" s="38"/>
      <c r="G476" s="38"/>
      <c r="H476" s="43" t="s">
        <v>4464</v>
      </c>
      <c r="I476" s="43" t="s">
        <v>4485</v>
      </c>
    </row>
    <row r="477" ht="15.0" customHeight="1">
      <c r="A477" s="77" t="s">
        <v>1860</v>
      </c>
      <c r="B477" s="38" t="s">
        <v>4864</v>
      </c>
      <c r="C477" s="38"/>
      <c r="D477" s="38"/>
      <c r="E477" s="38"/>
      <c r="F477" s="38"/>
      <c r="G477" s="38"/>
      <c r="H477" s="43" t="s">
        <v>4464</v>
      </c>
      <c r="I477" s="43" t="s">
        <v>4465</v>
      </c>
    </row>
    <row r="478" ht="15.0" customHeight="1">
      <c r="A478" s="77" t="s">
        <v>1863</v>
      </c>
      <c r="B478" s="43" t="s">
        <v>4463</v>
      </c>
      <c r="C478" s="38"/>
      <c r="D478" s="38"/>
      <c r="E478" s="38"/>
      <c r="F478" s="38"/>
      <c r="G478" s="38"/>
      <c r="H478" s="43" t="s">
        <v>4464</v>
      </c>
      <c r="I478" s="43" t="s">
        <v>4465</v>
      </c>
    </row>
    <row r="479" ht="15.0" customHeight="1">
      <c r="A479" s="77" t="s">
        <v>1484</v>
      </c>
      <c r="B479" s="43" t="s">
        <v>4487</v>
      </c>
      <c r="C479" s="43" t="s">
        <v>4512</v>
      </c>
      <c r="D479" s="38"/>
      <c r="E479" s="38"/>
      <c r="F479" s="38"/>
      <c r="G479" s="38"/>
      <c r="H479" s="43" t="s">
        <v>4464</v>
      </c>
      <c r="I479" s="43" t="s">
        <v>4500</v>
      </c>
    </row>
    <row r="480" ht="15.0" customHeight="1">
      <c r="A480" s="77" t="s">
        <v>3964</v>
      </c>
      <c r="B480" s="43" t="s">
        <v>4501</v>
      </c>
      <c r="C480" s="38"/>
      <c r="D480" s="38"/>
      <c r="E480" s="38"/>
      <c r="F480" s="38"/>
      <c r="G480" s="38"/>
      <c r="H480" s="43" t="s">
        <v>4491</v>
      </c>
      <c r="I480" s="41" t="s">
        <v>4477</v>
      </c>
    </row>
    <row r="481" ht="15.0" customHeight="1">
      <c r="A481" s="77" t="s">
        <v>4193</v>
      </c>
      <c r="B481" s="38" t="s">
        <v>5132</v>
      </c>
      <c r="C481" s="38"/>
      <c r="D481" s="38"/>
      <c r="E481" s="38"/>
      <c r="F481" s="38"/>
      <c r="G481" s="38"/>
      <c r="H481" s="38" t="s">
        <v>4491</v>
      </c>
      <c r="I481" s="41" t="s">
        <v>4460</v>
      </c>
    </row>
    <row r="482" ht="15.0" customHeight="1">
      <c r="A482" s="77" t="s">
        <v>2693</v>
      </c>
      <c r="B482" s="38" t="s">
        <v>4749</v>
      </c>
      <c r="C482" s="38" t="s">
        <v>4487</v>
      </c>
      <c r="D482" s="38"/>
      <c r="E482" s="38"/>
      <c r="F482" s="38"/>
      <c r="G482" s="38"/>
      <c r="H482" s="38" t="s">
        <v>4491</v>
      </c>
      <c r="I482" s="41" t="s">
        <v>4514</v>
      </c>
    </row>
    <row r="483" ht="15.0" customHeight="1">
      <c r="A483" s="77" t="s">
        <v>1076</v>
      </c>
      <c r="B483" s="43" t="s">
        <v>5001</v>
      </c>
      <c r="C483" s="38"/>
      <c r="D483" s="38"/>
      <c r="E483" s="38"/>
      <c r="F483" s="38"/>
      <c r="G483" s="38"/>
      <c r="H483" s="38" t="s">
        <v>4491</v>
      </c>
      <c r="I483" s="41" t="s">
        <v>4549</v>
      </c>
    </row>
    <row r="484" ht="15.0" customHeight="1">
      <c r="A484" s="77" t="s">
        <v>1947</v>
      </c>
      <c r="B484" s="38" t="s">
        <v>4501</v>
      </c>
      <c r="C484" s="38" t="s">
        <v>4749</v>
      </c>
      <c r="D484" s="38"/>
      <c r="E484" s="38"/>
      <c r="F484" s="38"/>
      <c r="G484" s="38"/>
      <c r="H484" s="38" t="s">
        <v>4491</v>
      </c>
      <c r="I484" s="41" t="s">
        <v>4485</v>
      </c>
    </row>
    <row r="485" ht="15.0" customHeight="1">
      <c r="A485" s="77" t="s">
        <v>2298</v>
      </c>
      <c r="B485" s="43" t="s">
        <v>5119</v>
      </c>
      <c r="C485" s="43" t="s">
        <v>5133</v>
      </c>
      <c r="D485" s="38"/>
      <c r="E485" s="38"/>
      <c r="F485" s="38"/>
      <c r="G485" s="38"/>
      <c r="H485" s="43" t="s">
        <v>5120</v>
      </c>
      <c r="I485" s="41" t="s">
        <v>4516</v>
      </c>
    </row>
    <row r="486" ht="15.0" customHeight="1">
      <c r="A486" s="77" t="s">
        <v>1948</v>
      </c>
      <c r="B486" s="43" t="s">
        <v>4501</v>
      </c>
      <c r="C486" s="43" t="s">
        <v>4749</v>
      </c>
      <c r="D486" s="38"/>
      <c r="E486" s="38"/>
      <c r="F486" s="38"/>
      <c r="G486" s="38"/>
      <c r="H486" s="38" t="s">
        <v>4491</v>
      </c>
      <c r="I486" s="41" t="s">
        <v>4485</v>
      </c>
    </row>
    <row r="487" ht="15.0" customHeight="1">
      <c r="A487" s="77" t="s">
        <v>1486</v>
      </c>
      <c r="B487" s="38" t="s">
        <v>4524</v>
      </c>
      <c r="C487" s="38"/>
      <c r="D487" s="38"/>
      <c r="E487" s="38"/>
      <c r="F487" s="38"/>
      <c r="G487" s="38"/>
      <c r="H487" s="43" t="s">
        <v>4525</v>
      </c>
      <c r="I487" s="43" t="s">
        <v>4500</v>
      </c>
    </row>
    <row r="488" ht="15.0" customHeight="1">
      <c r="A488" s="77" t="s">
        <v>2299</v>
      </c>
      <c r="B488" s="38" t="s">
        <v>5135</v>
      </c>
      <c r="C488" s="38"/>
      <c r="D488" s="38"/>
      <c r="E488" s="38"/>
      <c r="F488" s="38"/>
      <c r="G488" s="38"/>
      <c r="H488" s="43" t="s">
        <v>4464</v>
      </c>
      <c r="I488" s="43" t="s">
        <v>4516</v>
      </c>
    </row>
    <row r="489" ht="15.0" customHeight="1">
      <c r="A489" s="77" t="s">
        <v>1952</v>
      </c>
      <c r="B489" s="43" t="s">
        <v>4834</v>
      </c>
      <c r="C489" s="38"/>
      <c r="D489" s="38"/>
      <c r="E489" s="38"/>
      <c r="F489" s="38"/>
      <c r="G489" s="38"/>
      <c r="H489" s="43" t="s">
        <v>4464</v>
      </c>
      <c r="I489" s="43" t="s">
        <v>4485</v>
      </c>
    </row>
    <row r="490" ht="15.0" customHeight="1">
      <c r="A490" s="77" t="s">
        <v>1872</v>
      </c>
      <c r="B490" s="38" t="s">
        <v>5136</v>
      </c>
      <c r="C490" s="38"/>
      <c r="D490" s="38"/>
      <c r="E490" s="38"/>
      <c r="F490" s="38"/>
      <c r="G490" s="38"/>
      <c r="H490" s="43" t="s">
        <v>4464</v>
      </c>
      <c r="I490" s="43" t="s">
        <v>4465</v>
      </c>
    </row>
    <row r="491" ht="15.0" customHeight="1">
      <c r="A491" s="77" t="s">
        <v>2696</v>
      </c>
      <c r="B491" s="38" t="s">
        <v>4510</v>
      </c>
      <c r="C491" s="38" t="s">
        <v>4511</v>
      </c>
      <c r="D491" s="38"/>
      <c r="E491" s="38"/>
      <c r="F491" s="38"/>
      <c r="G491" s="38"/>
      <c r="H491" s="43" t="s">
        <v>4513</v>
      </c>
      <c r="I491" s="43" t="s">
        <v>4514</v>
      </c>
    </row>
    <row r="492" ht="15.0" customHeight="1">
      <c r="A492" s="77" t="s">
        <v>2450</v>
      </c>
      <c r="B492" s="38" t="s">
        <v>4608</v>
      </c>
      <c r="C492" s="38"/>
      <c r="D492" s="38"/>
      <c r="E492" s="38"/>
      <c r="F492" s="38"/>
      <c r="G492" s="38"/>
      <c r="H492" s="43" t="s">
        <v>4533</v>
      </c>
      <c r="I492" s="43" t="s">
        <v>4534</v>
      </c>
    </row>
    <row r="493" ht="15.0" customHeight="1">
      <c r="A493" s="77" t="s">
        <v>1875</v>
      </c>
      <c r="B493" s="38" t="s">
        <v>4665</v>
      </c>
      <c r="C493" s="38"/>
      <c r="D493" s="38"/>
      <c r="E493" s="38"/>
      <c r="F493" s="38"/>
      <c r="G493" s="38"/>
      <c r="H493" s="43" t="s">
        <v>4464</v>
      </c>
      <c r="I493" s="43" t="s">
        <v>4465</v>
      </c>
    </row>
    <row r="494" ht="15.0" customHeight="1">
      <c r="A494" s="77" t="s">
        <v>1878</v>
      </c>
      <c r="B494" s="38" t="s">
        <v>4773</v>
      </c>
      <c r="C494" s="38"/>
      <c r="D494" s="38"/>
      <c r="E494" s="38"/>
      <c r="F494" s="38"/>
      <c r="G494" s="38"/>
      <c r="H494" s="43" t="s">
        <v>4464</v>
      </c>
      <c r="I494" s="43" t="s">
        <v>4465</v>
      </c>
    </row>
    <row r="495" ht="15.0" customHeight="1">
      <c r="A495" s="77" t="s">
        <v>1882</v>
      </c>
      <c r="B495" s="38" t="s">
        <v>4668</v>
      </c>
      <c r="C495" s="38"/>
      <c r="D495" s="38"/>
      <c r="E495" s="38"/>
      <c r="F495" s="38"/>
      <c r="G495" s="38"/>
      <c r="H495" s="43" t="s">
        <v>4464</v>
      </c>
      <c r="I495" s="43" t="s">
        <v>4465</v>
      </c>
    </row>
    <row r="496" ht="15.0" customHeight="1">
      <c r="A496" s="77" t="s">
        <v>1954</v>
      </c>
      <c r="B496" s="38" t="s">
        <v>4503</v>
      </c>
      <c r="C496" s="38"/>
      <c r="D496" s="38"/>
      <c r="E496" s="38"/>
      <c r="F496" s="38"/>
      <c r="G496" s="38"/>
      <c r="H496" s="43" t="s">
        <v>4464</v>
      </c>
      <c r="I496" s="43" t="s">
        <v>4485</v>
      </c>
    </row>
    <row r="497" ht="15.0" customHeight="1">
      <c r="A497" s="77" t="s">
        <v>3663</v>
      </c>
      <c r="B497" s="43" t="s">
        <v>4785</v>
      </c>
      <c r="C497" s="38"/>
      <c r="D497" s="38"/>
      <c r="E497" s="38"/>
      <c r="F497" s="38"/>
      <c r="G497" s="38"/>
      <c r="H497" s="43" t="s">
        <v>5138</v>
      </c>
      <c r="I497" s="41" t="s">
        <v>4473</v>
      </c>
    </row>
    <row r="498" ht="15.0" customHeight="1">
      <c r="A498" s="77" t="s">
        <v>3966</v>
      </c>
      <c r="B498" s="43" t="s">
        <v>4614</v>
      </c>
      <c r="C498" s="38"/>
      <c r="D498" s="38"/>
      <c r="E498" s="38"/>
      <c r="F498" s="38"/>
      <c r="G498" s="38"/>
      <c r="H498" s="43" t="s">
        <v>5138</v>
      </c>
      <c r="I498" s="43" t="s">
        <v>4477</v>
      </c>
    </row>
    <row r="499" ht="15.0" customHeight="1">
      <c r="A499" s="77" t="s">
        <v>4364</v>
      </c>
      <c r="B499" s="43" t="s">
        <v>4614</v>
      </c>
      <c r="C499" s="38"/>
      <c r="D499" s="38"/>
      <c r="E499" s="38"/>
      <c r="F499" s="38"/>
      <c r="G499" s="38"/>
      <c r="H499" s="43" t="s">
        <v>5138</v>
      </c>
      <c r="I499" s="43" t="s">
        <v>4497</v>
      </c>
    </row>
    <row r="500" ht="15.0" customHeight="1">
      <c r="A500" s="76" t="s">
        <v>1884</v>
      </c>
      <c r="B500" s="43" t="s">
        <v>5139</v>
      </c>
      <c r="C500" s="38"/>
      <c r="D500" s="38"/>
      <c r="E500" s="38"/>
      <c r="F500" s="38"/>
      <c r="G500" s="38"/>
      <c r="H500" s="43" t="s">
        <v>4464</v>
      </c>
      <c r="I500" s="43" t="s">
        <v>4465</v>
      </c>
    </row>
    <row r="501" ht="15.0" customHeight="1">
      <c r="A501" s="77" t="s">
        <v>2452</v>
      </c>
      <c r="B501" s="38" t="s">
        <v>4814</v>
      </c>
      <c r="C501" s="38" t="s">
        <v>4511</v>
      </c>
      <c r="D501" s="38"/>
      <c r="E501" s="38"/>
      <c r="F501" s="38"/>
      <c r="G501" s="38"/>
      <c r="H501" s="43" t="s">
        <v>4533</v>
      </c>
      <c r="I501" s="43" t="s">
        <v>4534</v>
      </c>
    </row>
    <row r="502" ht="15.0" customHeight="1">
      <c r="A502" s="77" t="s">
        <v>3969</v>
      </c>
      <c r="B502" s="38" t="s">
        <v>4814</v>
      </c>
      <c r="C502" s="38"/>
      <c r="D502" s="38"/>
      <c r="E502" s="38"/>
      <c r="F502" s="38"/>
      <c r="G502" s="38"/>
      <c r="H502" s="43" t="s">
        <v>4464</v>
      </c>
      <c r="I502" s="43" t="s">
        <v>4477</v>
      </c>
    </row>
    <row r="503" ht="15.0" customHeight="1">
      <c r="A503" s="77" t="s">
        <v>1893</v>
      </c>
      <c r="B503" s="43" t="s">
        <v>5140</v>
      </c>
      <c r="C503" s="43" t="s">
        <v>5141</v>
      </c>
      <c r="D503" s="38"/>
      <c r="E503" s="38"/>
      <c r="F503" s="38"/>
      <c r="G503" s="38"/>
      <c r="H503" s="43" t="s">
        <v>4464</v>
      </c>
      <c r="I503" s="43" t="s">
        <v>4465</v>
      </c>
    </row>
    <row r="504" ht="15.0" customHeight="1">
      <c r="A504" s="77" t="s">
        <v>1498</v>
      </c>
      <c r="B504" s="38" t="s">
        <v>4814</v>
      </c>
      <c r="C504" s="38" t="s">
        <v>5081</v>
      </c>
      <c r="D504" s="38"/>
      <c r="E504" s="38"/>
      <c r="F504" s="38"/>
      <c r="G504" s="38"/>
      <c r="H504" s="43" t="s">
        <v>4464</v>
      </c>
      <c r="I504" s="43" t="s">
        <v>4500</v>
      </c>
    </row>
    <row r="505" ht="15.0" customHeight="1">
      <c r="A505" s="77" t="s">
        <v>1903</v>
      </c>
      <c r="B505" s="38" t="s">
        <v>4507</v>
      </c>
      <c r="C505" s="38" t="s">
        <v>5142</v>
      </c>
      <c r="D505" s="38"/>
      <c r="E505" s="38"/>
      <c r="F505" s="38"/>
      <c r="G505" s="38"/>
      <c r="H505" s="43" t="s">
        <v>4464</v>
      </c>
      <c r="I505" s="43" t="s">
        <v>4465</v>
      </c>
    </row>
    <row r="506" ht="15.0" customHeight="1">
      <c r="A506" s="77" t="s">
        <v>1509</v>
      </c>
      <c r="B506" s="43" t="s">
        <v>4956</v>
      </c>
      <c r="C506" s="43" t="s">
        <v>4656</v>
      </c>
      <c r="D506" s="43" t="s">
        <v>4523</v>
      </c>
      <c r="E506" s="38"/>
      <c r="F506" s="38"/>
      <c r="G506" s="38"/>
      <c r="H506" s="43" t="s">
        <v>4567</v>
      </c>
      <c r="I506" s="43" t="s">
        <v>4500</v>
      </c>
    </row>
    <row r="507" ht="15.0" customHeight="1">
      <c r="A507" s="77" t="s">
        <v>1911</v>
      </c>
      <c r="B507" s="38" t="s">
        <v>5143</v>
      </c>
      <c r="C507" s="38"/>
      <c r="D507" s="38"/>
      <c r="E507" s="38"/>
      <c r="F507" s="38"/>
      <c r="G507" s="38"/>
      <c r="H507" s="43" t="s">
        <v>4464</v>
      </c>
      <c r="I507" s="43" t="s">
        <v>4465</v>
      </c>
    </row>
    <row r="508" ht="15.0" customHeight="1">
      <c r="A508" s="77" t="s">
        <v>1913</v>
      </c>
      <c r="B508" s="43" t="s">
        <v>5144</v>
      </c>
      <c r="C508" s="38"/>
      <c r="D508" s="38"/>
      <c r="E508" s="38"/>
      <c r="F508" s="38"/>
      <c r="G508" s="38"/>
      <c r="H508" s="43" t="s">
        <v>4464</v>
      </c>
      <c r="I508" s="43" t="s">
        <v>4465</v>
      </c>
    </row>
    <row r="509" ht="15.0" customHeight="1">
      <c r="A509" s="77" t="s">
        <v>1919</v>
      </c>
      <c r="B509" s="43" t="s">
        <v>4487</v>
      </c>
      <c r="C509" s="43" t="s">
        <v>5146</v>
      </c>
      <c r="D509" s="43" t="s">
        <v>4494</v>
      </c>
      <c r="E509" s="43" t="s">
        <v>4773</v>
      </c>
      <c r="F509" s="38"/>
      <c r="G509" s="38"/>
      <c r="H509" s="43" t="s">
        <v>4491</v>
      </c>
      <c r="I509" s="43" t="s">
        <v>4465</v>
      </c>
    </row>
    <row r="510" ht="15.0" customHeight="1">
      <c r="A510" s="77" t="s">
        <v>1921</v>
      </c>
      <c r="B510" s="38" t="s">
        <v>4990</v>
      </c>
      <c r="C510" s="38"/>
      <c r="D510" s="38"/>
      <c r="E510" s="38"/>
      <c r="F510" s="38"/>
      <c r="G510" s="38"/>
      <c r="H510" s="43" t="s">
        <v>4464</v>
      </c>
      <c r="I510" s="43" t="s">
        <v>4465</v>
      </c>
    </row>
    <row r="511" ht="15.0" customHeight="1">
      <c r="A511" s="77" t="s">
        <v>1519</v>
      </c>
      <c r="B511" s="43" t="s">
        <v>5147</v>
      </c>
      <c r="C511" s="43" t="s">
        <v>4559</v>
      </c>
      <c r="D511" s="38"/>
      <c r="E511" s="38"/>
      <c r="F511" s="38"/>
      <c r="G511" s="38"/>
      <c r="H511" s="43" t="s">
        <v>4464</v>
      </c>
      <c r="I511" s="43" t="s">
        <v>4500</v>
      </c>
    </row>
    <row r="512" ht="15.0" customHeight="1">
      <c r="A512" s="76" t="s">
        <v>1930</v>
      </c>
      <c r="B512" s="43" t="s">
        <v>4835</v>
      </c>
      <c r="C512" s="43" t="s">
        <v>4841</v>
      </c>
      <c r="D512" s="43" t="s">
        <v>5148</v>
      </c>
      <c r="E512" s="38"/>
      <c r="F512" s="38"/>
      <c r="G512" s="38"/>
      <c r="H512" s="43" t="s">
        <v>4837</v>
      </c>
      <c r="I512" s="43" t="s">
        <v>4465</v>
      </c>
    </row>
    <row r="513" ht="15.0" customHeight="1">
      <c r="A513" s="77" t="s">
        <v>1946</v>
      </c>
      <c r="B513" s="38" t="s">
        <v>4810</v>
      </c>
      <c r="C513" s="38" t="s">
        <v>4507</v>
      </c>
      <c r="D513" s="38"/>
      <c r="E513" s="38"/>
      <c r="F513" s="38"/>
      <c r="G513" s="38"/>
      <c r="H513" s="43" t="s">
        <v>4464</v>
      </c>
      <c r="I513" s="43" t="s">
        <v>4465</v>
      </c>
    </row>
    <row r="514" ht="15.0" customHeight="1">
      <c r="A514" s="77" t="s">
        <v>1154</v>
      </c>
      <c r="B514" s="43" t="s">
        <v>4569</v>
      </c>
      <c r="C514" s="43" t="s">
        <v>5149</v>
      </c>
      <c r="D514" s="38"/>
      <c r="E514" s="38"/>
      <c r="F514" s="38"/>
      <c r="G514" s="38"/>
      <c r="H514" s="43" t="s">
        <v>4464</v>
      </c>
      <c r="I514" s="43" t="s">
        <v>4549</v>
      </c>
    </row>
    <row r="515" ht="15.0" customHeight="1">
      <c r="A515" s="77" t="s">
        <v>1949</v>
      </c>
      <c r="B515" s="43" t="s">
        <v>5150</v>
      </c>
      <c r="C515" s="43" t="s">
        <v>4507</v>
      </c>
      <c r="D515" s="38"/>
      <c r="E515" s="38"/>
      <c r="F515" s="38"/>
      <c r="G515" s="38"/>
      <c r="H515" s="43" t="s">
        <v>4464</v>
      </c>
      <c r="I515" s="43" t="s">
        <v>4465</v>
      </c>
    </row>
    <row r="516" ht="15.0" customHeight="1">
      <c r="A516" s="77" t="s">
        <v>1951</v>
      </c>
      <c r="B516" s="38" t="s">
        <v>5151</v>
      </c>
      <c r="C516" s="38"/>
      <c r="D516" s="38"/>
      <c r="E516" s="38"/>
      <c r="F516" s="38"/>
      <c r="G516" s="38"/>
      <c r="H516" s="43" t="s">
        <v>4464</v>
      </c>
      <c r="I516" s="43" t="s">
        <v>4465</v>
      </c>
    </row>
    <row r="517" ht="15.0" customHeight="1">
      <c r="A517" s="77" t="s">
        <v>1953</v>
      </c>
      <c r="B517" s="38" t="s">
        <v>5152</v>
      </c>
      <c r="C517" s="38"/>
      <c r="D517" s="38"/>
      <c r="E517" s="38"/>
      <c r="F517" s="38"/>
      <c r="G517" s="38"/>
      <c r="H517" s="43" t="s">
        <v>5153</v>
      </c>
      <c r="I517" s="43" t="s">
        <v>4465</v>
      </c>
    </row>
    <row r="518" ht="15.0" customHeight="1">
      <c r="A518" s="77" t="s">
        <v>1550</v>
      </c>
      <c r="B518" s="43" t="s">
        <v>5155</v>
      </c>
      <c r="C518" s="43" t="s">
        <v>4466</v>
      </c>
      <c r="D518" s="38"/>
      <c r="E518" s="38"/>
      <c r="F518" s="38"/>
      <c r="G518" s="38"/>
      <c r="H518" s="43" t="s">
        <v>4459</v>
      </c>
      <c r="I518" s="43" t="s">
        <v>4500</v>
      </c>
    </row>
    <row r="519" ht="15.0" customHeight="1">
      <c r="A519" s="77" t="s">
        <v>3331</v>
      </c>
      <c r="B519" s="38" t="s">
        <v>5156</v>
      </c>
      <c r="C519" s="38"/>
      <c r="D519" s="38"/>
      <c r="E519" s="38"/>
      <c r="F519" s="38"/>
      <c r="G519" s="38"/>
      <c r="H519" s="43" t="s">
        <v>4464</v>
      </c>
      <c r="I519" s="41" t="s">
        <v>5157</v>
      </c>
    </row>
    <row r="520" ht="15.0" customHeight="1">
      <c r="A520" s="77" t="s">
        <v>1554</v>
      </c>
      <c r="B520" s="38" t="s">
        <v>5081</v>
      </c>
      <c r="C520" s="38" t="s">
        <v>5158</v>
      </c>
      <c r="D520" s="38" t="s">
        <v>5152</v>
      </c>
      <c r="E520" s="38"/>
      <c r="F520" s="38"/>
      <c r="G520" s="38"/>
      <c r="H520" s="43" t="s">
        <v>5159</v>
      </c>
      <c r="I520" s="43" t="s">
        <v>4500</v>
      </c>
    </row>
    <row r="521" ht="15.0" customHeight="1">
      <c r="A521" s="77" t="s">
        <v>1174</v>
      </c>
      <c r="B521" s="43" t="s">
        <v>4715</v>
      </c>
      <c r="C521" s="38"/>
      <c r="D521" s="38"/>
      <c r="E521" s="38"/>
      <c r="F521" s="38"/>
      <c r="G521" s="38"/>
      <c r="H521" s="43" t="s">
        <v>4464</v>
      </c>
      <c r="I521" s="41" t="s">
        <v>4549</v>
      </c>
    </row>
    <row r="522" ht="15.0" customHeight="1">
      <c r="A522" s="77" t="s">
        <v>1973</v>
      </c>
      <c r="B522" s="38" t="s">
        <v>4507</v>
      </c>
      <c r="C522" s="38" t="s">
        <v>4462</v>
      </c>
      <c r="D522" s="38"/>
      <c r="E522" s="38"/>
      <c r="F522" s="38"/>
      <c r="G522" s="38"/>
      <c r="H522" s="43" t="s">
        <v>4464</v>
      </c>
      <c r="I522" s="43" t="s">
        <v>4465</v>
      </c>
    </row>
    <row r="523" ht="15.0" customHeight="1">
      <c r="A523" s="77" t="s">
        <v>2708</v>
      </c>
      <c r="B523" s="43" t="s">
        <v>4810</v>
      </c>
      <c r="C523" s="43" t="s">
        <v>4487</v>
      </c>
      <c r="D523" s="38"/>
      <c r="E523" s="38"/>
      <c r="F523" s="38"/>
      <c r="G523" s="38"/>
      <c r="H523" s="43" t="s">
        <v>4464</v>
      </c>
      <c r="I523" s="43" t="s">
        <v>4514</v>
      </c>
    </row>
    <row r="524" ht="15.0" customHeight="1">
      <c r="A524" s="77" t="s">
        <v>1976</v>
      </c>
      <c r="B524" s="43" t="s">
        <v>5160</v>
      </c>
      <c r="C524" s="43" t="s">
        <v>5161</v>
      </c>
      <c r="D524" s="43" t="s">
        <v>5162</v>
      </c>
      <c r="E524" s="43" t="s">
        <v>5163</v>
      </c>
      <c r="F524" s="38"/>
      <c r="G524" s="38"/>
      <c r="H524" s="43" t="s">
        <v>4459</v>
      </c>
      <c r="I524" s="43" t="s">
        <v>4465</v>
      </c>
    </row>
    <row r="525" ht="15.0" customHeight="1">
      <c r="A525" s="77" t="s">
        <v>1978</v>
      </c>
      <c r="B525" s="43" t="s">
        <v>5164</v>
      </c>
      <c r="C525" s="43" t="s">
        <v>5155</v>
      </c>
      <c r="D525" s="43" t="s">
        <v>5165</v>
      </c>
      <c r="E525" s="43" t="s">
        <v>5166</v>
      </c>
      <c r="F525" s="43" t="s">
        <v>4557</v>
      </c>
      <c r="G525" s="38"/>
      <c r="H525" s="43" t="s">
        <v>4459</v>
      </c>
      <c r="I525" s="43" t="s">
        <v>4465</v>
      </c>
    </row>
    <row r="526" ht="15.0" customHeight="1">
      <c r="A526" s="77" t="s">
        <v>1555</v>
      </c>
      <c r="B526" s="38" t="s">
        <v>4457</v>
      </c>
      <c r="C526" s="38" t="s">
        <v>4557</v>
      </c>
      <c r="D526" s="38"/>
      <c r="E526" s="38"/>
      <c r="F526" s="38"/>
      <c r="G526" s="38"/>
      <c r="H526" s="43" t="s">
        <v>4459</v>
      </c>
      <c r="I526" s="43" t="s">
        <v>4500</v>
      </c>
    </row>
    <row r="527" ht="15.0" customHeight="1">
      <c r="A527" s="77" t="s">
        <v>1557</v>
      </c>
      <c r="B527" s="38" t="s">
        <v>5167</v>
      </c>
      <c r="C527" s="38" t="s">
        <v>5155</v>
      </c>
      <c r="D527" s="38" t="s">
        <v>4797</v>
      </c>
      <c r="E527" s="38"/>
      <c r="F527" s="38"/>
      <c r="G527" s="38"/>
      <c r="H527" s="43" t="s">
        <v>5168</v>
      </c>
      <c r="I527" s="43" t="s">
        <v>4500</v>
      </c>
    </row>
    <row r="528" ht="15.0" customHeight="1">
      <c r="A528" s="77" t="s">
        <v>1177</v>
      </c>
      <c r="B528" s="38" t="s">
        <v>5169</v>
      </c>
      <c r="C528" s="38" t="s">
        <v>5170</v>
      </c>
      <c r="D528" s="38" t="s">
        <v>4656</v>
      </c>
      <c r="E528" s="38"/>
      <c r="F528" s="38"/>
      <c r="G528" s="38"/>
      <c r="H528" s="43" t="s">
        <v>4459</v>
      </c>
      <c r="I528" s="41" t="s">
        <v>4549</v>
      </c>
    </row>
    <row r="529" ht="15.0" customHeight="1">
      <c r="A529" s="77" t="s">
        <v>1982</v>
      </c>
      <c r="B529" s="43" t="s">
        <v>5172</v>
      </c>
      <c r="C529" s="43" t="s">
        <v>4874</v>
      </c>
      <c r="D529" s="43" t="s">
        <v>4905</v>
      </c>
      <c r="E529" s="38"/>
      <c r="F529" s="38"/>
      <c r="G529" s="38"/>
      <c r="H529" s="43" t="s">
        <v>4464</v>
      </c>
      <c r="I529" s="43" t="s">
        <v>4465</v>
      </c>
    </row>
    <row r="530" ht="15.0" customHeight="1">
      <c r="A530" s="77" t="s">
        <v>1967</v>
      </c>
      <c r="B530" s="38" t="s">
        <v>5173</v>
      </c>
      <c r="C530" s="38"/>
      <c r="D530" s="38"/>
      <c r="E530" s="38"/>
      <c r="F530" s="38"/>
      <c r="G530" s="38"/>
      <c r="H530" s="43" t="s">
        <v>5120</v>
      </c>
      <c r="I530" s="43" t="s">
        <v>4485</v>
      </c>
    </row>
    <row r="531" ht="15.0" customHeight="1">
      <c r="A531" s="77" t="s">
        <v>3986</v>
      </c>
      <c r="B531" s="38" t="s">
        <v>5174</v>
      </c>
      <c r="C531" s="38" t="s">
        <v>5175</v>
      </c>
      <c r="D531" s="38" t="s">
        <v>5176</v>
      </c>
      <c r="E531" s="38"/>
      <c r="F531" s="38"/>
      <c r="G531" s="38"/>
      <c r="H531" s="43" t="s">
        <v>4464</v>
      </c>
      <c r="I531" s="43" t="s">
        <v>4477</v>
      </c>
    </row>
    <row r="532" ht="15.0" customHeight="1">
      <c r="A532" s="77" t="s">
        <v>1984</v>
      </c>
      <c r="B532" s="38" t="s">
        <v>5177</v>
      </c>
      <c r="C532" s="38" t="s">
        <v>4467</v>
      </c>
      <c r="D532" s="38"/>
      <c r="E532" s="38"/>
      <c r="F532" s="38"/>
      <c r="G532" s="38"/>
      <c r="H532" s="43" t="s">
        <v>4464</v>
      </c>
      <c r="I532" s="43" t="s">
        <v>4465</v>
      </c>
    </row>
    <row r="533" ht="15.0" customHeight="1">
      <c r="A533" s="77" t="s">
        <v>2712</v>
      </c>
      <c r="B533" s="43" t="s">
        <v>5178</v>
      </c>
      <c r="C533" s="43" t="s">
        <v>4487</v>
      </c>
      <c r="D533" s="38"/>
      <c r="E533" s="38"/>
      <c r="F533" s="38"/>
      <c r="G533" s="38"/>
      <c r="H533" s="43" t="s">
        <v>4491</v>
      </c>
      <c r="I533" s="43" t="s">
        <v>4514</v>
      </c>
    </row>
    <row r="534" ht="15.0" customHeight="1">
      <c r="A534" s="77" t="s">
        <v>1186</v>
      </c>
      <c r="B534" s="43" t="s">
        <v>5179</v>
      </c>
      <c r="C534" s="43" t="s">
        <v>5180</v>
      </c>
      <c r="D534" s="43" t="s">
        <v>5181</v>
      </c>
      <c r="E534" s="38"/>
      <c r="F534" s="38"/>
      <c r="G534" s="38"/>
      <c r="H534" s="43" t="s">
        <v>4464</v>
      </c>
      <c r="I534" s="41" t="s">
        <v>4549</v>
      </c>
    </row>
    <row r="535" ht="15.0" customHeight="1">
      <c r="A535" s="76" t="s">
        <v>1563</v>
      </c>
      <c r="B535" s="43" t="s">
        <v>4696</v>
      </c>
      <c r="C535" s="38"/>
      <c r="D535" s="38"/>
      <c r="E535" s="38"/>
      <c r="F535" s="38"/>
      <c r="G535" s="38"/>
      <c r="H535" s="43" t="s">
        <v>4464</v>
      </c>
      <c r="I535" s="43" t="s">
        <v>4500</v>
      </c>
    </row>
    <row r="536" ht="15.0" customHeight="1">
      <c r="A536" s="77" t="s">
        <v>2322</v>
      </c>
      <c r="B536" s="43" t="s">
        <v>5119</v>
      </c>
      <c r="C536" s="43" t="s">
        <v>5108</v>
      </c>
      <c r="D536" s="38"/>
      <c r="E536" s="38"/>
      <c r="F536" s="38"/>
      <c r="G536" s="38"/>
      <c r="H536" s="43" t="s">
        <v>5120</v>
      </c>
      <c r="I536" s="41" t="s">
        <v>4516</v>
      </c>
    </row>
    <row r="537" ht="15.0" customHeight="1">
      <c r="A537" s="77" t="s">
        <v>1970</v>
      </c>
      <c r="B537" s="43" t="s">
        <v>5119</v>
      </c>
      <c r="C537" s="43" t="s">
        <v>5182</v>
      </c>
      <c r="D537" s="38"/>
      <c r="E537" s="38"/>
      <c r="F537" s="38"/>
      <c r="G537" s="38"/>
      <c r="H537" s="43" t="s">
        <v>5120</v>
      </c>
      <c r="I537" s="41" t="s">
        <v>4485</v>
      </c>
    </row>
    <row r="538" ht="15.0" customHeight="1">
      <c r="A538" s="77" t="s">
        <v>1567</v>
      </c>
      <c r="B538" s="43" t="s">
        <v>4498</v>
      </c>
      <c r="C538" s="38"/>
      <c r="D538" s="38"/>
      <c r="E538" s="38"/>
      <c r="F538" s="38"/>
      <c r="G538" s="38"/>
      <c r="H538" s="43" t="s">
        <v>4464</v>
      </c>
      <c r="I538" s="43" t="s">
        <v>4500</v>
      </c>
    </row>
    <row r="539" ht="15.0" customHeight="1">
      <c r="A539" s="77" t="s">
        <v>2714</v>
      </c>
      <c r="B539" s="38" t="s">
        <v>4570</v>
      </c>
      <c r="C539" s="38"/>
      <c r="D539" s="38"/>
      <c r="E539" s="38"/>
      <c r="F539" s="38"/>
      <c r="G539" s="38"/>
      <c r="H539" s="43" t="s">
        <v>4813</v>
      </c>
      <c r="I539" s="41" t="s">
        <v>4514</v>
      </c>
    </row>
    <row r="540" ht="15.0" customHeight="1">
      <c r="A540" s="77" t="s">
        <v>2454</v>
      </c>
      <c r="B540" s="38" t="s">
        <v>4568</v>
      </c>
      <c r="C540" s="38"/>
      <c r="D540" s="38"/>
      <c r="E540" s="38"/>
      <c r="F540" s="38"/>
      <c r="G540" s="38"/>
      <c r="H540" s="43" t="s">
        <v>4533</v>
      </c>
      <c r="I540" s="41" t="s">
        <v>4534</v>
      </c>
    </row>
    <row r="541" ht="15.0" customHeight="1">
      <c r="A541" s="77" t="s">
        <v>2008</v>
      </c>
      <c r="B541" s="43" t="s">
        <v>4487</v>
      </c>
      <c r="C541" s="43" t="s">
        <v>5184</v>
      </c>
      <c r="D541" s="43" t="s">
        <v>4489</v>
      </c>
      <c r="E541" s="43" t="s">
        <v>4608</v>
      </c>
      <c r="F541" s="38"/>
      <c r="G541" s="38"/>
      <c r="H541" s="43" t="s">
        <v>4491</v>
      </c>
      <c r="I541" s="43" t="s">
        <v>4465</v>
      </c>
    </row>
    <row r="542" ht="15.0" customHeight="1">
      <c r="A542" s="77" t="s">
        <v>2718</v>
      </c>
      <c r="B542" s="43" t="s">
        <v>5185</v>
      </c>
      <c r="C542" s="38"/>
      <c r="D542" s="38"/>
      <c r="E542" s="38"/>
      <c r="F542" s="38"/>
      <c r="G542" s="38"/>
      <c r="H542" s="43" t="s">
        <v>4491</v>
      </c>
      <c r="I542" s="43" t="s">
        <v>4514</v>
      </c>
    </row>
    <row r="543" ht="15.0" customHeight="1">
      <c r="A543" s="77" t="s">
        <v>2324</v>
      </c>
      <c r="B543" s="43" t="s">
        <v>5122</v>
      </c>
      <c r="C543" s="38"/>
      <c r="D543" s="38"/>
      <c r="E543" s="38"/>
      <c r="F543" s="38"/>
      <c r="G543" s="38"/>
      <c r="H543" s="43" t="s">
        <v>5120</v>
      </c>
      <c r="I543" s="43" t="s">
        <v>4516</v>
      </c>
    </row>
    <row r="544" ht="15.0" customHeight="1">
      <c r="A544" s="77" t="s">
        <v>2014</v>
      </c>
      <c r="B544" s="38" t="s">
        <v>4559</v>
      </c>
      <c r="C544" s="38" t="s">
        <v>4599</v>
      </c>
      <c r="D544" s="38"/>
      <c r="E544" s="38"/>
      <c r="F544" s="38"/>
      <c r="G544" s="38"/>
      <c r="H544" s="43" t="s">
        <v>4464</v>
      </c>
      <c r="I544" s="43" t="s">
        <v>4465</v>
      </c>
    </row>
    <row r="545" ht="15.0" customHeight="1">
      <c r="A545" s="77" t="s">
        <v>3701</v>
      </c>
      <c r="B545" s="43" t="s">
        <v>4640</v>
      </c>
      <c r="C545" s="38"/>
      <c r="D545" s="38"/>
      <c r="E545" s="38"/>
      <c r="F545" s="38"/>
      <c r="G545" s="38"/>
      <c r="H545" s="43" t="s">
        <v>5186</v>
      </c>
      <c r="I545" s="41" t="s">
        <v>4473</v>
      </c>
    </row>
    <row r="546" ht="15.0" customHeight="1">
      <c r="A546" s="77" t="s">
        <v>3997</v>
      </c>
      <c r="B546" s="43" t="s">
        <v>4618</v>
      </c>
      <c r="C546" s="38"/>
      <c r="D546" s="38"/>
      <c r="E546" s="38"/>
      <c r="F546" s="38"/>
      <c r="G546" s="38"/>
      <c r="H546" s="43" t="s">
        <v>5186</v>
      </c>
      <c r="I546" s="43" t="s">
        <v>4477</v>
      </c>
    </row>
    <row r="547" ht="15.0" customHeight="1">
      <c r="A547" s="77" t="s">
        <v>4396</v>
      </c>
      <c r="B547" s="43" t="s">
        <v>4618</v>
      </c>
      <c r="C547" s="38"/>
      <c r="D547" s="38"/>
      <c r="E547" s="38"/>
      <c r="F547" s="38"/>
      <c r="G547" s="38"/>
      <c r="H547" s="43" t="s">
        <v>5186</v>
      </c>
      <c r="I547" s="43" t="s">
        <v>4497</v>
      </c>
    </row>
    <row r="548" ht="15.0" customHeight="1">
      <c r="A548" s="77" t="s">
        <v>2721</v>
      </c>
      <c r="B548" s="38" t="s">
        <v>5187</v>
      </c>
      <c r="C548" s="38" t="s">
        <v>4512</v>
      </c>
      <c r="D548" s="38"/>
      <c r="E548" s="38"/>
      <c r="F548" s="38"/>
      <c r="G548" s="38"/>
      <c r="H548" s="43" t="s">
        <v>4513</v>
      </c>
      <c r="I548" s="43" t="s">
        <v>4514</v>
      </c>
    </row>
    <row r="549" ht="15.0" customHeight="1">
      <c r="A549" s="77" t="s">
        <v>2016</v>
      </c>
      <c r="B549" s="38" t="s">
        <v>4503</v>
      </c>
      <c r="C549" s="38" t="s">
        <v>4960</v>
      </c>
      <c r="D549" s="38"/>
      <c r="E549" s="38"/>
      <c r="F549" s="38"/>
      <c r="G549" s="38"/>
      <c r="H549" s="43" t="s">
        <v>4533</v>
      </c>
      <c r="I549" s="43" t="s">
        <v>4465</v>
      </c>
    </row>
    <row r="550" ht="15.0" customHeight="1">
      <c r="A550" s="77" t="s">
        <v>2018</v>
      </c>
      <c r="B550" s="43" t="s">
        <v>5188</v>
      </c>
      <c r="C550" s="38"/>
      <c r="D550" s="38"/>
      <c r="E550" s="38"/>
      <c r="F550" s="38"/>
      <c r="G550" s="38"/>
      <c r="H550" s="43" t="s">
        <v>4464</v>
      </c>
      <c r="I550" s="43" t="s">
        <v>4465</v>
      </c>
    </row>
    <row r="551" ht="15.0" customHeight="1">
      <c r="A551" s="77" t="s">
        <v>2023</v>
      </c>
      <c r="B551" s="43" t="s">
        <v>4993</v>
      </c>
      <c r="C551" s="38"/>
      <c r="D551" s="38"/>
      <c r="E551" s="38"/>
      <c r="F551" s="38"/>
      <c r="G551" s="38"/>
      <c r="H551" s="43" t="s">
        <v>4464</v>
      </c>
      <c r="I551" s="43" t="s">
        <v>4465</v>
      </c>
    </row>
    <row r="552" ht="15.0" customHeight="1">
      <c r="A552" s="77" t="s">
        <v>1997</v>
      </c>
      <c r="B552" s="38" t="s">
        <v>4660</v>
      </c>
      <c r="C552" s="38"/>
      <c r="D552" s="38"/>
      <c r="E552" s="38"/>
      <c r="F552" s="38"/>
      <c r="G552" s="38"/>
      <c r="H552" s="43" t="s">
        <v>4464</v>
      </c>
      <c r="I552" s="41" t="s">
        <v>4485</v>
      </c>
    </row>
    <row r="553" ht="15.0" customHeight="1">
      <c r="A553" s="77" t="s">
        <v>4002</v>
      </c>
      <c r="B553" s="38" t="s">
        <v>5190</v>
      </c>
      <c r="C553" s="38" t="s">
        <v>5191</v>
      </c>
      <c r="D553" s="38" t="s">
        <v>5192</v>
      </c>
      <c r="E553" s="38"/>
      <c r="F553" s="38"/>
      <c r="G553" s="38"/>
      <c r="H553" s="43" t="s">
        <v>4464</v>
      </c>
      <c r="I553" s="41" t="s">
        <v>4477</v>
      </c>
    </row>
    <row r="554" ht="15.0" customHeight="1">
      <c r="A554" s="77" t="s">
        <v>1580</v>
      </c>
      <c r="B554" s="38" t="s">
        <v>5193</v>
      </c>
      <c r="C554" s="38" t="s">
        <v>4559</v>
      </c>
      <c r="D554" s="38"/>
      <c r="E554" s="38"/>
      <c r="F554" s="38"/>
      <c r="G554" s="38"/>
      <c r="H554" s="43" t="s">
        <v>4464</v>
      </c>
      <c r="I554" s="43" t="s">
        <v>4500</v>
      </c>
    </row>
    <row r="555" ht="15.0" customHeight="1">
      <c r="A555" s="77" t="s">
        <v>2724</v>
      </c>
      <c r="B555" s="38" t="s">
        <v>5194</v>
      </c>
      <c r="C555" s="38" t="s">
        <v>4487</v>
      </c>
      <c r="D555" s="38"/>
      <c r="E555" s="38"/>
      <c r="F555" s="38"/>
      <c r="G555" s="38"/>
      <c r="H555" s="43" t="s">
        <v>4464</v>
      </c>
      <c r="I555" s="41" t="s">
        <v>4514</v>
      </c>
    </row>
    <row r="556" ht="15.0" customHeight="1">
      <c r="A556" s="77" t="s">
        <v>1295</v>
      </c>
      <c r="B556" s="38" t="s">
        <v>5193</v>
      </c>
      <c r="C556" s="38" t="s">
        <v>4734</v>
      </c>
      <c r="D556" s="38" t="s">
        <v>5195</v>
      </c>
      <c r="E556" s="38"/>
      <c r="F556" s="38"/>
      <c r="G556" s="38"/>
      <c r="H556" s="43" t="s">
        <v>4464</v>
      </c>
      <c r="I556" s="41" t="s">
        <v>4549</v>
      </c>
    </row>
    <row r="557" ht="15.0" customHeight="1">
      <c r="A557" s="77" t="s">
        <v>5196</v>
      </c>
      <c r="B557" s="43" t="s">
        <v>4641</v>
      </c>
      <c r="C557" s="43" t="s">
        <v>4651</v>
      </c>
      <c r="D557" s="43" t="s">
        <v>4644</v>
      </c>
      <c r="E557" s="43" t="s">
        <v>4636</v>
      </c>
      <c r="F557" s="43" t="s">
        <v>5197</v>
      </c>
      <c r="G557" s="43" t="s">
        <v>5198</v>
      </c>
      <c r="H557" s="43" t="s">
        <v>5199</v>
      </c>
      <c r="I557" s="43" t="s">
        <v>4500</v>
      </c>
    </row>
    <row r="558" ht="15.0" customHeight="1">
      <c r="A558" s="76" t="s">
        <v>3705</v>
      </c>
      <c r="B558" s="43" t="s">
        <v>4787</v>
      </c>
      <c r="C558" s="43"/>
      <c r="D558" s="38"/>
      <c r="E558" s="38"/>
      <c r="F558" s="38"/>
      <c r="G558" s="38"/>
      <c r="H558" s="43" t="s">
        <v>5200</v>
      </c>
      <c r="I558" s="41" t="s">
        <v>4473</v>
      </c>
    </row>
    <row r="559" ht="15.0" customHeight="1">
      <c r="A559" s="76" t="s">
        <v>4005</v>
      </c>
      <c r="B559" s="43" t="s">
        <v>4616</v>
      </c>
      <c r="C559" s="43"/>
      <c r="D559" s="38"/>
      <c r="E559" s="38"/>
      <c r="F559" s="38"/>
      <c r="G559" s="38"/>
      <c r="H559" s="43" t="s">
        <v>5200</v>
      </c>
      <c r="I559" s="43" t="s">
        <v>4477</v>
      </c>
    </row>
    <row r="560" ht="15.0" customHeight="1">
      <c r="A560" s="76" t="s">
        <v>4404</v>
      </c>
      <c r="B560" s="43" t="s">
        <v>4616</v>
      </c>
      <c r="C560" s="43"/>
      <c r="D560" s="38"/>
      <c r="E560" s="38"/>
      <c r="F560" s="38"/>
      <c r="G560" s="38"/>
      <c r="H560" s="43" t="s">
        <v>5200</v>
      </c>
      <c r="I560" s="43" t="s">
        <v>4497</v>
      </c>
    </row>
    <row r="561" ht="15.0" customHeight="1">
      <c r="A561" s="77" t="s">
        <v>2026</v>
      </c>
      <c r="B561" s="43" t="s">
        <v>5129</v>
      </c>
      <c r="C561" s="43" t="s">
        <v>4580</v>
      </c>
      <c r="D561" s="38"/>
      <c r="E561" s="38"/>
      <c r="F561" s="38"/>
      <c r="G561" s="38"/>
      <c r="H561" s="43" t="s">
        <v>4464</v>
      </c>
      <c r="I561" s="43" t="s">
        <v>4465</v>
      </c>
    </row>
    <row r="562" ht="15.0" customHeight="1">
      <c r="A562" s="77" t="s">
        <v>2027</v>
      </c>
      <c r="B562" s="38" t="s">
        <v>4511</v>
      </c>
      <c r="C562" s="38" t="s">
        <v>4512</v>
      </c>
      <c r="D562" s="38"/>
      <c r="E562" s="38"/>
      <c r="F562" s="38"/>
      <c r="G562" s="38"/>
      <c r="H562" s="43" t="s">
        <v>4464</v>
      </c>
      <c r="I562" s="43" t="s">
        <v>4465</v>
      </c>
    </row>
    <row r="563" ht="15.0" customHeight="1">
      <c r="A563" s="77" t="s">
        <v>2029</v>
      </c>
      <c r="B563" s="38" t="s">
        <v>4601</v>
      </c>
      <c r="C563" s="38"/>
      <c r="D563" s="38"/>
      <c r="E563" s="38"/>
      <c r="F563" s="38"/>
      <c r="G563" s="38"/>
      <c r="H563" s="43" t="s">
        <v>4464</v>
      </c>
      <c r="I563" s="43" t="s">
        <v>4465</v>
      </c>
    </row>
    <row r="564" ht="15.0" customHeight="1">
      <c r="A564" s="77" t="s">
        <v>2031</v>
      </c>
      <c r="B564" s="38" t="s">
        <v>5202</v>
      </c>
      <c r="C564" s="38"/>
      <c r="D564" s="38"/>
      <c r="E564" s="38"/>
      <c r="F564" s="38"/>
      <c r="G564" s="38"/>
      <c r="H564" s="43" t="s">
        <v>4464</v>
      </c>
      <c r="I564" s="43" t="s">
        <v>4465</v>
      </c>
    </row>
    <row r="565" ht="15.0" customHeight="1">
      <c r="A565" s="77" t="s">
        <v>2034</v>
      </c>
      <c r="B565" s="38" t="s">
        <v>5203</v>
      </c>
      <c r="C565" s="38"/>
      <c r="D565" s="38"/>
      <c r="E565" s="38"/>
      <c r="F565" s="38"/>
      <c r="G565" s="38"/>
      <c r="H565" s="43" t="s">
        <v>4464</v>
      </c>
      <c r="I565" s="43" t="s">
        <v>4465</v>
      </c>
    </row>
    <row r="566" ht="15.0" customHeight="1">
      <c r="A566" s="77" t="s">
        <v>2037</v>
      </c>
      <c r="B566" s="38" t="s">
        <v>4568</v>
      </c>
      <c r="C566" s="38"/>
      <c r="D566" s="38"/>
      <c r="E566" s="38"/>
      <c r="F566" s="38"/>
      <c r="G566" s="38"/>
      <c r="H566" s="43" t="s">
        <v>4464</v>
      </c>
      <c r="I566" s="43" t="s">
        <v>4465</v>
      </c>
    </row>
    <row r="567" ht="15.0" customHeight="1">
      <c r="A567" s="77" t="s">
        <v>1584</v>
      </c>
      <c r="B567" s="38" t="s">
        <v>4511</v>
      </c>
      <c r="C567" s="38"/>
      <c r="D567" s="38"/>
      <c r="E567" s="38"/>
      <c r="F567" s="38"/>
      <c r="G567" s="38"/>
      <c r="H567" s="43" t="s">
        <v>4464</v>
      </c>
      <c r="I567" s="43" t="s">
        <v>4500</v>
      </c>
    </row>
    <row r="568" ht="15.0" customHeight="1">
      <c r="A568" s="77" t="s">
        <v>2039</v>
      </c>
      <c r="B568" s="38" t="s">
        <v>4507</v>
      </c>
      <c r="C568" s="38" t="s">
        <v>4512</v>
      </c>
      <c r="D568" s="38"/>
      <c r="E568" s="38"/>
      <c r="F568" s="38"/>
      <c r="G568" s="38"/>
      <c r="H568" s="43" t="s">
        <v>4464</v>
      </c>
      <c r="I568" s="43" t="s">
        <v>4465</v>
      </c>
    </row>
    <row r="569" ht="15.0" customHeight="1">
      <c r="A569" s="77" t="s">
        <v>2042</v>
      </c>
      <c r="B569" s="38" t="s">
        <v>4580</v>
      </c>
      <c r="C569" s="38"/>
      <c r="D569" s="38"/>
      <c r="E569" s="38"/>
      <c r="F569" s="38"/>
      <c r="G569" s="38"/>
      <c r="H569" s="43" t="s">
        <v>4464</v>
      </c>
      <c r="I569" s="43" t="s">
        <v>4465</v>
      </c>
    </row>
    <row r="570" ht="15.0" customHeight="1">
      <c r="A570" s="77" t="s">
        <v>2045</v>
      </c>
      <c r="B570" s="38" t="s">
        <v>4601</v>
      </c>
      <c r="C570" s="38"/>
      <c r="D570" s="38"/>
      <c r="E570" s="38"/>
      <c r="F570" s="38"/>
      <c r="G570" s="38"/>
      <c r="H570" s="43" t="s">
        <v>4464</v>
      </c>
      <c r="I570" s="43" t="s">
        <v>4465</v>
      </c>
    </row>
    <row r="571" ht="15.0" customHeight="1">
      <c r="A571" s="77" t="s">
        <v>2048</v>
      </c>
      <c r="B571" s="38" t="s">
        <v>5204</v>
      </c>
      <c r="C571" s="38"/>
      <c r="D571" s="38"/>
      <c r="E571" s="38"/>
      <c r="F571" s="38"/>
      <c r="G571" s="38"/>
      <c r="H571" s="43" t="s">
        <v>4464</v>
      </c>
      <c r="I571" s="43" t="s">
        <v>4465</v>
      </c>
    </row>
    <row r="572" ht="15.0" customHeight="1">
      <c r="A572" s="77" t="s">
        <v>2050</v>
      </c>
      <c r="B572" s="43" t="s">
        <v>4470</v>
      </c>
      <c r="C572" s="38"/>
      <c r="D572" s="38"/>
      <c r="E572" s="38"/>
      <c r="F572" s="38"/>
      <c r="G572" s="38"/>
      <c r="H572" s="43" t="s">
        <v>4464</v>
      </c>
      <c r="I572" s="43" t="s">
        <v>4465</v>
      </c>
    </row>
    <row r="573" ht="15.0" customHeight="1">
      <c r="A573" s="77" t="s">
        <v>2054</v>
      </c>
      <c r="B573" s="43" t="s">
        <v>4660</v>
      </c>
      <c r="C573" s="38"/>
      <c r="D573" s="38"/>
      <c r="E573" s="38"/>
      <c r="F573" s="38"/>
      <c r="G573" s="38"/>
      <c r="H573" s="43" t="s">
        <v>4464</v>
      </c>
      <c r="I573" s="43" t="s">
        <v>4465</v>
      </c>
    </row>
    <row r="574" ht="15.0" customHeight="1">
      <c r="A574" s="77" t="s">
        <v>1586</v>
      </c>
      <c r="B574" s="38" t="s">
        <v>4511</v>
      </c>
      <c r="C574" s="38" t="s">
        <v>4512</v>
      </c>
      <c r="D574" s="38"/>
      <c r="E574" s="38"/>
      <c r="F574" s="38"/>
      <c r="G574" s="38"/>
      <c r="H574" s="43" t="s">
        <v>4464</v>
      </c>
      <c r="I574" s="43" t="s">
        <v>4500</v>
      </c>
    </row>
    <row r="575" ht="15.0" customHeight="1">
      <c r="A575" s="77" t="s">
        <v>1588</v>
      </c>
      <c r="B575" s="38" t="s">
        <v>4772</v>
      </c>
      <c r="C575" s="38" t="s">
        <v>4559</v>
      </c>
      <c r="D575" s="38"/>
      <c r="E575" s="38"/>
      <c r="F575" s="38"/>
      <c r="G575" s="38"/>
      <c r="H575" s="43" t="s">
        <v>4464</v>
      </c>
      <c r="I575" s="43" t="s">
        <v>4500</v>
      </c>
    </row>
    <row r="576" ht="15.0" customHeight="1">
      <c r="A576" s="77" t="s">
        <v>2057</v>
      </c>
      <c r="B576" s="38" t="s">
        <v>4864</v>
      </c>
      <c r="C576" s="38"/>
      <c r="D576" s="38"/>
      <c r="E576" s="38"/>
      <c r="F576" s="38"/>
      <c r="G576" s="38"/>
      <c r="H576" s="43" t="s">
        <v>4464</v>
      </c>
      <c r="I576" s="43" t="s">
        <v>4465</v>
      </c>
    </row>
    <row r="577" ht="15.0" customHeight="1">
      <c r="A577" s="77" t="s">
        <v>2060</v>
      </c>
      <c r="B577" s="38" t="s">
        <v>4470</v>
      </c>
      <c r="C577" s="38"/>
      <c r="D577" s="38"/>
      <c r="E577" s="38"/>
      <c r="F577" s="38"/>
      <c r="G577" s="38"/>
      <c r="H577" s="43" t="s">
        <v>4464</v>
      </c>
      <c r="I577" s="43" t="s">
        <v>4465</v>
      </c>
    </row>
    <row r="578" ht="15.0" customHeight="1">
      <c r="A578" s="77" t="s">
        <v>2063</v>
      </c>
      <c r="B578" s="38" t="s">
        <v>5206</v>
      </c>
      <c r="C578" s="38" t="s">
        <v>5207</v>
      </c>
      <c r="D578" s="38"/>
      <c r="E578" s="38"/>
      <c r="F578" s="38"/>
      <c r="G578" s="38"/>
      <c r="H578" s="43" t="s">
        <v>4464</v>
      </c>
      <c r="I578" s="43" t="s">
        <v>4465</v>
      </c>
    </row>
    <row r="579" ht="15.0" customHeight="1">
      <c r="A579" s="77" t="s">
        <v>2066</v>
      </c>
      <c r="B579" s="38" t="s">
        <v>5206</v>
      </c>
      <c r="C579" s="38" t="s">
        <v>4772</v>
      </c>
      <c r="D579" s="38"/>
      <c r="E579" s="38"/>
      <c r="F579" s="38"/>
      <c r="G579" s="38"/>
      <c r="H579" s="43" t="s">
        <v>4464</v>
      </c>
      <c r="I579" s="43" t="s">
        <v>4465</v>
      </c>
    </row>
    <row r="580" ht="15.0" customHeight="1">
      <c r="A580" s="77" t="s">
        <v>2068</v>
      </c>
      <c r="B580" s="38" t="s">
        <v>5206</v>
      </c>
      <c r="C580" s="38" t="s">
        <v>4467</v>
      </c>
      <c r="D580" s="38"/>
      <c r="E580" s="38"/>
      <c r="F580" s="38"/>
      <c r="G580" s="38"/>
      <c r="H580" s="43" t="s">
        <v>4464</v>
      </c>
      <c r="I580" s="43" t="s">
        <v>4465</v>
      </c>
    </row>
    <row r="581" ht="15.0" customHeight="1">
      <c r="A581" s="77" t="s">
        <v>2071</v>
      </c>
      <c r="B581" s="38" t="s">
        <v>5206</v>
      </c>
      <c r="C581" s="38" t="s">
        <v>4467</v>
      </c>
      <c r="D581" s="38"/>
      <c r="E581" s="38"/>
      <c r="F581" s="38"/>
      <c r="G581" s="38"/>
      <c r="H581" s="43" t="s">
        <v>4464</v>
      </c>
      <c r="I581" s="43" t="s">
        <v>4465</v>
      </c>
    </row>
    <row r="582" ht="15.0" customHeight="1">
      <c r="A582" s="77" t="s">
        <v>2074</v>
      </c>
      <c r="B582" s="43" t="s">
        <v>5206</v>
      </c>
      <c r="C582" s="43" t="s">
        <v>5208</v>
      </c>
      <c r="D582" s="38"/>
      <c r="E582" s="38"/>
      <c r="F582" s="38"/>
      <c r="G582" s="38"/>
      <c r="H582" s="43" t="s">
        <v>4464</v>
      </c>
      <c r="I582" s="43" t="s">
        <v>4465</v>
      </c>
    </row>
    <row r="583" ht="15.0" customHeight="1">
      <c r="A583" s="77" t="s">
        <v>2077</v>
      </c>
      <c r="B583" s="38" t="s">
        <v>5206</v>
      </c>
      <c r="C583" s="38" t="s">
        <v>4570</v>
      </c>
      <c r="D583" s="38" t="s">
        <v>4559</v>
      </c>
      <c r="E583" s="38"/>
      <c r="F583" s="38"/>
      <c r="G583" s="38"/>
      <c r="H583" s="43" t="s">
        <v>4464</v>
      </c>
      <c r="I583" s="43" t="s">
        <v>4465</v>
      </c>
    </row>
    <row r="584" ht="15.0" customHeight="1">
      <c r="A584" s="77" t="s">
        <v>2080</v>
      </c>
      <c r="B584" s="38" t="s">
        <v>5206</v>
      </c>
      <c r="C584" s="38" t="s">
        <v>4527</v>
      </c>
      <c r="D584" s="38"/>
      <c r="E584" s="38"/>
      <c r="F584" s="38"/>
      <c r="G584" s="38"/>
      <c r="H584" s="43" t="s">
        <v>4464</v>
      </c>
      <c r="I584" s="43" t="s">
        <v>4465</v>
      </c>
    </row>
    <row r="585" ht="15.0" customHeight="1">
      <c r="A585" s="77" t="s">
        <v>2083</v>
      </c>
      <c r="B585" s="38" t="s">
        <v>5206</v>
      </c>
      <c r="C585" s="38" t="s">
        <v>4462</v>
      </c>
      <c r="D585" s="38"/>
      <c r="E585" s="38"/>
      <c r="F585" s="38"/>
      <c r="G585" s="38"/>
      <c r="H585" s="43" t="s">
        <v>4464</v>
      </c>
      <c r="I585" s="43" t="s">
        <v>4465</v>
      </c>
    </row>
    <row r="586" ht="15.0" customHeight="1">
      <c r="A586" s="77" t="s">
        <v>1589</v>
      </c>
      <c r="B586" s="38" t="s">
        <v>4467</v>
      </c>
      <c r="C586" s="38"/>
      <c r="D586" s="38"/>
      <c r="E586" s="38"/>
      <c r="F586" s="38"/>
      <c r="G586" s="38"/>
      <c r="H586" s="43" t="s">
        <v>4464</v>
      </c>
      <c r="I586" s="43" t="s">
        <v>4500</v>
      </c>
    </row>
    <row r="587" ht="15.0" customHeight="1">
      <c r="A587" s="77" t="s">
        <v>1298</v>
      </c>
      <c r="B587" s="38" t="s">
        <v>5206</v>
      </c>
      <c r="C587" s="38" t="s">
        <v>4527</v>
      </c>
      <c r="D587" s="38" t="s">
        <v>4512</v>
      </c>
      <c r="E587" s="38"/>
      <c r="F587" s="38"/>
      <c r="G587" s="38"/>
      <c r="H587" s="43" t="s">
        <v>4464</v>
      </c>
      <c r="I587" s="43" t="s">
        <v>4549</v>
      </c>
    </row>
    <row r="588" ht="15.0" customHeight="1">
      <c r="A588" s="77" t="s">
        <v>1999</v>
      </c>
      <c r="B588" s="43" t="s">
        <v>4654</v>
      </c>
      <c r="C588" s="38"/>
      <c r="D588" s="38"/>
      <c r="E588" s="38"/>
      <c r="F588" s="38"/>
      <c r="G588" s="38"/>
      <c r="H588" s="43" t="s">
        <v>4464</v>
      </c>
      <c r="I588" s="41" t="s">
        <v>4485</v>
      </c>
    </row>
    <row r="589" ht="15.0" customHeight="1">
      <c r="A589" s="77" t="s">
        <v>2000</v>
      </c>
      <c r="B589" s="38" t="s">
        <v>4660</v>
      </c>
      <c r="C589" s="38"/>
      <c r="D589" s="38"/>
      <c r="E589" s="38"/>
      <c r="F589" s="38"/>
      <c r="G589" s="38"/>
      <c r="H589" s="43" t="s">
        <v>4464</v>
      </c>
      <c r="I589" s="41" t="s">
        <v>4485</v>
      </c>
    </row>
    <row r="590" ht="15.0" customHeight="1">
      <c r="A590" s="77" t="s">
        <v>1313</v>
      </c>
      <c r="B590" s="38" t="s">
        <v>4696</v>
      </c>
      <c r="C590" s="38"/>
      <c r="D590" s="38"/>
      <c r="E590" s="38"/>
      <c r="F590" s="38"/>
      <c r="G590" s="38"/>
      <c r="H590" s="43" t="s">
        <v>4464</v>
      </c>
      <c r="I590" s="43" t="s">
        <v>4549</v>
      </c>
    </row>
    <row r="591" ht="15.0" customHeight="1">
      <c r="A591" s="77" t="s">
        <v>2002</v>
      </c>
      <c r="B591" s="43" t="s">
        <v>4719</v>
      </c>
      <c r="C591" s="38" t="s">
        <v>5210</v>
      </c>
      <c r="D591" s="38"/>
      <c r="E591" s="38"/>
      <c r="F591" s="38"/>
      <c r="G591" s="38"/>
      <c r="H591" s="43" t="s">
        <v>4464</v>
      </c>
      <c r="I591" s="41" t="s">
        <v>4485</v>
      </c>
    </row>
    <row r="592" ht="15.0" customHeight="1">
      <c r="A592" s="77" t="s">
        <v>2093</v>
      </c>
      <c r="B592" s="38" t="s">
        <v>5170</v>
      </c>
      <c r="C592" s="38" t="s">
        <v>4717</v>
      </c>
      <c r="D592" s="38"/>
      <c r="E592" s="38"/>
      <c r="F592" s="38"/>
      <c r="G592" s="38"/>
      <c r="H592" s="43" t="s">
        <v>4459</v>
      </c>
      <c r="I592" s="43" t="s">
        <v>4465</v>
      </c>
    </row>
    <row r="593" ht="15.0" customHeight="1">
      <c r="A593" s="77" t="s">
        <v>2457</v>
      </c>
      <c r="B593" s="38" t="s">
        <v>4463</v>
      </c>
      <c r="C593" s="38" t="s">
        <v>4498</v>
      </c>
      <c r="D593" s="38" t="s">
        <v>4665</v>
      </c>
      <c r="E593" s="38"/>
      <c r="F593" s="38"/>
      <c r="G593" s="38"/>
      <c r="H593" s="43" t="s">
        <v>4533</v>
      </c>
      <c r="I593" s="43" t="s">
        <v>4534</v>
      </c>
    </row>
    <row r="594" ht="15.0" customHeight="1">
      <c r="A594" s="77" t="s">
        <v>2101</v>
      </c>
      <c r="B594" s="43" t="s">
        <v>5188</v>
      </c>
      <c r="C594" s="38"/>
      <c r="D594" s="38"/>
      <c r="E594" s="38"/>
      <c r="F594" s="38"/>
      <c r="G594" s="38"/>
      <c r="H594" s="43" t="s">
        <v>4464</v>
      </c>
      <c r="I594" s="43" t="s">
        <v>4465</v>
      </c>
    </row>
  </sheetData>
  <customSheetViews>
    <customSheetView guid="{11AB3FAE-053A-40A1-A322-CF1AF7514E6A}" filter="1" showAutoFilter="1">
      <autoFilter ref="$A$1:$I$594">
        <filterColumn colId="8">
          <filters>
            <filter val="Other"/>
          </filters>
        </filterColumn>
      </autoFilter>
    </customSheetView>
  </customSheetView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71"/>
    <col customWidth="1" min="2" max="3" width="10.86"/>
    <col customWidth="1" min="4" max="4" width="10.57"/>
    <col customWidth="1" min="5" max="6" width="7.57"/>
    <col customWidth="1" min="7" max="7" width="8.14"/>
    <col customWidth="1" min="8" max="8" width="6.29"/>
    <col customWidth="1" min="9" max="9" width="25.57"/>
    <col customWidth="1" min="10" max="12" width="10.57"/>
    <col customWidth="1" min="13" max="13" width="9.71"/>
    <col customWidth="1" min="14" max="25" width="3.71"/>
  </cols>
  <sheetData>
    <row r="1" ht="18.0" customHeight="1">
      <c r="A1" s="47" t="s">
        <v>0</v>
      </c>
      <c r="B1" s="3" t="s">
        <v>1</v>
      </c>
      <c r="C1" s="3" t="s">
        <v>4575</v>
      </c>
      <c r="D1" s="7" t="s">
        <v>8</v>
      </c>
      <c r="E1" s="7" t="s">
        <v>1602</v>
      </c>
      <c r="F1" s="7" t="s">
        <v>1603</v>
      </c>
      <c r="G1" s="3" t="s">
        <v>4576</v>
      </c>
      <c r="H1" s="1" t="s">
        <v>7</v>
      </c>
      <c r="I1" s="16" t="s">
        <v>4577</v>
      </c>
      <c r="J1" s="78" t="s">
        <v>4578</v>
      </c>
      <c r="K1" s="47" t="s">
        <v>4581</v>
      </c>
      <c r="L1" s="1" t="s">
        <v>4582</v>
      </c>
      <c r="M1" s="1" t="s">
        <v>4583</v>
      </c>
      <c r="N1" s="3" t="s">
        <v>4584</v>
      </c>
      <c r="O1" s="3" t="s">
        <v>4585</v>
      </c>
      <c r="P1" s="3" t="s">
        <v>4587</v>
      </c>
      <c r="Q1" s="3" t="s">
        <v>4589</v>
      </c>
      <c r="R1" s="3" t="s">
        <v>4590</v>
      </c>
      <c r="S1" s="3" t="s">
        <v>4591</v>
      </c>
      <c r="T1" s="3" t="s">
        <v>4592</v>
      </c>
      <c r="U1" s="3" t="s">
        <v>4593</v>
      </c>
      <c r="V1" s="3" t="s">
        <v>4594</v>
      </c>
      <c r="W1" s="3" t="s">
        <v>4595</v>
      </c>
      <c r="X1" s="3" t="s">
        <v>4596</v>
      </c>
      <c r="Y1" s="3" t="s">
        <v>4597</v>
      </c>
    </row>
    <row r="2" ht="57.0" customHeight="1">
      <c r="A2" s="23" t="s">
        <v>4598</v>
      </c>
      <c r="B2" s="15" t="str">
        <f>IMAGE("https://i.imgur.com/zpCLFPW.png")</f>
        <v/>
      </c>
      <c r="C2" s="15" t="str">
        <f>IMAGE("https://i.imgur.com/6naUEql.png")</f>
        <v/>
      </c>
      <c r="D2" s="15">
        <v>620.0</v>
      </c>
      <c r="E2" s="15" t="s">
        <v>107</v>
      </c>
      <c r="F2" s="15" t="s">
        <v>369</v>
      </c>
      <c r="G2" s="15">
        <v>10.0</v>
      </c>
      <c r="H2" s="13">
        <v>3000.0</v>
      </c>
      <c r="I2" s="79" t="s">
        <v>4602</v>
      </c>
      <c r="J2" s="80" t="s">
        <v>4605</v>
      </c>
      <c r="K2" s="81" t="s">
        <v>4610</v>
      </c>
      <c r="L2" s="82">
        <v>0.3333333333333333</v>
      </c>
      <c r="M2" s="82">
        <v>0.7083333333333334</v>
      </c>
      <c r="N2" s="15" t="s">
        <v>28</v>
      </c>
      <c r="O2" s="15" t="s">
        <v>28</v>
      </c>
      <c r="P2" s="15" t="s">
        <v>28</v>
      </c>
      <c r="Q2" s="15" t="s">
        <v>50</v>
      </c>
      <c r="R2" s="15" t="s">
        <v>50</v>
      </c>
      <c r="S2" s="15" t="s">
        <v>50</v>
      </c>
      <c r="T2" s="15" t="s">
        <v>50</v>
      </c>
      <c r="U2" s="15" t="s">
        <v>50</v>
      </c>
      <c r="V2" s="15" t="s">
        <v>50</v>
      </c>
      <c r="W2" s="15" t="s">
        <v>28</v>
      </c>
      <c r="X2" s="15" t="s">
        <v>28</v>
      </c>
      <c r="Y2" s="15" t="s">
        <v>28</v>
      </c>
    </row>
    <row r="3" ht="57.0" customHeight="1">
      <c r="A3" s="23" t="s">
        <v>4627</v>
      </c>
      <c r="B3" s="15" t="str">
        <f>IMAGE("https://i.imgur.com/s7rnYTT.png")</f>
        <v/>
      </c>
      <c r="C3" s="15" t="str">
        <f>IMAGE("https://i.imgur.com/72Y8yPT.png")</f>
        <v/>
      </c>
      <c r="D3" s="15">
        <v>588.0</v>
      </c>
      <c r="E3" s="15" t="s">
        <v>99</v>
      </c>
      <c r="F3" s="15" t="s">
        <v>82</v>
      </c>
      <c r="G3" s="15">
        <v>69.0</v>
      </c>
      <c r="H3" s="13">
        <v>80.0</v>
      </c>
      <c r="I3" s="80" t="s">
        <v>4629</v>
      </c>
      <c r="J3" s="80" t="s">
        <v>4630</v>
      </c>
      <c r="K3" s="23" t="s">
        <v>4631</v>
      </c>
      <c r="L3" s="13" t="s">
        <v>4632</v>
      </c>
      <c r="M3" s="13" t="s">
        <v>4632</v>
      </c>
      <c r="N3" s="15" t="s">
        <v>50</v>
      </c>
      <c r="O3" s="15" t="s">
        <v>50</v>
      </c>
      <c r="P3" s="15" t="s">
        <v>50</v>
      </c>
      <c r="Q3" s="15" t="s">
        <v>50</v>
      </c>
      <c r="R3" s="15" t="s">
        <v>50</v>
      </c>
      <c r="S3" s="15" t="s">
        <v>50</v>
      </c>
      <c r="T3" s="15" t="s">
        <v>50</v>
      </c>
      <c r="U3" s="15" t="s">
        <v>50</v>
      </c>
      <c r="V3" s="15" t="s">
        <v>50</v>
      </c>
      <c r="W3" s="15" t="s">
        <v>50</v>
      </c>
      <c r="X3" s="15" t="s">
        <v>50</v>
      </c>
      <c r="Y3" s="15" t="s">
        <v>50</v>
      </c>
    </row>
    <row r="4" ht="56.25" customHeight="1">
      <c r="A4" s="23" t="s">
        <v>4633</v>
      </c>
      <c r="B4" s="15" t="str">
        <f>IMAGE("https://i.imgur.com/RdNAqj8.png")</f>
        <v/>
      </c>
      <c r="C4" s="15" t="str">
        <f>IMAGE("https://i.imgur.com/WbzUL9I.png")</f>
        <v/>
      </c>
      <c r="D4" s="15">
        <v>652.0</v>
      </c>
      <c r="E4" s="15" t="s">
        <v>521</v>
      </c>
      <c r="F4" s="15" t="s">
        <v>211</v>
      </c>
      <c r="G4" s="15">
        <v>14.0</v>
      </c>
      <c r="H4" s="13">
        <v>3000.0</v>
      </c>
      <c r="I4" s="79" t="s">
        <v>4635</v>
      </c>
      <c r="J4" s="79" t="s">
        <v>4630</v>
      </c>
      <c r="K4" s="81" t="s">
        <v>4610</v>
      </c>
      <c r="L4" s="82">
        <v>0.7916666666666666</v>
      </c>
      <c r="M4" s="82">
        <v>0.16666666666666666</v>
      </c>
      <c r="N4" s="15" t="s">
        <v>28</v>
      </c>
      <c r="O4" s="15" t="s">
        <v>28</v>
      </c>
      <c r="P4" s="15" t="s">
        <v>28</v>
      </c>
      <c r="Q4" s="15" t="s">
        <v>50</v>
      </c>
      <c r="R4" s="15" t="s">
        <v>50</v>
      </c>
      <c r="S4" s="15" t="s">
        <v>50</v>
      </c>
      <c r="T4" s="15" t="s">
        <v>50</v>
      </c>
      <c r="U4" s="15" t="s">
        <v>50</v>
      </c>
      <c r="V4" s="15" t="s">
        <v>50</v>
      </c>
      <c r="W4" s="15" t="s">
        <v>28</v>
      </c>
      <c r="X4" s="15" t="s">
        <v>28</v>
      </c>
      <c r="Y4" s="15" t="s">
        <v>28</v>
      </c>
    </row>
    <row r="5" ht="56.25" customHeight="1">
      <c r="A5" s="23" t="s">
        <v>4637</v>
      </c>
      <c r="B5" s="15" t="str">
        <f>IMAGE("https://i.imgur.com/ubKboEx.png")</f>
        <v/>
      </c>
      <c r="C5" s="15" t="str">
        <f>IMAGE("https://i.imgur.com/mEOX5Yg.png")</f>
        <v/>
      </c>
      <c r="D5" s="15">
        <v>622.0</v>
      </c>
      <c r="E5" s="15" t="s">
        <v>118</v>
      </c>
      <c r="F5" s="15" t="s">
        <v>112</v>
      </c>
      <c r="G5" s="15">
        <v>68.0</v>
      </c>
      <c r="H5" s="13">
        <v>600.0</v>
      </c>
      <c r="I5" s="80" t="s">
        <v>4638</v>
      </c>
      <c r="J5" s="80" t="s">
        <v>4630</v>
      </c>
      <c r="K5" s="23" t="s">
        <v>4631</v>
      </c>
      <c r="L5" s="13" t="s">
        <v>4632</v>
      </c>
      <c r="M5" s="13" t="s">
        <v>4632</v>
      </c>
      <c r="N5" s="15" t="s">
        <v>50</v>
      </c>
      <c r="O5" s="15" t="s">
        <v>50</v>
      </c>
      <c r="P5" s="15" t="s">
        <v>50</v>
      </c>
      <c r="Q5" s="15" t="s">
        <v>50</v>
      </c>
      <c r="R5" s="15" t="s">
        <v>50</v>
      </c>
      <c r="S5" s="15" t="s">
        <v>50</v>
      </c>
      <c r="T5" s="15" t="s">
        <v>50</v>
      </c>
      <c r="U5" s="15" t="s">
        <v>50</v>
      </c>
      <c r="V5" s="15" t="s">
        <v>50</v>
      </c>
      <c r="W5" s="15" t="s">
        <v>50</v>
      </c>
      <c r="X5" s="15" t="s">
        <v>50</v>
      </c>
      <c r="Y5" s="15" t="s">
        <v>50</v>
      </c>
    </row>
    <row r="6" ht="56.25" customHeight="1">
      <c r="A6" s="23" t="s">
        <v>4639</v>
      </c>
      <c r="B6" s="15" t="str">
        <f>IMAGE("https://i.imgur.com/1Xtj7bB.png")</f>
        <v/>
      </c>
      <c r="C6" s="15" t="str">
        <f>IMAGE("https://i.imgur.com/SD036ZJ.png")</f>
        <v/>
      </c>
      <c r="D6" s="15">
        <v>635.0</v>
      </c>
      <c r="E6" s="15" t="s">
        <v>99</v>
      </c>
      <c r="F6" s="15" t="s">
        <v>211</v>
      </c>
      <c r="G6" s="15">
        <v>34.0</v>
      </c>
      <c r="H6" s="13">
        <v>4500.0</v>
      </c>
      <c r="I6" s="79" t="s">
        <v>4642</v>
      </c>
      <c r="J6" s="80" t="s">
        <v>4605</v>
      </c>
      <c r="K6" s="81" t="s">
        <v>4643</v>
      </c>
      <c r="L6" s="82">
        <v>0.3333333333333333</v>
      </c>
      <c r="M6" s="82">
        <v>0.7083333333333334</v>
      </c>
      <c r="N6" s="15" t="s">
        <v>28</v>
      </c>
      <c r="O6" s="15" t="s">
        <v>28</v>
      </c>
      <c r="P6" s="15" t="s">
        <v>28</v>
      </c>
      <c r="Q6" s="15" t="s">
        <v>28</v>
      </c>
      <c r="R6" s="15" t="s">
        <v>50</v>
      </c>
      <c r="S6" s="15" t="s">
        <v>50</v>
      </c>
      <c r="T6" s="15" t="s">
        <v>50</v>
      </c>
      <c r="U6" s="15" t="s">
        <v>50</v>
      </c>
      <c r="V6" s="15" t="s">
        <v>50</v>
      </c>
      <c r="W6" s="15" t="s">
        <v>50</v>
      </c>
      <c r="X6" s="15" t="s">
        <v>28</v>
      </c>
      <c r="Y6" s="15" t="s">
        <v>28</v>
      </c>
    </row>
    <row r="7" ht="56.25" customHeight="1">
      <c r="A7" s="23" t="s">
        <v>4645</v>
      </c>
      <c r="B7" s="15" t="str">
        <f>IMAGE("https://i.imgur.com/YZvOZ2M.png")</f>
        <v/>
      </c>
      <c r="C7" s="15" t="str">
        <f>IMAGE("https://i.imgur.com/vw9iAfA.png")</f>
        <v/>
      </c>
      <c r="D7" s="15">
        <v>642.0</v>
      </c>
      <c r="E7" s="15" t="s">
        <v>99</v>
      </c>
      <c r="F7" s="15" t="s">
        <v>1608</v>
      </c>
      <c r="G7" s="25">
        <v>21.0</v>
      </c>
      <c r="H7" s="13">
        <v>430.0</v>
      </c>
      <c r="I7" s="79" t="s">
        <v>4649</v>
      </c>
      <c r="J7" s="80" t="s">
        <v>4605</v>
      </c>
      <c r="K7" s="81" t="s">
        <v>4631</v>
      </c>
      <c r="L7" s="82">
        <v>0.7083333333333334</v>
      </c>
      <c r="M7" s="82">
        <v>0.3333333333333333</v>
      </c>
      <c r="N7" s="15" t="s">
        <v>28</v>
      </c>
      <c r="O7" s="15" t="s">
        <v>28</v>
      </c>
      <c r="P7" s="15" t="s">
        <v>28</v>
      </c>
      <c r="Q7" s="15" t="s">
        <v>28</v>
      </c>
      <c r="R7" s="15" t="s">
        <v>28</v>
      </c>
      <c r="S7" s="15" t="s">
        <v>28</v>
      </c>
      <c r="T7" s="15" t="s">
        <v>28</v>
      </c>
      <c r="U7" s="15" t="s">
        <v>28</v>
      </c>
      <c r="V7" s="15" t="s">
        <v>50</v>
      </c>
      <c r="W7" s="15" t="s">
        <v>50</v>
      </c>
      <c r="X7" s="15" t="s">
        <v>28</v>
      </c>
      <c r="Y7" s="15" t="s">
        <v>28</v>
      </c>
    </row>
    <row r="8" ht="56.25" customHeight="1">
      <c r="A8" s="23" t="s">
        <v>4652</v>
      </c>
      <c r="B8" s="15" t="str">
        <f>IMAGE("https://i.imgur.com/IXj81M3.png")</f>
        <v/>
      </c>
      <c r="C8" s="15" t="str">
        <f>IMAGE("https://i.imgur.com/wrsIDcR.png")</f>
        <v/>
      </c>
      <c r="D8" s="15">
        <v>3485.0</v>
      </c>
      <c r="E8" s="15" t="s">
        <v>369</v>
      </c>
      <c r="F8" s="15" t="s">
        <v>107</v>
      </c>
      <c r="G8" s="15">
        <v>49.0</v>
      </c>
      <c r="H8" s="13">
        <v>800.0</v>
      </c>
      <c r="I8" s="80" t="s">
        <v>4653</v>
      </c>
      <c r="J8" s="80" t="s">
        <v>4630</v>
      </c>
      <c r="K8" s="23" t="s">
        <v>4631</v>
      </c>
      <c r="L8" s="13" t="s">
        <v>4632</v>
      </c>
      <c r="M8" s="13" t="s">
        <v>4632</v>
      </c>
      <c r="N8" s="15" t="s">
        <v>28</v>
      </c>
      <c r="O8" s="15" t="s">
        <v>28</v>
      </c>
      <c r="P8" s="15" t="s">
        <v>28</v>
      </c>
      <c r="Q8" s="15" t="s">
        <v>28</v>
      </c>
      <c r="R8" s="15" t="s">
        <v>28</v>
      </c>
      <c r="S8" s="15" t="s">
        <v>28</v>
      </c>
      <c r="T8" s="15" t="s">
        <v>50</v>
      </c>
      <c r="U8" s="15" t="s">
        <v>50</v>
      </c>
      <c r="V8" s="15" t="s">
        <v>28</v>
      </c>
      <c r="W8" s="15" t="s">
        <v>28</v>
      </c>
      <c r="X8" s="15" t="s">
        <v>28</v>
      </c>
      <c r="Y8" s="15" t="s">
        <v>28</v>
      </c>
    </row>
    <row r="9" ht="56.25" customHeight="1">
      <c r="A9" s="23" t="s">
        <v>4657</v>
      </c>
      <c r="B9" s="15" t="str">
        <f>IMAGE("https://i.imgur.com/awibAPX.png")</f>
        <v/>
      </c>
      <c r="C9" s="15" t="str">
        <f>IMAGE("https://i.imgur.com/Z6rzlt8.png")</f>
        <v/>
      </c>
      <c r="D9" s="15">
        <v>582.0</v>
      </c>
      <c r="E9" s="15" t="s">
        <v>118</v>
      </c>
      <c r="F9" s="15" t="s">
        <v>369</v>
      </c>
      <c r="G9" s="15">
        <v>26.0</v>
      </c>
      <c r="H9" s="13">
        <v>250.0</v>
      </c>
      <c r="I9" s="79" t="s">
        <v>4658</v>
      </c>
      <c r="J9" s="79" t="s">
        <v>4630</v>
      </c>
      <c r="K9" s="81" t="s">
        <v>4631</v>
      </c>
      <c r="L9" s="82">
        <v>0.3333333333333333</v>
      </c>
      <c r="M9" s="82">
        <v>0.7083333333333334</v>
      </c>
      <c r="N9" s="15" t="s">
        <v>28</v>
      </c>
      <c r="O9" s="15" t="s">
        <v>28</v>
      </c>
      <c r="P9" s="15" t="s">
        <v>28</v>
      </c>
      <c r="Q9" s="15" t="s">
        <v>28</v>
      </c>
      <c r="R9" s="15" t="s">
        <v>28</v>
      </c>
      <c r="S9" s="15" t="s">
        <v>28</v>
      </c>
      <c r="T9" s="15" t="s">
        <v>50</v>
      </c>
      <c r="U9" s="15" t="s">
        <v>50</v>
      </c>
      <c r="V9" s="15" t="s">
        <v>28</v>
      </c>
      <c r="W9" s="15" t="s">
        <v>28</v>
      </c>
      <c r="X9" s="15" t="s">
        <v>28</v>
      </c>
      <c r="Y9" s="15" t="s">
        <v>28</v>
      </c>
    </row>
    <row r="10" ht="56.25" customHeight="1">
      <c r="A10" s="23" t="s">
        <v>4662</v>
      </c>
      <c r="B10" s="15" t="str">
        <f>IMAGE("https://i.imgur.com/8AhtnAv.png")</f>
        <v/>
      </c>
      <c r="C10" s="15" t="str">
        <f>IMAGE("https://i.imgur.com/BsruF0n.png")</f>
        <v/>
      </c>
      <c r="D10" s="15">
        <v>628.0</v>
      </c>
      <c r="E10" s="15" t="s">
        <v>99</v>
      </c>
      <c r="F10" s="15" t="s">
        <v>521</v>
      </c>
      <c r="G10" s="15">
        <v>77.0</v>
      </c>
      <c r="H10" s="13">
        <v>300.0</v>
      </c>
      <c r="I10" s="35" t="s">
        <v>4669</v>
      </c>
      <c r="J10" s="79" t="s">
        <v>4630</v>
      </c>
      <c r="K10" s="81" t="s">
        <v>4631</v>
      </c>
      <c r="L10" s="82">
        <v>0.6666666666666666</v>
      </c>
      <c r="M10" s="82">
        <v>0.9583333333333334</v>
      </c>
      <c r="N10" s="15" t="s">
        <v>50</v>
      </c>
      <c r="O10" s="15" t="s">
        <v>50</v>
      </c>
      <c r="P10" s="15" t="s">
        <v>50</v>
      </c>
      <c r="Q10" s="15" t="s">
        <v>50</v>
      </c>
      <c r="R10" s="15" t="s">
        <v>50</v>
      </c>
      <c r="S10" s="15" t="s">
        <v>50</v>
      </c>
      <c r="T10" s="15" t="s">
        <v>28</v>
      </c>
      <c r="U10" s="15" t="s">
        <v>28</v>
      </c>
      <c r="V10" s="15" t="s">
        <v>50</v>
      </c>
      <c r="W10" s="15" t="s">
        <v>50</v>
      </c>
      <c r="X10" s="15" t="s">
        <v>50</v>
      </c>
      <c r="Y10" s="15" t="s">
        <v>50</v>
      </c>
    </row>
    <row r="11" ht="56.25" customHeight="1">
      <c r="A11" s="23" t="s">
        <v>4672</v>
      </c>
      <c r="B11" s="15" t="str">
        <f>IMAGE("https://i.imgur.com/uGH1eff.png")</f>
        <v/>
      </c>
      <c r="C11" s="15" t="str">
        <f>IMAGE("https://i.imgur.com/mLhrpAH.png")</f>
        <v/>
      </c>
      <c r="D11" s="15">
        <v>641.0</v>
      </c>
      <c r="E11" s="15" t="s">
        <v>118</v>
      </c>
      <c r="F11" s="15" t="s">
        <v>369</v>
      </c>
      <c r="G11" s="15">
        <v>31.0</v>
      </c>
      <c r="H11" s="13">
        <v>10.0</v>
      </c>
      <c r="I11" s="80" t="s">
        <v>4638</v>
      </c>
      <c r="J11" s="80" t="s">
        <v>4630</v>
      </c>
      <c r="K11" s="23" t="s">
        <v>4643</v>
      </c>
      <c r="L11" s="13" t="s">
        <v>4632</v>
      </c>
      <c r="M11" s="13" t="s">
        <v>4632</v>
      </c>
      <c r="N11" s="15" t="s">
        <v>28</v>
      </c>
      <c r="O11" s="15" t="s">
        <v>28</v>
      </c>
      <c r="P11" s="15" t="s">
        <v>28</v>
      </c>
      <c r="Q11" s="15" t="s">
        <v>28</v>
      </c>
      <c r="R11" s="15" t="s">
        <v>28</v>
      </c>
      <c r="S11" s="15" t="s">
        <v>28</v>
      </c>
      <c r="T11" s="15" t="s">
        <v>50</v>
      </c>
      <c r="U11" s="15" t="s">
        <v>50</v>
      </c>
      <c r="V11" s="15" t="s">
        <v>28</v>
      </c>
      <c r="W11" s="15" t="s">
        <v>28</v>
      </c>
      <c r="X11" s="15" t="s">
        <v>28</v>
      </c>
      <c r="Y11" s="15" t="s">
        <v>28</v>
      </c>
    </row>
    <row r="12" ht="56.25" customHeight="1">
      <c r="A12" s="37" t="s">
        <v>4677</v>
      </c>
      <c r="B12" s="15" t="str">
        <f>IMAGE("https://i.imgur.com/BZ8Hueo.png")</f>
        <v/>
      </c>
      <c r="C12" s="15" t="str">
        <f>IMAGE("https://i.imgur.com/QkBpp71.png")</f>
        <v/>
      </c>
      <c r="D12" s="15">
        <v>609.0</v>
      </c>
      <c r="E12" s="15" t="s">
        <v>99</v>
      </c>
      <c r="F12" s="15" t="s">
        <v>369</v>
      </c>
      <c r="G12" s="15">
        <v>47.0</v>
      </c>
      <c r="H12" s="13">
        <v>350.0</v>
      </c>
      <c r="I12" s="80" t="s">
        <v>4679</v>
      </c>
      <c r="J12" s="80" t="s">
        <v>4605</v>
      </c>
      <c r="K12" s="23" t="s">
        <v>4631</v>
      </c>
      <c r="L12" s="13" t="s">
        <v>4632</v>
      </c>
      <c r="M12" s="13" t="s">
        <v>4632</v>
      </c>
      <c r="N12" s="15" t="s">
        <v>50</v>
      </c>
      <c r="O12" s="15" t="s">
        <v>50</v>
      </c>
      <c r="P12" s="15" t="s">
        <v>50</v>
      </c>
      <c r="Q12" s="15" t="s">
        <v>50</v>
      </c>
      <c r="R12" s="15" t="s">
        <v>50</v>
      </c>
      <c r="S12" s="15" t="s">
        <v>50</v>
      </c>
      <c r="T12" s="15" t="s">
        <v>50</v>
      </c>
      <c r="U12" s="15" t="s">
        <v>50</v>
      </c>
      <c r="V12" s="15" t="s">
        <v>50</v>
      </c>
      <c r="W12" s="15" t="s">
        <v>50</v>
      </c>
      <c r="X12" s="15" t="s">
        <v>50</v>
      </c>
      <c r="Y12" s="15" t="s">
        <v>50</v>
      </c>
    </row>
    <row r="13" ht="56.25" customHeight="1">
      <c r="A13" s="23" t="s">
        <v>4681</v>
      </c>
      <c r="B13" s="15" t="str">
        <f>IMAGE("https://i.imgur.com/s1jc8H4.png")</f>
        <v/>
      </c>
      <c r="C13" s="15" t="str">
        <f>IMAGE("https://i.imgur.com/LdpxoEe.png")</f>
        <v/>
      </c>
      <c r="D13" s="15">
        <v>3477.0</v>
      </c>
      <c r="E13" s="15" t="s">
        <v>99</v>
      </c>
      <c r="F13" s="15" t="s">
        <v>369</v>
      </c>
      <c r="G13" s="25">
        <v>5.0</v>
      </c>
      <c r="H13" s="13">
        <v>300.0</v>
      </c>
      <c r="I13" s="79" t="s">
        <v>4602</v>
      </c>
      <c r="J13" s="80" t="s">
        <v>4605</v>
      </c>
      <c r="K13" s="81" t="s">
        <v>4631</v>
      </c>
      <c r="L13" s="82">
        <v>0.16666666666666666</v>
      </c>
      <c r="M13" s="82">
        <v>0.7916666666666666</v>
      </c>
      <c r="N13" s="15" t="s">
        <v>28</v>
      </c>
      <c r="O13" s="15" t="s">
        <v>28</v>
      </c>
      <c r="P13" s="15" t="s">
        <v>28</v>
      </c>
      <c r="Q13" s="15" t="s">
        <v>50</v>
      </c>
      <c r="R13" s="15" t="s">
        <v>50</v>
      </c>
      <c r="S13" s="15" t="s">
        <v>50</v>
      </c>
      <c r="T13" s="15" t="s">
        <v>50</v>
      </c>
      <c r="U13" s="15" t="s">
        <v>50</v>
      </c>
      <c r="V13" s="15" t="s">
        <v>28</v>
      </c>
      <c r="W13" s="15" t="s">
        <v>28</v>
      </c>
      <c r="X13" s="15" t="s">
        <v>28</v>
      </c>
      <c r="Y13" s="15" t="s">
        <v>28</v>
      </c>
    </row>
    <row r="14" ht="56.25" customHeight="1">
      <c r="A14" s="23" t="s">
        <v>4687</v>
      </c>
      <c r="B14" s="15" t="str">
        <f>IMAGE("https://i.imgur.com/UJiH4E9.png")</f>
        <v/>
      </c>
      <c r="C14" s="15" t="str">
        <f>IMAGE("https://i.imgur.com/4VhG52n.png")</f>
        <v/>
      </c>
      <c r="D14" s="15">
        <v>626.0</v>
      </c>
      <c r="E14" s="15" t="s">
        <v>82</v>
      </c>
      <c r="F14" s="15" t="s">
        <v>369</v>
      </c>
      <c r="G14" s="15">
        <v>1.0</v>
      </c>
      <c r="H14" s="13">
        <v>160.0</v>
      </c>
      <c r="I14" s="79" t="s">
        <v>4602</v>
      </c>
      <c r="J14" s="80" t="s">
        <v>4605</v>
      </c>
      <c r="K14" s="81" t="s">
        <v>4631</v>
      </c>
      <c r="L14" s="82">
        <v>0.16666666666666666</v>
      </c>
      <c r="M14" s="82">
        <v>0.7916666666666666</v>
      </c>
      <c r="N14" s="15" t="s">
        <v>50</v>
      </c>
      <c r="O14" s="15" t="s">
        <v>50</v>
      </c>
      <c r="P14" s="15" t="s">
        <v>50</v>
      </c>
      <c r="Q14" s="15" t="s">
        <v>50</v>
      </c>
      <c r="R14" s="15" t="s">
        <v>50</v>
      </c>
      <c r="S14" s="15" t="s">
        <v>50</v>
      </c>
      <c r="T14" s="15" t="s">
        <v>28</v>
      </c>
      <c r="U14" s="15" t="s">
        <v>28</v>
      </c>
      <c r="V14" s="15" t="s">
        <v>50</v>
      </c>
      <c r="W14" s="15" t="s">
        <v>50</v>
      </c>
      <c r="X14" s="15" t="s">
        <v>50</v>
      </c>
      <c r="Y14" s="15" t="s">
        <v>50</v>
      </c>
    </row>
    <row r="15" ht="56.25" customHeight="1">
      <c r="A15" s="23" t="s">
        <v>4691</v>
      </c>
      <c r="B15" s="15" t="str">
        <f>IMAGE("https://i.imgur.com/joRVhXW.png")</f>
        <v/>
      </c>
      <c r="C15" s="15" t="str">
        <f>IMAGE("https://i.imgur.com/jnyx8Yt.png")</f>
        <v/>
      </c>
      <c r="D15" s="15">
        <v>617.0</v>
      </c>
      <c r="E15" s="15" t="s">
        <v>118</v>
      </c>
      <c r="F15" s="15" t="s">
        <v>1608</v>
      </c>
      <c r="G15" s="15">
        <v>20.0</v>
      </c>
      <c r="H15" s="13">
        <v>130.0</v>
      </c>
      <c r="I15" s="79" t="s">
        <v>4649</v>
      </c>
      <c r="J15" s="80" t="s">
        <v>4605</v>
      </c>
      <c r="K15" s="81" t="s">
        <v>4631</v>
      </c>
      <c r="L15" s="82">
        <v>0.7083333333333334</v>
      </c>
      <c r="M15" s="82">
        <v>0.3333333333333333</v>
      </c>
      <c r="N15" s="15" t="s">
        <v>28</v>
      </c>
      <c r="O15" s="15" t="s">
        <v>28</v>
      </c>
      <c r="P15" s="15" t="s">
        <v>28</v>
      </c>
      <c r="Q15" s="15" t="s">
        <v>28</v>
      </c>
      <c r="R15" s="15" t="s">
        <v>28</v>
      </c>
      <c r="S15" s="15" t="s">
        <v>28</v>
      </c>
      <c r="T15" s="15" t="s">
        <v>28</v>
      </c>
      <c r="U15" s="15" t="s">
        <v>28</v>
      </c>
      <c r="V15" s="15" t="s">
        <v>50</v>
      </c>
      <c r="W15" s="15" t="s">
        <v>50</v>
      </c>
      <c r="X15" s="15" t="s">
        <v>50</v>
      </c>
      <c r="Y15" s="15" t="s">
        <v>28</v>
      </c>
    </row>
    <row r="16" ht="56.25" customHeight="1">
      <c r="A16" s="23" t="s">
        <v>4695</v>
      </c>
      <c r="B16" s="15" t="str">
        <f>IMAGE("https://i.imgur.com/ngrEk43.png")</f>
        <v/>
      </c>
      <c r="C16" s="15" t="str">
        <f>IMAGE("https://i.imgur.com/TnPveuv.png")</f>
        <v/>
      </c>
      <c r="D16" s="15">
        <v>602.0</v>
      </c>
      <c r="E16" s="15" t="s">
        <v>99</v>
      </c>
      <c r="F16" s="15" t="s">
        <v>99</v>
      </c>
      <c r="G16" s="15">
        <v>59.0</v>
      </c>
      <c r="H16" s="13">
        <v>8000.0</v>
      </c>
      <c r="I16" s="79" t="s">
        <v>4653</v>
      </c>
      <c r="J16" s="79" t="s">
        <v>4630</v>
      </c>
      <c r="K16" s="81" t="s">
        <v>4697</v>
      </c>
      <c r="L16" s="82">
        <v>0.7083333333333334</v>
      </c>
      <c r="M16" s="82">
        <v>0.3333333333333333</v>
      </c>
      <c r="N16" s="15" t="s">
        <v>28</v>
      </c>
      <c r="O16" s="15" t="s">
        <v>28</v>
      </c>
      <c r="P16" s="15" t="s">
        <v>28</v>
      </c>
      <c r="Q16" s="15" t="s">
        <v>28</v>
      </c>
      <c r="R16" s="15" t="s">
        <v>28</v>
      </c>
      <c r="S16" s="15" t="s">
        <v>28</v>
      </c>
      <c r="T16" s="15" t="s">
        <v>50</v>
      </c>
      <c r="U16" s="15" t="s">
        <v>50</v>
      </c>
      <c r="V16" s="15" t="s">
        <v>28</v>
      </c>
      <c r="W16" s="15" t="s">
        <v>28</v>
      </c>
      <c r="X16" s="15" t="s">
        <v>28</v>
      </c>
      <c r="Y16" s="15" t="s">
        <v>28</v>
      </c>
    </row>
    <row r="17" ht="56.25" customHeight="1">
      <c r="A17" s="23" t="s">
        <v>4699</v>
      </c>
      <c r="B17" s="15" t="str">
        <f>IMAGE("https://i.imgur.com/52gy1Ba.png")</f>
        <v/>
      </c>
      <c r="C17" s="15" t="str">
        <f>IMAGE("https://i.imgur.com/cp0jomB.png")</f>
        <v/>
      </c>
      <c r="D17" s="15">
        <v>5339.0</v>
      </c>
      <c r="E17" s="15" t="s">
        <v>369</v>
      </c>
      <c r="F17" s="15" t="s">
        <v>112</v>
      </c>
      <c r="G17" s="15">
        <v>35.0</v>
      </c>
      <c r="H17" s="13">
        <v>500.0</v>
      </c>
      <c r="I17" s="80" t="s">
        <v>4642</v>
      </c>
      <c r="J17" s="80" t="s">
        <v>4605</v>
      </c>
      <c r="K17" s="23" t="s">
        <v>4631</v>
      </c>
      <c r="L17" s="13" t="s">
        <v>4632</v>
      </c>
      <c r="M17" s="13" t="s">
        <v>4632</v>
      </c>
      <c r="N17" s="15" t="s">
        <v>50</v>
      </c>
      <c r="O17" s="15" t="s">
        <v>50</v>
      </c>
      <c r="P17" s="15" t="s">
        <v>28</v>
      </c>
      <c r="Q17" s="15" t="s">
        <v>28</v>
      </c>
      <c r="R17" s="15" t="s">
        <v>28</v>
      </c>
      <c r="S17" s="15" t="s">
        <v>28</v>
      </c>
      <c r="T17" s="15" t="s">
        <v>28</v>
      </c>
      <c r="U17" s="15" t="s">
        <v>28</v>
      </c>
      <c r="V17" s="15" t="s">
        <v>28</v>
      </c>
      <c r="W17" s="15" t="s">
        <v>28</v>
      </c>
      <c r="X17" s="15" t="s">
        <v>50</v>
      </c>
      <c r="Y17" s="15" t="s">
        <v>50</v>
      </c>
    </row>
    <row r="18" ht="56.25" customHeight="1">
      <c r="A18" s="23" t="s">
        <v>4706</v>
      </c>
      <c r="B18" s="15" t="str">
        <f>IMAGE("https://i.imgur.com/syAgg7n.png")</f>
        <v/>
      </c>
      <c r="C18" s="15" t="str">
        <f>IMAGE("https://i.imgur.com/agAPDqj.png")</f>
        <v/>
      </c>
      <c r="D18" s="15">
        <v>595.0</v>
      </c>
      <c r="E18" s="15" t="s">
        <v>369</v>
      </c>
      <c r="F18" s="15" t="s">
        <v>369</v>
      </c>
      <c r="G18" s="15">
        <v>33.0</v>
      </c>
      <c r="H18" s="13">
        <v>230.0</v>
      </c>
      <c r="I18" s="79" t="s">
        <v>4642</v>
      </c>
      <c r="J18" s="80" t="s">
        <v>4605</v>
      </c>
      <c r="K18" s="81" t="s">
        <v>4631</v>
      </c>
      <c r="L18" s="82">
        <v>0.3333333333333333</v>
      </c>
      <c r="M18" s="82">
        <v>0.7083333333333334</v>
      </c>
      <c r="N18" s="15" t="s">
        <v>28</v>
      </c>
      <c r="O18" s="15" t="s">
        <v>28</v>
      </c>
      <c r="P18" s="15" t="s">
        <v>28</v>
      </c>
      <c r="Q18" s="15" t="s">
        <v>50</v>
      </c>
      <c r="R18" s="15" t="s">
        <v>50</v>
      </c>
      <c r="S18" s="15" t="s">
        <v>50</v>
      </c>
      <c r="T18" s="15" t="s">
        <v>50</v>
      </c>
      <c r="U18" s="15" t="s">
        <v>50</v>
      </c>
      <c r="V18" s="15" t="s">
        <v>50</v>
      </c>
      <c r="W18" s="15" t="s">
        <v>50</v>
      </c>
      <c r="X18" s="15" t="s">
        <v>28</v>
      </c>
      <c r="Y18" s="15" t="s">
        <v>28</v>
      </c>
    </row>
    <row r="19" ht="56.25" customHeight="1">
      <c r="A19" s="23" t="s">
        <v>4709</v>
      </c>
      <c r="B19" s="15" t="str">
        <f>IMAGE("https://i.imgur.com/Whymm9k.png")</f>
        <v/>
      </c>
      <c r="C19" s="15" t="str">
        <f>IMAGE("https://i.imgur.com/dvLeFQr.png")</f>
        <v/>
      </c>
      <c r="D19" s="15">
        <v>594.0</v>
      </c>
      <c r="E19" s="15" t="s">
        <v>99</v>
      </c>
      <c r="F19" s="15" t="s">
        <v>112</v>
      </c>
      <c r="G19" s="15">
        <v>39.0</v>
      </c>
      <c r="H19" s="13">
        <v>800.0</v>
      </c>
      <c r="I19" s="79" t="s">
        <v>4711</v>
      </c>
      <c r="J19" s="79" t="s">
        <v>4630</v>
      </c>
      <c r="K19" s="81" t="s">
        <v>4631</v>
      </c>
      <c r="L19" s="82">
        <v>0.3333333333333333</v>
      </c>
      <c r="M19" s="82">
        <v>0.7916666666666666</v>
      </c>
      <c r="N19" s="15" t="s">
        <v>28</v>
      </c>
      <c r="O19" s="15" t="s">
        <v>28</v>
      </c>
      <c r="P19" s="15" t="s">
        <v>28</v>
      </c>
      <c r="Q19" s="15" t="s">
        <v>28</v>
      </c>
      <c r="R19" s="15" t="s">
        <v>50</v>
      </c>
      <c r="S19" s="15" t="s">
        <v>50</v>
      </c>
      <c r="T19" s="15" t="s">
        <v>50</v>
      </c>
      <c r="U19" s="15" t="s">
        <v>50</v>
      </c>
      <c r="V19" s="15" t="s">
        <v>50</v>
      </c>
      <c r="W19" s="15" t="s">
        <v>28</v>
      </c>
      <c r="X19" s="15" t="s">
        <v>28</v>
      </c>
      <c r="Y19" s="15" t="s">
        <v>28</v>
      </c>
    </row>
    <row r="20" ht="56.25" customHeight="1">
      <c r="A20" s="37" t="s">
        <v>4713</v>
      </c>
      <c r="B20" s="15" t="str">
        <f>IMAGE("https://i.imgur.com/0V98GTW.png")</f>
        <v/>
      </c>
      <c r="C20" s="15" t="str">
        <f>IMAGE("https://i.imgur.com/vCNEqN5.png")</f>
        <v/>
      </c>
      <c r="D20" s="15">
        <v>3480.0</v>
      </c>
      <c r="E20" s="15" t="s">
        <v>369</v>
      </c>
      <c r="F20" s="15" t="s">
        <v>112</v>
      </c>
      <c r="G20" s="15">
        <v>53.0</v>
      </c>
      <c r="H20" s="13">
        <v>200.0</v>
      </c>
      <c r="I20" s="80" t="s">
        <v>4635</v>
      </c>
      <c r="J20" s="80" t="s">
        <v>4630</v>
      </c>
      <c r="K20" s="23" t="s">
        <v>4631</v>
      </c>
      <c r="L20" s="13" t="s">
        <v>4632</v>
      </c>
      <c r="M20" s="13" t="s">
        <v>4632</v>
      </c>
      <c r="N20" s="15" t="s">
        <v>28</v>
      </c>
      <c r="O20" s="15" t="s">
        <v>28</v>
      </c>
      <c r="P20" s="15" t="s">
        <v>28</v>
      </c>
      <c r="Q20" s="15" t="s">
        <v>28</v>
      </c>
      <c r="R20" s="15" t="s">
        <v>28</v>
      </c>
      <c r="S20" s="15" t="s">
        <v>50</v>
      </c>
      <c r="T20" s="15" t="s">
        <v>50</v>
      </c>
      <c r="U20" s="15" t="s">
        <v>50</v>
      </c>
      <c r="V20" s="15" t="s">
        <v>28</v>
      </c>
      <c r="W20" s="15" t="s">
        <v>28</v>
      </c>
      <c r="X20" s="15" t="s">
        <v>28</v>
      </c>
      <c r="Y20" s="15" t="s">
        <v>28</v>
      </c>
    </row>
    <row r="21" ht="56.25" customHeight="1">
      <c r="A21" s="23" t="s">
        <v>4718</v>
      </c>
      <c r="B21" s="15" t="str">
        <f>IMAGE("https://i.imgur.com/do5qspI.png")</f>
        <v/>
      </c>
      <c r="C21" s="15" t="str">
        <f>IMAGE("https://i.imgur.com/aBlBppM.png")</f>
        <v/>
      </c>
      <c r="D21" s="15">
        <v>604.0</v>
      </c>
      <c r="E21" s="15" t="s">
        <v>99</v>
      </c>
      <c r="F21" s="15" t="s">
        <v>1608</v>
      </c>
      <c r="G21" s="15">
        <v>50.0</v>
      </c>
      <c r="H21" s="13">
        <v>3000.0</v>
      </c>
      <c r="I21" s="80" t="s">
        <v>4723</v>
      </c>
      <c r="J21" s="80" t="s">
        <v>4630</v>
      </c>
      <c r="K21" s="23" t="s">
        <v>4631</v>
      </c>
      <c r="L21" s="13" t="s">
        <v>4632</v>
      </c>
      <c r="M21" s="13" t="s">
        <v>4632</v>
      </c>
      <c r="N21" s="25" t="s">
        <v>50</v>
      </c>
      <c r="O21" s="25" t="s">
        <v>50</v>
      </c>
      <c r="P21" s="15" t="s">
        <v>28</v>
      </c>
      <c r="Q21" s="15" t="s">
        <v>28</v>
      </c>
      <c r="R21" s="15" t="s">
        <v>28</v>
      </c>
      <c r="S21" s="15" t="s">
        <v>28</v>
      </c>
      <c r="T21" s="15" t="s">
        <v>28</v>
      </c>
      <c r="U21" s="15" t="s">
        <v>28</v>
      </c>
      <c r="V21" s="15" t="s">
        <v>28</v>
      </c>
      <c r="W21" s="15" t="s">
        <v>28</v>
      </c>
      <c r="X21" s="15" t="s">
        <v>28</v>
      </c>
      <c r="Y21" s="25" t="s">
        <v>50</v>
      </c>
    </row>
    <row r="22" ht="56.25" customHeight="1">
      <c r="A22" s="37" t="s">
        <v>4729</v>
      </c>
      <c r="B22" s="15" t="str">
        <f>IMAGE("https://i.imgur.com/udoevWx.png")</f>
        <v/>
      </c>
      <c r="C22" s="15" t="str">
        <f>IMAGE("https://i.imgur.com/WXYAMUY.png")</f>
        <v/>
      </c>
      <c r="D22" s="15">
        <v>614.0</v>
      </c>
      <c r="E22" s="15" t="s">
        <v>464</v>
      </c>
      <c r="F22" s="15" t="s">
        <v>521</v>
      </c>
      <c r="G22" s="15">
        <v>51.0</v>
      </c>
      <c r="H22" s="13">
        <v>300.0</v>
      </c>
      <c r="I22" s="80" t="s">
        <v>4635</v>
      </c>
      <c r="J22" s="80" t="s">
        <v>4630</v>
      </c>
      <c r="K22" s="23" t="s">
        <v>4631</v>
      </c>
      <c r="L22" s="13" t="s">
        <v>4632</v>
      </c>
      <c r="M22" s="13" t="s">
        <v>4632</v>
      </c>
      <c r="N22" s="15" t="s">
        <v>28</v>
      </c>
      <c r="O22" s="15" t="s">
        <v>28</v>
      </c>
      <c r="P22" s="15" t="s">
        <v>28</v>
      </c>
      <c r="Q22" s="15" t="s">
        <v>28</v>
      </c>
      <c r="R22" s="15" t="s">
        <v>28</v>
      </c>
      <c r="S22" s="15" t="s">
        <v>28</v>
      </c>
      <c r="T22" s="15" t="s">
        <v>50</v>
      </c>
      <c r="U22" s="15" t="s">
        <v>50</v>
      </c>
      <c r="V22" s="15" t="s">
        <v>50</v>
      </c>
      <c r="W22" s="15" t="s">
        <v>28</v>
      </c>
      <c r="X22" s="15" t="s">
        <v>28</v>
      </c>
      <c r="Y22" s="15" t="s">
        <v>28</v>
      </c>
    </row>
    <row r="23" ht="56.25" customHeight="1">
      <c r="A23" s="23" t="s">
        <v>4735</v>
      </c>
      <c r="B23" s="15" t="str">
        <f>IMAGE("https://i.imgur.com/GOu3ROJ.png")</f>
        <v/>
      </c>
      <c r="C23" s="15" t="str">
        <f>IMAGE("https://i.imgur.com/HjcjikP.png")</f>
        <v/>
      </c>
      <c r="D23" s="15">
        <v>627.0</v>
      </c>
      <c r="E23" s="15" t="s">
        <v>112</v>
      </c>
      <c r="F23" s="15" t="s">
        <v>521</v>
      </c>
      <c r="G23" s="15">
        <v>9.0</v>
      </c>
      <c r="H23" s="13">
        <v>4000.0</v>
      </c>
      <c r="I23" s="79" t="s">
        <v>4602</v>
      </c>
      <c r="J23" s="80" t="s">
        <v>4605</v>
      </c>
      <c r="K23" s="81" t="s">
        <v>4610</v>
      </c>
      <c r="L23" s="82">
        <v>0.7083333333333334</v>
      </c>
      <c r="M23" s="82">
        <v>0.3333333333333333</v>
      </c>
      <c r="N23" s="15" t="s">
        <v>50</v>
      </c>
      <c r="O23" s="15" t="s">
        <v>50</v>
      </c>
      <c r="P23" s="15" t="s">
        <v>50</v>
      </c>
      <c r="Q23" s="15" t="s">
        <v>28</v>
      </c>
      <c r="R23" s="15" t="s">
        <v>28</v>
      </c>
      <c r="S23" s="15" t="s">
        <v>50</v>
      </c>
      <c r="T23" s="15" t="s">
        <v>50</v>
      </c>
      <c r="U23" s="15" t="s">
        <v>50</v>
      </c>
      <c r="V23" s="15" t="s">
        <v>50</v>
      </c>
      <c r="W23" s="15" t="s">
        <v>28</v>
      </c>
      <c r="X23" s="15" t="s">
        <v>28</v>
      </c>
      <c r="Y23" s="15" t="s">
        <v>50</v>
      </c>
    </row>
    <row r="24" ht="56.25" customHeight="1">
      <c r="A24" s="23" t="s">
        <v>4744</v>
      </c>
      <c r="B24" s="15" t="str">
        <f>IMAGE("https://i.imgur.com/B8LqTef.png")</f>
        <v/>
      </c>
      <c r="C24" s="15" t="str">
        <f>IMAGE("https://i.imgur.com/WyLEDMz.png")</f>
        <v/>
      </c>
      <c r="D24" s="15">
        <v>601.0</v>
      </c>
      <c r="E24" s="15" t="s">
        <v>99</v>
      </c>
      <c r="F24" s="15" t="s">
        <v>521</v>
      </c>
      <c r="G24" s="15">
        <v>30.0</v>
      </c>
      <c r="H24" s="13">
        <v>550.0</v>
      </c>
      <c r="I24" s="80" t="s">
        <v>4658</v>
      </c>
      <c r="J24" s="80" t="s">
        <v>4630</v>
      </c>
      <c r="K24" s="23" t="s">
        <v>4631</v>
      </c>
      <c r="L24" s="13" t="s">
        <v>4746</v>
      </c>
      <c r="M24" s="13" t="s">
        <v>4747</v>
      </c>
      <c r="N24" s="15" t="s">
        <v>28</v>
      </c>
      <c r="O24" s="15" t="s">
        <v>28</v>
      </c>
      <c r="P24" s="15" t="s">
        <v>28</v>
      </c>
      <c r="Q24" s="15" t="s">
        <v>28</v>
      </c>
      <c r="R24" s="15" t="s">
        <v>28</v>
      </c>
      <c r="S24" s="15" t="s">
        <v>28</v>
      </c>
      <c r="T24" s="15" t="s">
        <v>50</v>
      </c>
      <c r="U24" s="15" t="s">
        <v>50</v>
      </c>
      <c r="V24" s="15" t="s">
        <v>28</v>
      </c>
      <c r="W24" s="15" t="s">
        <v>28</v>
      </c>
      <c r="X24" s="15" t="s">
        <v>28</v>
      </c>
      <c r="Y24" s="15" t="s">
        <v>28</v>
      </c>
    </row>
    <row r="25" ht="56.25" customHeight="1">
      <c r="A25" s="23" t="s">
        <v>4750</v>
      </c>
      <c r="B25" s="15" t="str">
        <f>IMAGE("https://i.imgur.com/Xk1DzDj.png")</f>
        <v/>
      </c>
      <c r="C25" s="15" t="str">
        <f>IMAGE("https://i.imgur.com/dmI1j8y.png")</f>
        <v/>
      </c>
      <c r="D25" s="15">
        <v>603.0</v>
      </c>
      <c r="E25" s="15" t="s">
        <v>99</v>
      </c>
      <c r="F25" s="15" t="s">
        <v>112</v>
      </c>
      <c r="G25" s="25">
        <v>36.0</v>
      </c>
      <c r="H25" s="13">
        <v>300.0</v>
      </c>
      <c r="I25" s="79" t="s">
        <v>4642</v>
      </c>
      <c r="J25" s="80" t="s">
        <v>4605</v>
      </c>
      <c r="K25" s="81" t="s">
        <v>4631</v>
      </c>
      <c r="L25" s="82">
        <v>0.7916666666666666</v>
      </c>
      <c r="M25" s="82">
        <v>0.16666666666666666</v>
      </c>
      <c r="N25" s="15" t="s">
        <v>28</v>
      </c>
      <c r="O25" s="15" t="s">
        <v>28</v>
      </c>
      <c r="P25" s="15" t="s">
        <v>28</v>
      </c>
      <c r="Q25" s="15" t="s">
        <v>28</v>
      </c>
      <c r="R25" s="15" t="s">
        <v>28</v>
      </c>
      <c r="S25" s="15" t="s">
        <v>50</v>
      </c>
      <c r="T25" s="15" t="s">
        <v>28</v>
      </c>
      <c r="U25" s="15" t="s">
        <v>28</v>
      </c>
      <c r="V25" s="15" t="s">
        <v>28</v>
      </c>
      <c r="W25" s="15" t="s">
        <v>28</v>
      </c>
      <c r="X25" s="15" t="s">
        <v>28</v>
      </c>
      <c r="Y25" s="15" t="s">
        <v>28</v>
      </c>
    </row>
    <row r="26" ht="56.25" customHeight="1">
      <c r="A26" s="23" t="s">
        <v>4758</v>
      </c>
      <c r="B26" s="15" t="str">
        <f>IMAGE("https://i.imgur.com/sELZcgj.png")</f>
        <v/>
      </c>
      <c r="C26" s="15" t="str">
        <f>IMAGE("https://i.imgur.com/TkHOybT.png")</f>
        <v/>
      </c>
      <c r="D26" s="15">
        <v>633.0</v>
      </c>
      <c r="E26" s="15" t="s">
        <v>118</v>
      </c>
      <c r="F26" s="15" t="s">
        <v>82</v>
      </c>
      <c r="G26" s="15">
        <v>74.0</v>
      </c>
      <c r="H26" s="13">
        <v>70.0</v>
      </c>
      <c r="I26" s="80" t="s">
        <v>4760</v>
      </c>
      <c r="J26" s="80" t="s">
        <v>4630</v>
      </c>
      <c r="K26" s="23" t="s">
        <v>4631</v>
      </c>
      <c r="L26" s="13" t="s">
        <v>4632</v>
      </c>
      <c r="M26" s="13" t="s">
        <v>4632</v>
      </c>
      <c r="N26" s="15" t="s">
        <v>28</v>
      </c>
      <c r="O26" s="15" t="s">
        <v>28</v>
      </c>
      <c r="P26" s="15" t="s">
        <v>28</v>
      </c>
      <c r="Q26" s="15" t="s">
        <v>50</v>
      </c>
      <c r="R26" s="15" t="s">
        <v>50</v>
      </c>
      <c r="S26" s="15" t="s">
        <v>50</v>
      </c>
      <c r="T26" s="15" t="s">
        <v>50</v>
      </c>
      <c r="U26" s="15" t="s">
        <v>50</v>
      </c>
      <c r="V26" s="15" t="s">
        <v>50</v>
      </c>
      <c r="W26" s="15" t="s">
        <v>50</v>
      </c>
      <c r="X26" s="15" t="s">
        <v>50</v>
      </c>
      <c r="Y26" s="15" t="s">
        <v>28</v>
      </c>
    </row>
    <row r="27" ht="56.25" customHeight="1">
      <c r="A27" s="23" t="s">
        <v>4762</v>
      </c>
      <c r="B27" s="15" t="str">
        <f>IMAGE("https://i.imgur.com/5IGebtQ.png")</f>
        <v/>
      </c>
      <c r="C27" s="15" t="str">
        <f>IMAGE("https://i.imgur.com/imMR3tz.png")</f>
        <v/>
      </c>
      <c r="D27" s="15">
        <v>597.0</v>
      </c>
      <c r="E27" s="15" t="s">
        <v>99</v>
      </c>
      <c r="F27" s="15" t="s">
        <v>82</v>
      </c>
      <c r="G27" s="15">
        <v>72.0</v>
      </c>
      <c r="H27" s="13">
        <v>60.0</v>
      </c>
      <c r="I27" s="80" t="s">
        <v>4764</v>
      </c>
      <c r="J27" s="80" t="s">
        <v>4630</v>
      </c>
      <c r="K27" s="23" t="s">
        <v>4631</v>
      </c>
      <c r="L27" s="13" t="s">
        <v>4632</v>
      </c>
      <c r="M27" s="13" t="s">
        <v>4632</v>
      </c>
      <c r="N27" s="15" t="s">
        <v>50</v>
      </c>
      <c r="O27" s="15" t="s">
        <v>50</v>
      </c>
      <c r="P27" s="15" t="s">
        <v>50</v>
      </c>
      <c r="Q27" s="15" t="s">
        <v>50</v>
      </c>
      <c r="R27" s="15" t="s">
        <v>50</v>
      </c>
      <c r="S27" s="15" t="s">
        <v>50</v>
      </c>
      <c r="T27" s="15" t="s">
        <v>50</v>
      </c>
      <c r="U27" s="15" t="s">
        <v>50</v>
      </c>
      <c r="V27" s="15" t="s">
        <v>50</v>
      </c>
      <c r="W27" s="15" t="s">
        <v>50</v>
      </c>
      <c r="X27" s="15" t="s">
        <v>50</v>
      </c>
      <c r="Y27" s="15" t="s">
        <v>50</v>
      </c>
    </row>
    <row r="28" ht="56.25" customHeight="1">
      <c r="A28" s="23" t="s">
        <v>4767</v>
      </c>
      <c r="B28" s="15" t="str">
        <f>IMAGE("https://i.imgur.com/TcYs64H.png")</f>
        <v/>
      </c>
      <c r="C28" s="15" t="str">
        <f>IMAGE("https://i.imgur.com/1umGpxQ.png")</f>
        <v/>
      </c>
      <c r="D28" s="15">
        <v>618.0</v>
      </c>
      <c r="E28" s="15" t="s">
        <v>99</v>
      </c>
      <c r="F28" s="15" t="s">
        <v>211</v>
      </c>
      <c r="G28" s="15">
        <v>28.0</v>
      </c>
      <c r="H28" s="24">
        <v>500.0</v>
      </c>
      <c r="I28" s="79" t="s">
        <v>4658</v>
      </c>
      <c r="J28" s="79" t="s">
        <v>4630</v>
      </c>
      <c r="K28" s="81" t="s">
        <v>4610</v>
      </c>
      <c r="L28" s="82">
        <v>0.3333333333333333</v>
      </c>
      <c r="M28" s="82">
        <v>0.7083333333333334</v>
      </c>
      <c r="N28" s="15" t="s">
        <v>28</v>
      </c>
      <c r="O28" s="15" t="s">
        <v>28</v>
      </c>
      <c r="P28" s="15" t="s">
        <v>28</v>
      </c>
      <c r="Q28" s="15" t="s">
        <v>28</v>
      </c>
      <c r="R28" s="15" t="s">
        <v>28</v>
      </c>
      <c r="S28" s="15" t="s">
        <v>28</v>
      </c>
      <c r="T28" s="15" t="s">
        <v>50</v>
      </c>
      <c r="U28" s="15" t="s">
        <v>50</v>
      </c>
      <c r="V28" s="15" t="s">
        <v>28</v>
      </c>
      <c r="W28" s="15" t="s">
        <v>28</v>
      </c>
      <c r="X28" s="15" t="s">
        <v>28</v>
      </c>
      <c r="Y28" s="15" t="s">
        <v>28</v>
      </c>
    </row>
    <row r="29" ht="56.25" customHeight="1">
      <c r="A29" s="23" t="s">
        <v>4771</v>
      </c>
      <c r="B29" s="15" t="str">
        <f>IMAGE("https://i.imgur.com/DLn2MOI.png")</f>
        <v/>
      </c>
      <c r="C29" s="15" t="str">
        <f>IMAGE("https://i.imgur.com/9Zy9O2X.png")</f>
        <v/>
      </c>
      <c r="D29" s="15">
        <v>637.0</v>
      </c>
      <c r="E29" s="15" t="s">
        <v>99</v>
      </c>
      <c r="F29" s="15" t="s">
        <v>99</v>
      </c>
      <c r="G29" s="15">
        <v>57.0</v>
      </c>
      <c r="H29" s="13">
        <v>10000.0</v>
      </c>
      <c r="I29" s="79" t="s">
        <v>4635</v>
      </c>
      <c r="J29" s="79" t="s">
        <v>4630</v>
      </c>
      <c r="K29" s="81" t="s">
        <v>4643</v>
      </c>
      <c r="L29" s="82">
        <v>0.9583333333333334</v>
      </c>
      <c r="M29" s="82">
        <v>0.3333333333333333</v>
      </c>
      <c r="N29" s="15" t="s">
        <v>28</v>
      </c>
      <c r="O29" s="15" t="s">
        <v>28</v>
      </c>
      <c r="P29" s="15" t="s">
        <v>28</v>
      </c>
      <c r="Q29" s="15" t="s">
        <v>28</v>
      </c>
      <c r="R29" s="15" t="s">
        <v>28</v>
      </c>
      <c r="S29" s="15" t="s">
        <v>28</v>
      </c>
      <c r="T29" s="15" t="s">
        <v>50</v>
      </c>
      <c r="U29" s="15" t="s">
        <v>50</v>
      </c>
      <c r="V29" s="15" t="s">
        <v>28</v>
      </c>
      <c r="W29" s="15" t="s">
        <v>28</v>
      </c>
      <c r="X29" s="15" t="s">
        <v>28</v>
      </c>
      <c r="Y29" s="15" t="s">
        <v>28</v>
      </c>
    </row>
    <row r="30" ht="56.25" customHeight="1">
      <c r="A30" s="23" t="s">
        <v>4775</v>
      </c>
      <c r="B30" s="15" t="str">
        <f>IMAGE("https://i.imgur.com/nArNnTA.png")</f>
        <v/>
      </c>
      <c r="C30" s="15" t="str">
        <f>IMAGE("https://i.imgur.com/Weatxwu.png")</f>
        <v/>
      </c>
      <c r="D30" s="15">
        <v>5157.0</v>
      </c>
      <c r="E30" s="15" t="s">
        <v>118</v>
      </c>
      <c r="F30" s="15" t="s">
        <v>112</v>
      </c>
      <c r="G30" s="15">
        <v>40.0</v>
      </c>
      <c r="H30" s="13">
        <v>2000.0</v>
      </c>
      <c r="I30" s="79" t="s">
        <v>4711</v>
      </c>
      <c r="J30" s="79" t="s">
        <v>4630</v>
      </c>
      <c r="K30" s="81" t="s">
        <v>4643</v>
      </c>
      <c r="L30" s="82">
        <v>0.7916666666666666</v>
      </c>
      <c r="M30" s="82">
        <v>0.3333333333333333</v>
      </c>
      <c r="N30" s="15" t="s">
        <v>28</v>
      </c>
      <c r="O30" s="15" t="s">
        <v>28</v>
      </c>
      <c r="P30" s="15" t="s">
        <v>28</v>
      </c>
      <c r="Q30" s="15" t="s">
        <v>50</v>
      </c>
      <c r="R30" s="15" t="s">
        <v>50</v>
      </c>
      <c r="S30" s="15" t="s">
        <v>50</v>
      </c>
      <c r="T30" s="15" t="s">
        <v>50</v>
      </c>
      <c r="U30" s="15" t="s">
        <v>50</v>
      </c>
      <c r="V30" s="15" t="s">
        <v>50</v>
      </c>
      <c r="W30" s="15" t="s">
        <v>28</v>
      </c>
      <c r="X30" s="15" t="s">
        <v>28</v>
      </c>
      <c r="Y30" s="15" t="s">
        <v>28</v>
      </c>
    </row>
    <row r="31" ht="56.25" customHeight="1">
      <c r="A31" s="23" t="s">
        <v>4779</v>
      </c>
      <c r="B31" s="15" t="str">
        <f>IMAGE("https://i.imgur.com/3mxmDI3.png")</f>
        <v/>
      </c>
      <c r="C31" s="15" t="str">
        <f>IMAGE("https://i.imgur.com/pu7NIxk.png")</f>
        <v/>
      </c>
      <c r="D31" s="15">
        <v>3482.0</v>
      </c>
      <c r="E31" s="15" t="s">
        <v>99</v>
      </c>
      <c r="F31" s="15" t="s">
        <v>99</v>
      </c>
      <c r="G31" s="25">
        <v>61.0</v>
      </c>
      <c r="H31" s="24">
        <v>12000.0</v>
      </c>
      <c r="I31" s="79" t="s">
        <v>4653</v>
      </c>
      <c r="J31" s="79" t="s">
        <v>4630</v>
      </c>
      <c r="K31" s="81" t="s">
        <v>4697</v>
      </c>
      <c r="L31" s="82">
        <v>0.7083333333333334</v>
      </c>
      <c r="M31" s="82">
        <v>0.3333333333333333</v>
      </c>
      <c r="N31" s="15" t="s">
        <v>28</v>
      </c>
      <c r="O31" s="15" t="s">
        <v>28</v>
      </c>
      <c r="P31" s="15" t="s">
        <v>28</v>
      </c>
      <c r="Q31" s="15" t="s">
        <v>28</v>
      </c>
      <c r="R31" s="15" t="s">
        <v>28</v>
      </c>
      <c r="S31" s="15" t="s">
        <v>28</v>
      </c>
      <c r="T31" s="15" t="s">
        <v>50</v>
      </c>
      <c r="U31" s="15" t="s">
        <v>50</v>
      </c>
      <c r="V31" s="15" t="s">
        <v>28</v>
      </c>
      <c r="W31" s="15" t="s">
        <v>28</v>
      </c>
      <c r="X31" s="15" t="s">
        <v>28</v>
      </c>
      <c r="Y31" s="15" t="s">
        <v>28</v>
      </c>
    </row>
    <row r="32" ht="56.25" customHeight="1">
      <c r="A32" s="23" t="s">
        <v>4782</v>
      </c>
      <c r="B32" s="15" t="str">
        <f>IMAGE("https://i.imgur.com/AhqZkc1.png")</f>
        <v/>
      </c>
      <c r="C32" s="15" t="str">
        <f>IMAGE("https://i.imgur.com/7eGUi1I.png")</f>
        <v/>
      </c>
      <c r="D32" s="15">
        <v>638.0</v>
      </c>
      <c r="E32" s="15" t="s">
        <v>99</v>
      </c>
      <c r="F32" s="15" t="s">
        <v>211</v>
      </c>
      <c r="G32" s="15">
        <v>60.0</v>
      </c>
      <c r="H32" s="13">
        <v>12000.0</v>
      </c>
      <c r="I32" s="79" t="s">
        <v>4653</v>
      </c>
      <c r="J32" s="79" t="s">
        <v>4630</v>
      </c>
      <c r="K32" s="81" t="s">
        <v>4697</v>
      </c>
      <c r="L32" s="82">
        <v>0.7083333333333334</v>
      </c>
      <c r="M32" s="82">
        <v>0.3333333333333333</v>
      </c>
      <c r="N32" s="15" t="s">
        <v>28</v>
      </c>
      <c r="O32" s="15" t="s">
        <v>28</v>
      </c>
      <c r="P32" s="15" t="s">
        <v>28</v>
      </c>
      <c r="Q32" s="15" t="s">
        <v>28</v>
      </c>
      <c r="R32" s="15" t="s">
        <v>28</v>
      </c>
      <c r="S32" s="15" t="s">
        <v>28</v>
      </c>
      <c r="T32" s="15" t="s">
        <v>50</v>
      </c>
      <c r="U32" s="15" t="s">
        <v>50</v>
      </c>
      <c r="V32" s="15" t="s">
        <v>28</v>
      </c>
      <c r="W32" s="15" t="s">
        <v>28</v>
      </c>
      <c r="X32" s="15" t="s">
        <v>28</v>
      </c>
      <c r="Y32" s="15" t="s">
        <v>28</v>
      </c>
    </row>
    <row r="33" ht="56.25" customHeight="1">
      <c r="A33" s="23" t="s">
        <v>4784</v>
      </c>
      <c r="B33" s="15" t="str">
        <f>IMAGE("https://i.imgur.com/lrM07Gm.png")</f>
        <v/>
      </c>
      <c r="C33" s="15" t="str">
        <f>IMAGE("https://i.imgur.com/55rcubz.png")</f>
        <v/>
      </c>
      <c r="D33" s="15">
        <v>596.0</v>
      </c>
      <c r="E33" s="15" t="s">
        <v>208</v>
      </c>
      <c r="F33" s="15" t="s">
        <v>99</v>
      </c>
      <c r="G33" s="15">
        <v>54.0</v>
      </c>
      <c r="H33" s="13">
        <v>8000.0</v>
      </c>
      <c r="I33" s="79" t="s">
        <v>4653</v>
      </c>
      <c r="J33" s="79" t="s">
        <v>4630</v>
      </c>
      <c r="K33" s="81" t="s">
        <v>4697</v>
      </c>
      <c r="L33" s="82">
        <v>0.7083333333333334</v>
      </c>
      <c r="M33" s="82">
        <v>0.3333333333333333</v>
      </c>
      <c r="N33" s="15" t="s">
        <v>28</v>
      </c>
      <c r="O33" s="15" t="s">
        <v>28</v>
      </c>
      <c r="P33" s="15" t="s">
        <v>28</v>
      </c>
      <c r="Q33" s="15" t="s">
        <v>28</v>
      </c>
      <c r="R33" s="15" t="s">
        <v>28</v>
      </c>
      <c r="S33" s="15" t="s">
        <v>50</v>
      </c>
      <c r="T33" s="15" t="s">
        <v>50</v>
      </c>
      <c r="U33" s="15" t="s">
        <v>50</v>
      </c>
      <c r="V33" s="15" t="s">
        <v>50</v>
      </c>
      <c r="W33" s="15" t="s">
        <v>28</v>
      </c>
      <c r="X33" s="15" t="s">
        <v>28</v>
      </c>
      <c r="Y33" s="15" t="s">
        <v>28</v>
      </c>
    </row>
    <row r="34" ht="56.25" customHeight="1">
      <c r="A34" s="23" t="s">
        <v>4791</v>
      </c>
      <c r="B34" s="15" t="str">
        <f>IMAGE("https://i.imgur.com/be8vY9O.png")</f>
        <v/>
      </c>
      <c r="C34" s="15" t="str">
        <f>IMAGE("https://i.imgur.com/7xMhoib.png")</f>
        <v/>
      </c>
      <c r="D34" s="15">
        <v>613.0</v>
      </c>
      <c r="E34" s="15" t="s">
        <v>369</v>
      </c>
      <c r="F34" s="15" t="s">
        <v>1608</v>
      </c>
      <c r="G34" s="15">
        <v>19.0</v>
      </c>
      <c r="H34" s="13">
        <v>160.0</v>
      </c>
      <c r="I34" s="79" t="s">
        <v>4649</v>
      </c>
      <c r="J34" s="80" t="s">
        <v>4605</v>
      </c>
      <c r="K34" s="81" t="s">
        <v>4631</v>
      </c>
      <c r="L34" s="82">
        <v>0.3333333333333333</v>
      </c>
      <c r="M34" s="82">
        <v>0.7083333333333334</v>
      </c>
      <c r="N34" s="15" t="s">
        <v>28</v>
      </c>
      <c r="O34" s="15" t="s">
        <v>28</v>
      </c>
      <c r="P34" s="15" t="s">
        <v>28</v>
      </c>
      <c r="Q34" s="15" t="s">
        <v>28</v>
      </c>
      <c r="R34" s="15" t="s">
        <v>28</v>
      </c>
      <c r="S34" s="15" t="s">
        <v>28</v>
      </c>
      <c r="T34" s="15" t="s">
        <v>50</v>
      </c>
      <c r="U34" s="15" t="s">
        <v>50</v>
      </c>
      <c r="V34" s="15" t="s">
        <v>50</v>
      </c>
      <c r="W34" s="15" t="s">
        <v>28</v>
      </c>
      <c r="X34" s="15" t="s">
        <v>28</v>
      </c>
      <c r="Y34" s="15" t="s">
        <v>28</v>
      </c>
    </row>
    <row r="35" ht="56.25" customHeight="1">
      <c r="A35" s="23" t="s">
        <v>4795</v>
      </c>
      <c r="B35" s="15" t="str">
        <f>IMAGE("https://i.imgur.com/FE0hXTo.png)")</f>
        <v/>
      </c>
      <c r="C35" s="15" t="str">
        <f>IMAGE("https://i.imgur.com/3RDEMbI.png")</f>
        <v/>
      </c>
      <c r="D35" s="15">
        <v>3479.0</v>
      </c>
      <c r="E35" s="15" t="s">
        <v>464</v>
      </c>
      <c r="F35" s="15" t="s">
        <v>521</v>
      </c>
      <c r="G35" s="25">
        <v>7.0</v>
      </c>
      <c r="H35" s="13">
        <v>3000.0</v>
      </c>
      <c r="I35" s="79" t="s">
        <v>4602</v>
      </c>
      <c r="J35" s="80" t="s">
        <v>4605</v>
      </c>
      <c r="K35" s="81" t="s">
        <v>4643</v>
      </c>
      <c r="L35" s="82">
        <v>0.16666666666666666</v>
      </c>
      <c r="M35" s="82">
        <v>0.7916666666666666</v>
      </c>
      <c r="N35" s="15" t="s">
        <v>28</v>
      </c>
      <c r="O35" s="15" t="s">
        <v>28</v>
      </c>
      <c r="P35" s="15" t="s">
        <v>28</v>
      </c>
      <c r="Q35" s="15" t="s">
        <v>28</v>
      </c>
      <c r="R35" s="15" t="s">
        <v>50</v>
      </c>
      <c r="S35" s="15" t="s">
        <v>50</v>
      </c>
      <c r="T35" s="15" t="s">
        <v>50</v>
      </c>
      <c r="U35" s="15" t="s">
        <v>50</v>
      </c>
      <c r="V35" s="15" t="s">
        <v>28</v>
      </c>
      <c r="W35" s="15" t="s">
        <v>28</v>
      </c>
      <c r="X35" s="15" t="s">
        <v>28</v>
      </c>
      <c r="Y35" s="15" t="s">
        <v>28</v>
      </c>
    </row>
    <row r="36" ht="56.25" customHeight="1">
      <c r="A36" s="23" t="s">
        <v>4802</v>
      </c>
      <c r="B36" s="15" t="str">
        <f>IMAGE("https://i.imgur.com/IOU0u6G.png")</f>
        <v/>
      </c>
      <c r="C36" s="15" t="str">
        <f>IMAGE("https://i.imgur.com/FDcG0o6.png")</f>
        <v/>
      </c>
      <c r="D36" s="15">
        <v>651.0</v>
      </c>
      <c r="E36" s="15" t="s">
        <v>1608</v>
      </c>
      <c r="F36" s="15" t="s">
        <v>107</v>
      </c>
      <c r="G36" s="15">
        <v>70.0</v>
      </c>
      <c r="H36" s="13">
        <v>1000.0</v>
      </c>
      <c r="I36" s="35" t="s">
        <v>4806</v>
      </c>
      <c r="J36" s="79" t="s">
        <v>4630</v>
      </c>
      <c r="K36" s="81" t="s">
        <v>4631</v>
      </c>
      <c r="L36" s="82">
        <v>0.7916666666666666</v>
      </c>
      <c r="M36" s="82">
        <v>0.3333333333333333</v>
      </c>
      <c r="N36" s="15" t="s">
        <v>50</v>
      </c>
      <c r="O36" s="15" t="s">
        <v>50</v>
      </c>
      <c r="P36" s="15" t="s">
        <v>50</v>
      </c>
      <c r="Q36" s="15" t="s">
        <v>50</v>
      </c>
      <c r="R36" s="15" t="s">
        <v>50</v>
      </c>
      <c r="S36" s="15" t="s">
        <v>50</v>
      </c>
      <c r="T36" s="15" t="s">
        <v>50</v>
      </c>
      <c r="U36" s="15" t="s">
        <v>50</v>
      </c>
      <c r="V36" s="15" t="s">
        <v>50</v>
      </c>
      <c r="W36" s="15" t="s">
        <v>50</v>
      </c>
      <c r="X36" s="15" t="s">
        <v>50</v>
      </c>
      <c r="Y36" s="15" t="s">
        <v>50</v>
      </c>
    </row>
    <row r="37" ht="56.25" customHeight="1">
      <c r="A37" s="23" t="s">
        <v>4809</v>
      </c>
      <c r="B37" s="15" t="str">
        <f>IMAGE("https://i.imgur.com/AGRdV4A.png")</f>
        <v/>
      </c>
      <c r="C37" s="15" t="str">
        <f>IMAGE("https://i.imgur.com/5K0cagi.png")</f>
        <v/>
      </c>
      <c r="D37" s="15">
        <v>623.0</v>
      </c>
      <c r="E37" s="15" t="s">
        <v>211</v>
      </c>
      <c r="F37" s="15" t="s">
        <v>112</v>
      </c>
      <c r="G37" s="15">
        <v>24.0</v>
      </c>
      <c r="H37" s="13">
        <v>200.0</v>
      </c>
      <c r="I37" s="79" t="s">
        <v>4602</v>
      </c>
      <c r="J37" s="80" t="s">
        <v>4605</v>
      </c>
      <c r="K37" s="81" t="s">
        <v>4631</v>
      </c>
      <c r="L37" s="82">
        <v>0.3333333333333333</v>
      </c>
      <c r="M37" s="82">
        <v>0.7083333333333334</v>
      </c>
      <c r="N37" s="15" t="s">
        <v>28</v>
      </c>
      <c r="O37" s="15" t="s">
        <v>28</v>
      </c>
      <c r="P37" s="15" t="s">
        <v>50</v>
      </c>
      <c r="Q37" s="15" t="s">
        <v>50</v>
      </c>
      <c r="R37" s="15" t="s">
        <v>50</v>
      </c>
      <c r="S37" s="15" t="s">
        <v>50</v>
      </c>
      <c r="T37" s="15" t="s">
        <v>50</v>
      </c>
      <c r="U37" s="15" t="s">
        <v>28</v>
      </c>
      <c r="V37" s="15" t="s">
        <v>28</v>
      </c>
      <c r="W37" s="15" t="s">
        <v>28</v>
      </c>
      <c r="X37" s="15" t="s">
        <v>28</v>
      </c>
      <c r="Y37" s="15" t="s">
        <v>28</v>
      </c>
    </row>
    <row r="38" ht="56.25" customHeight="1">
      <c r="A38" s="23" t="s">
        <v>4812</v>
      </c>
      <c r="B38" s="15" t="str">
        <f>IMAGE("https://i.imgur.com/uElrjYM.png")</f>
        <v/>
      </c>
      <c r="C38" s="15" t="str">
        <f>IMAGE("https://i.imgur.com/xTP3LSM.png")</f>
        <v/>
      </c>
      <c r="D38" s="15">
        <v>615.0</v>
      </c>
      <c r="E38" s="15" t="s">
        <v>99</v>
      </c>
      <c r="F38" s="15" t="s">
        <v>99</v>
      </c>
      <c r="G38" s="15">
        <v>63.0</v>
      </c>
      <c r="H38" s="24">
        <v>8000.0</v>
      </c>
      <c r="I38" s="79" t="s">
        <v>4653</v>
      </c>
      <c r="J38" s="79" t="s">
        <v>4630</v>
      </c>
      <c r="K38" s="81" t="s">
        <v>4697</v>
      </c>
      <c r="L38" s="82">
        <v>0.7083333333333334</v>
      </c>
      <c r="M38" s="82">
        <v>0.3333333333333333</v>
      </c>
      <c r="N38" s="15" t="s">
        <v>28</v>
      </c>
      <c r="O38" s="15" t="s">
        <v>28</v>
      </c>
      <c r="P38" s="15" t="s">
        <v>28</v>
      </c>
      <c r="Q38" s="15" t="s">
        <v>28</v>
      </c>
      <c r="R38" s="15" t="s">
        <v>28</v>
      </c>
      <c r="S38" s="15" t="s">
        <v>28</v>
      </c>
      <c r="T38" s="15" t="s">
        <v>50</v>
      </c>
      <c r="U38" s="15" t="s">
        <v>50</v>
      </c>
      <c r="V38" s="15" t="s">
        <v>28</v>
      </c>
      <c r="W38" s="15" t="s">
        <v>28</v>
      </c>
      <c r="X38" s="15" t="s">
        <v>28</v>
      </c>
      <c r="Y38" s="15" t="s">
        <v>28</v>
      </c>
    </row>
    <row r="39" ht="56.25" customHeight="1">
      <c r="A39" s="23" t="s">
        <v>4815</v>
      </c>
      <c r="B39" s="15" t="str">
        <f>IMAGE("https://i.imgur.com/zubQ3UW.png")</f>
        <v/>
      </c>
      <c r="C39" s="15" t="str">
        <f>IMAGE("https://i.imgur.com/0Ef10xL.png")</f>
        <v/>
      </c>
      <c r="D39" s="15">
        <v>612.0</v>
      </c>
      <c r="E39" s="15" t="s">
        <v>118</v>
      </c>
      <c r="F39" s="15" t="s">
        <v>99</v>
      </c>
      <c r="G39" s="25">
        <v>62.0</v>
      </c>
      <c r="H39" s="13">
        <v>1350.0</v>
      </c>
      <c r="I39" s="79" t="s">
        <v>4635</v>
      </c>
      <c r="J39" s="79" t="s">
        <v>4630</v>
      </c>
      <c r="K39" s="81" t="s">
        <v>4631</v>
      </c>
      <c r="L39" s="82">
        <v>0.7083333333333334</v>
      </c>
      <c r="M39" s="82">
        <v>0.3333333333333333</v>
      </c>
      <c r="N39" s="15" t="s">
        <v>28</v>
      </c>
      <c r="O39" s="15" t="s">
        <v>28</v>
      </c>
      <c r="P39" s="15" t="s">
        <v>28</v>
      </c>
      <c r="Q39" s="15" t="s">
        <v>28</v>
      </c>
      <c r="R39" s="15" t="s">
        <v>28</v>
      </c>
      <c r="S39" s="15" t="s">
        <v>28</v>
      </c>
      <c r="T39" s="15" t="s">
        <v>50</v>
      </c>
      <c r="U39" s="15" t="s">
        <v>50</v>
      </c>
      <c r="V39" s="15" t="s">
        <v>28</v>
      </c>
      <c r="W39" s="15" t="s">
        <v>28</v>
      </c>
      <c r="X39" s="15" t="s">
        <v>28</v>
      </c>
      <c r="Y39" s="15" t="s">
        <v>28</v>
      </c>
    </row>
    <row r="40" ht="56.25" customHeight="1">
      <c r="A40" s="23" t="s">
        <v>4829</v>
      </c>
      <c r="B40" s="15" t="str">
        <f>IMAGE("https://i.imgur.com/SKsvO5S.png")</f>
        <v/>
      </c>
      <c r="C40" s="15" t="str">
        <f>IMAGE("https://i.imgur.com/urZlPkv.png")</f>
        <v/>
      </c>
      <c r="D40" s="15">
        <v>653.0</v>
      </c>
      <c r="E40" s="15" t="s">
        <v>1608</v>
      </c>
      <c r="F40" s="15" t="s">
        <v>99</v>
      </c>
      <c r="G40" s="15">
        <v>64.0</v>
      </c>
      <c r="H40" s="13">
        <v>8000.0</v>
      </c>
      <c r="I40" s="79" t="s">
        <v>4653</v>
      </c>
      <c r="J40" s="79" t="s">
        <v>4630</v>
      </c>
      <c r="K40" s="81" t="s">
        <v>4697</v>
      </c>
      <c r="L40" s="82">
        <v>0.7083333333333334</v>
      </c>
      <c r="M40" s="82">
        <v>0.3333333333333333</v>
      </c>
      <c r="N40" s="15" t="s">
        <v>28</v>
      </c>
      <c r="O40" s="15" t="s">
        <v>28</v>
      </c>
      <c r="P40" s="15" t="s">
        <v>28</v>
      </c>
      <c r="Q40" s="15" t="s">
        <v>28</v>
      </c>
      <c r="R40" s="15" t="s">
        <v>28</v>
      </c>
      <c r="S40" s="15" t="s">
        <v>28</v>
      </c>
      <c r="T40" s="15" t="s">
        <v>50</v>
      </c>
      <c r="U40" s="15" t="s">
        <v>50</v>
      </c>
      <c r="V40" s="15" t="s">
        <v>28</v>
      </c>
      <c r="W40" s="15" t="s">
        <v>28</v>
      </c>
      <c r="X40" s="15" t="s">
        <v>28</v>
      </c>
      <c r="Y40" s="15" t="s">
        <v>28</v>
      </c>
    </row>
    <row r="41" ht="56.25" customHeight="1">
      <c r="A41" s="23" t="s">
        <v>4838</v>
      </c>
      <c r="B41" s="15" t="str">
        <f>IMAGE("https://i.imgur.com/fXdjxtg.png")</f>
        <v/>
      </c>
      <c r="C41" s="15" t="str">
        <f>IMAGE("https://i.imgur.com/oMfv4vS.png")</f>
        <v/>
      </c>
      <c r="D41" s="15">
        <v>600.0</v>
      </c>
      <c r="E41" s="15" t="s">
        <v>211</v>
      </c>
      <c r="F41" s="15" t="s">
        <v>99</v>
      </c>
      <c r="G41" s="15">
        <v>65.0</v>
      </c>
      <c r="H41" s="13">
        <v>12000.0</v>
      </c>
      <c r="I41" s="79" t="s">
        <v>4653</v>
      </c>
      <c r="J41" s="79" t="s">
        <v>4630</v>
      </c>
      <c r="K41" s="81" t="s">
        <v>4697</v>
      </c>
      <c r="L41" s="82">
        <v>0.7083333333333334</v>
      </c>
      <c r="M41" s="82">
        <v>0.3333333333333333</v>
      </c>
      <c r="N41" s="15" t="s">
        <v>28</v>
      </c>
      <c r="O41" s="15" t="s">
        <v>28</v>
      </c>
      <c r="P41" s="15" t="s">
        <v>28</v>
      </c>
      <c r="Q41" s="15" t="s">
        <v>28</v>
      </c>
      <c r="R41" s="15" t="s">
        <v>28</v>
      </c>
      <c r="S41" s="15" t="s">
        <v>28</v>
      </c>
      <c r="T41" s="15" t="s">
        <v>50</v>
      </c>
      <c r="U41" s="15" t="s">
        <v>50</v>
      </c>
      <c r="V41" s="15" t="s">
        <v>28</v>
      </c>
      <c r="W41" s="15" t="s">
        <v>28</v>
      </c>
      <c r="X41" s="15" t="s">
        <v>28</v>
      </c>
      <c r="Y41" s="15" t="s">
        <v>28</v>
      </c>
    </row>
    <row r="42" ht="56.25" customHeight="1">
      <c r="A42" s="23" t="s">
        <v>4842</v>
      </c>
      <c r="B42" s="15" t="str">
        <f>IMAGE("https://i.imgur.com/paQWEhh.png")</f>
        <v/>
      </c>
      <c r="C42" s="15" t="str">
        <f>IMAGE("https://i.imgur.com/b3HY1EW.png")</f>
        <v/>
      </c>
      <c r="D42" s="15">
        <v>645.0</v>
      </c>
      <c r="E42" s="15" t="s">
        <v>369</v>
      </c>
      <c r="F42" s="15" t="s">
        <v>99</v>
      </c>
      <c r="G42" s="15">
        <v>45.0</v>
      </c>
      <c r="H42" s="13">
        <v>2400.0</v>
      </c>
      <c r="I42" s="80" t="s">
        <v>4679</v>
      </c>
      <c r="J42" s="80" t="s">
        <v>4605</v>
      </c>
      <c r="K42" s="23" t="s">
        <v>4610</v>
      </c>
      <c r="L42" s="13" t="s">
        <v>4632</v>
      </c>
      <c r="M42" s="13" t="s">
        <v>4632</v>
      </c>
      <c r="N42" s="15" t="s">
        <v>28</v>
      </c>
      <c r="O42" s="15" t="s">
        <v>28</v>
      </c>
      <c r="P42" s="15" t="s">
        <v>28</v>
      </c>
      <c r="Q42" s="15" t="s">
        <v>50</v>
      </c>
      <c r="R42" s="15" t="s">
        <v>50</v>
      </c>
      <c r="S42" s="15" t="s">
        <v>50</v>
      </c>
      <c r="T42" s="15" t="s">
        <v>50</v>
      </c>
      <c r="U42" s="15" t="s">
        <v>50</v>
      </c>
      <c r="V42" s="15" t="s">
        <v>28</v>
      </c>
      <c r="W42" s="15" t="s">
        <v>28</v>
      </c>
      <c r="X42" s="15" t="s">
        <v>28</v>
      </c>
      <c r="Y42" s="15" t="s">
        <v>28</v>
      </c>
    </row>
    <row r="43" ht="56.25" customHeight="1">
      <c r="A43" s="23" t="s">
        <v>4846</v>
      </c>
      <c r="B43" s="15" t="str">
        <f>IMAGE("https://i.imgur.com/Xvwm9Uz.png")</f>
        <v/>
      </c>
      <c r="C43" s="15" t="str">
        <f>IMAGE("https://i.imgur.com/YPqLhow.png")</f>
        <v/>
      </c>
      <c r="D43" s="15">
        <v>647.0</v>
      </c>
      <c r="E43" s="15" t="s">
        <v>208</v>
      </c>
      <c r="F43" s="15" t="s">
        <v>369</v>
      </c>
      <c r="G43" s="15">
        <v>43.0</v>
      </c>
      <c r="H43" s="13">
        <v>200.0</v>
      </c>
      <c r="I43" s="79" t="s">
        <v>4848</v>
      </c>
      <c r="J43" s="80" t="s">
        <v>4605</v>
      </c>
      <c r="K43" s="81" t="s">
        <v>4631</v>
      </c>
      <c r="L43" s="82">
        <v>0.3333333333333333</v>
      </c>
      <c r="M43" s="82">
        <v>0.7083333333333334</v>
      </c>
      <c r="N43" s="15" t="s">
        <v>28</v>
      </c>
      <c r="O43" s="15" t="s">
        <v>28</v>
      </c>
      <c r="P43" s="15" t="s">
        <v>50</v>
      </c>
      <c r="Q43" s="15" t="s">
        <v>50</v>
      </c>
      <c r="R43" s="15" t="s">
        <v>50</v>
      </c>
      <c r="S43" s="15" t="s">
        <v>50</v>
      </c>
      <c r="T43" s="15" t="s">
        <v>28</v>
      </c>
      <c r="U43" s="15" t="s">
        <v>28</v>
      </c>
      <c r="V43" s="15" t="s">
        <v>28</v>
      </c>
      <c r="W43" s="15" t="s">
        <v>50</v>
      </c>
      <c r="X43" s="15" t="s">
        <v>28</v>
      </c>
      <c r="Y43" s="15" t="s">
        <v>28</v>
      </c>
    </row>
    <row r="44" ht="56.25" customHeight="1">
      <c r="A44" s="37" t="s">
        <v>4854</v>
      </c>
      <c r="B44" s="15" t="str">
        <f>IMAGE("https://i.imgur.com/SP9kfTh.png")</f>
        <v/>
      </c>
      <c r="C44" s="15" t="str">
        <f>IMAGE("https://i.imgur.com/TrcZeLn.png")</f>
        <v/>
      </c>
      <c r="D44" s="15">
        <v>644.0</v>
      </c>
      <c r="E44" s="15" t="s">
        <v>369</v>
      </c>
      <c r="F44" s="15" t="s">
        <v>112</v>
      </c>
      <c r="G44" s="15">
        <v>16.0</v>
      </c>
      <c r="H44" s="13">
        <v>200.0</v>
      </c>
      <c r="I44" s="79" t="s">
        <v>4649</v>
      </c>
      <c r="J44" s="79" t="s">
        <v>4630</v>
      </c>
      <c r="K44" s="81" t="s">
        <v>4631</v>
      </c>
      <c r="L44" s="82">
        <v>0.3333333333333333</v>
      </c>
      <c r="M44" s="82">
        <v>0.7916666666666666</v>
      </c>
      <c r="N44" s="15" t="s">
        <v>28</v>
      </c>
      <c r="O44" s="15" t="s">
        <v>28</v>
      </c>
      <c r="P44" s="15" t="s">
        <v>28</v>
      </c>
      <c r="Q44" s="15" t="s">
        <v>50</v>
      </c>
      <c r="R44" s="15" t="s">
        <v>50</v>
      </c>
      <c r="S44" s="15" t="s">
        <v>50</v>
      </c>
      <c r="T44" s="15" t="s">
        <v>50</v>
      </c>
      <c r="U44" s="15" t="s">
        <v>50</v>
      </c>
      <c r="V44" s="15" t="s">
        <v>50</v>
      </c>
      <c r="W44" s="15" t="s">
        <v>50</v>
      </c>
      <c r="X44" s="15" t="s">
        <v>50</v>
      </c>
      <c r="Y44" s="15" t="s">
        <v>28</v>
      </c>
    </row>
    <row r="45" ht="56.25" customHeight="1">
      <c r="A45" s="37" t="s">
        <v>4858</v>
      </c>
      <c r="B45" s="15" t="str">
        <f>IMAGE("https://i.imgur.com/6jFfAD6.png")</f>
        <v/>
      </c>
      <c r="C45" s="15" t="str">
        <f>IMAGE("https://i.imgur.com/GBhJNMk.png")</f>
        <v/>
      </c>
      <c r="D45" s="15">
        <v>3484.0</v>
      </c>
      <c r="E45" s="15" t="s">
        <v>369</v>
      </c>
      <c r="F45" s="15" t="s">
        <v>107</v>
      </c>
      <c r="G45" s="15">
        <v>15.0</v>
      </c>
      <c r="H45" s="13">
        <v>2500.0</v>
      </c>
      <c r="I45" s="79" t="s">
        <v>4602</v>
      </c>
      <c r="J45" s="80" t="s">
        <v>4605</v>
      </c>
      <c r="K45" s="81" t="s">
        <v>4610</v>
      </c>
      <c r="L45" s="82">
        <v>0.3333333333333333</v>
      </c>
      <c r="M45" s="82">
        <v>0.6666666666666666</v>
      </c>
      <c r="N45" s="15" t="s">
        <v>28</v>
      </c>
      <c r="O45" s="15" t="s">
        <v>28</v>
      </c>
      <c r="P45" s="15" t="s">
        <v>28</v>
      </c>
      <c r="Q45" s="15" t="s">
        <v>50</v>
      </c>
      <c r="R45" s="15" t="s">
        <v>50</v>
      </c>
      <c r="S45" s="15" t="s">
        <v>50</v>
      </c>
      <c r="T45" s="15" t="s">
        <v>50</v>
      </c>
      <c r="U45" s="15" t="s">
        <v>50</v>
      </c>
      <c r="V45" s="15" t="s">
        <v>50</v>
      </c>
      <c r="W45" s="15" t="s">
        <v>28</v>
      </c>
      <c r="X45" s="15" t="s">
        <v>28</v>
      </c>
      <c r="Y45" s="15" t="s">
        <v>28</v>
      </c>
    </row>
    <row r="46" ht="56.25" customHeight="1">
      <c r="A46" s="37" t="s">
        <v>4863</v>
      </c>
      <c r="B46" s="15" t="str">
        <f>IMAGE("https://i.imgur.com/xll2eFD.png")</f>
        <v/>
      </c>
      <c r="C46" s="15" t="str">
        <f>IMAGE("https://i.imgur.com/fHQMYHx.png")</f>
        <v/>
      </c>
      <c r="D46" s="15">
        <v>3483.0</v>
      </c>
      <c r="E46" s="15" t="s">
        <v>99</v>
      </c>
      <c r="F46" s="15" t="s">
        <v>521</v>
      </c>
      <c r="G46" s="15">
        <v>42.0</v>
      </c>
      <c r="H46" s="13">
        <v>1000.0</v>
      </c>
      <c r="I46" s="79" t="s">
        <v>4848</v>
      </c>
      <c r="J46" s="80" t="s">
        <v>4605</v>
      </c>
      <c r="K46" s="81" t="s">
        <v>4610</v>
      </c>
      <c r="L46" s="82">
        <v>0.7916666666666666</v>
      </c>
      <c r="M46" s="82">
        <v>0.3333333333333333</v>
      </c>
      <c r="N46" s="15" t="s">
        <v>28</v>
      </c>
      <c r="O46" s="15" t="s">
        <v>28</v>
      </c>
      <c r="P46" s="15" t="s">
        <v>50</v>
      </c>
      <c r="Q46" s="15" t="s">
        <v>50</v>
      </c>
      <c r="R46" s="15" t="s">
        <v>50</v>
      </c>
      <c r="S46" s="15" t="s">
        <v>50</v>
      </c>
      <c r="T46" s="15" t="s">
        <v>50</v>
      </c>
      <c r="U46" s="15" t="s">
        <v>50</v>
      </c>
      <c r="V46" s="15" t="s">
        <v>50</v>
      </c>
      <c r="W46" s="15" t="s">
        <v>50</v>
      </c>
      <c r="X46" s="15" t="s">
        <v>28</v>
      </c>
      <c r="Y46" s="15" t="s">
        <v>28</v>
      </c>
    </row>
    <row r="47" ht="56.25" customHeight="1">
      <c r="A47" s="23" t="s">
        <v>4867</v>
      </c>
      <c r="B47" s="15" t="str">
        <f>IMAGE("https://i.imgur.com/0PhWLoa.png")</f>
        <v/>
      </c>
      <c r="C47" s="15" t="str">
        <f>IMAGE("https://i.imgur.com/taDtDFU.png")</f>
        <v/>
      </c>
      <c r="D47" s="15">
        <v>607.0</v>
      </c>
      <c r="E47" s="15" t="s">
        <v>369</v>
      </c>
      <c r="F47" s="15" t="s">
        <v>369</v>
      </c>
      <c r="G47" s="25">
        <v>22.0</v>
      </c>
      <c r="H47" s="13">
        <v>430.0</v>
      </c>
      <c r="I47" s="79" t="s">
        <v>4848</v>
      </c>
      <c r="J47" s="80" t="s">
        <v>4605</v>
      </c>
      <c r="K47" s="81" t="s">
        <v>4631</v>
      </c>
      <c r="L47" s="82">
        <v>0.3333333333333333</v>
      </c>
      <c r="M47" s="82">
        <v>0.7083333333333334</v>
      </c>
      <c r="N47" s="15" t="s">
        <v>28</v>
      </c>
      <c r="O47" s="15" t="s">
        <v>28</v>
      </c>
      <c r="P47" s="15" t="s">
        <v>50</v>
      </c>
      <c r="Q47" s="15" t="s">
        <v>50</v>
      </c>
      <c r="R47" s="15" t="s">
        <v>50</v>
      </c>
      <c r="S47" s="15" t="s">
        <v>50</v>
      </c>
      <c r="T47" s="15" t="s">
        <v>50</v>
      </c>
      <c r="U47" s="15" t="s">
        <v>50</v>
      </c>
      <c r="V47" s="15" t="s">
        <v>50</v>
      </c>
      <c r="W47" s="15" t="s">
        <v>50</v>
      </c>
      <c r="X47" s="15" t="s">
        <v>50</v>
      </c>
      <c r="Y47" s="15" t="s">
        <v>28</v>
      </c>
    </row>
    <row r="48" ht="56.25" customHeight="1">
      <c r="A48" s="23" t="s">
        <v>4873</v>
      </c>
      <c r="B48" s="15" t="str">
        <f>IMAGE("https://i.imgur.com/C8E3s0O.png")</f>
        <v/>
      </c>
      <c r="C48" s="15" t="str">
        <f>IMAGE("https://i.imgur.com/qmvsse3.png")</f>
        <v/>
      </c>
      <c r="D48" s="15">
        <v>648.0</v>
      </c>
      <c r="E48" s="15" t="s">
        <v>369</v>
      </c>
      <c r="F48" s="15" t="s">
        <v>521</v>
      </c>
      <c r="G48" s="15">
        <v>17.0</v>
      </c>
      <c r="H48" s="13">
        <v>600.0</v>
      </c>
      <c r="I48" s="79" t="s">
        <v>4649</v>
      </c>
      <c r="J48" s="79" t="s">
        <v>4630</v>
      </c>
      <c r="K48" s="81" t="s">
        <v>4610</v>
      </c>
      <c r="L48" s="82">
        <v>0.3333333333333333</v>
      </c>
      <c r="M48" s="82">
        <v>0.7916666666666666</v>
      </c>
      <c r="N48" s="15" t="s">
        <v>28</v>
      </c>
      <c r="O48" s="15" t="s">
        <v>28</v>
      </c>
      <c r="P48" s="15" t="s">
        <v>28</v>
      </c>
      <c r="Q48" s="15" t="s">
        <v>28</v>
      </c>
      <c r="R48" s="15" t="s">
        <v>28</v>
      </c>
      <c r="S48" s="15" t="s">
        <v>28</v>
      </c>
      <c r="T48" s="15" t="s">
        <v>28</v>
      </c>
      <c r="U48" s="25" t="s">
        <v>50</v>
      </c>
      <c r="V48" s="25" t="s">
        <v>50</v>
      </c>
      <c r="W48" s="25" t="s">
        <v>50</v>
      </c>
      <c r="X48" s="25" t="s">
        <v>50</v>
      </c>
      <c r="Y48" s="15" t="s">
        <v>28</v>
      </c>
    </row>
    <row r="49" ht="56.25" customHeight="1">
      <c r="A49" s="23" t="s">
        <v>4877</v>
      </c>
      <c r="B49" s="15" t="str">
        <f>IMAGE("https://i.imgur.com/sOMWySH.png")</f>
        <v/>
      </c>
      <c r="C49" s="15" t="str">
        <f>IMAGE("https://i.imgur.com/dDVXaXg.png")</f>
        <v/>
      </c>
      <c r="D49" s="15">
        <v>624.0</v>
      </c>
      <c r="E49" s="15" t="s">
        <v>99</v>
      </c>
      <c r="F49" s="15" t="s">
        <v>99</v>
      </c>
      <c r="G49" s="15">
        <v>56.0</v>
      </c>
      <c r="H49" s="13">
        <v>1000.0</v>
      </c>
      <c r="I49" s="80" t="s">
        <v>4635</v>
      </c>
      <c r="J49" s="80" t="s">
        <v>4630</v>
      </c>
      <c r="K49" s="23" t="s">
        <v>4631</v>
      </c>
      <c r="L49" s="13" t="s">
        <v>4632</v>
      </c>
      <c r="M49" s="13" t="s">
        <v>4632</v>
      </c>
      <c r="N49" s="15" t="s">
        <v>28</v>
      </c>
      <c r="O49" s="15" t="s">
        <v>28</v>
      </c>
      <c r="P49" s="15" t="s">
        <v>28</v>
      </c>
      <c r="Q49" s="15" t="s">
        <v>28</v>
      </c>
      <c r="R49" s="15" t="s">
        <v>28</v>
      </c>
      <c r="S49" s="15" t="s">
        <v>28</v>
      </c>
      <c r="T49" s="15" t="s">
        <v>50</v>
      </c>
      <c r="U49" s="15" t="s">
        <v>50</v>
      </c>
      <c r="V49" s="15" t="s">
        <v>28</v>
      </c>
      <c r="W49" s="15" t="s">
        <v>28</v>
      </c>
      <c r="X49" s="15" t="s">
        <v>28</v>
      </c>
      <c r="Y49" s="15" t="s">
        <v>28</v>
      </c>
    </row>
    <row r="50" ht="56.25" customHeight="1">
      <c r="A50" s="23" t="s">
        <v>4882</v>
      </c>
      <c r="B50" s="15" t="str">
        <f>IMAGE("https://i.imgur.com/immk7qq.png")</f>
        <v/>
      </c>
      <c r="C50" s="15" t="str">
        <f>IMAGE("https://i.imgur.com/kEVhVwQ.png")</f>
        <v/>
      </c>
      <c r="D50" s="15">
        <v>634.0</v>
      </c>
      <c r="E50" s="15" t="s">
        <v>118</v>
      </c>
      <c r="F50" s="15" t="s">
        <v>211</v>
      </c>
      <c r="G50" s="15">
        <v>37.0</v>
      </c>
      <c r="H50" s="13">
        <v>500.0</v>
      </c>
      <c r="I50" s="80" t="s">
        <v>4885</v>
      </c>
      <c r="J50" s="80" t="s">
        <v>4630</v>
      </c>
      <c r="K50" s="23" t="s">
        <v>4631</v>
      </c>
      <c r="L50" s="13" t="s">
        <v>4632</v>
      </c>
      <c r="M50" s="13" t="s">
        <v>4632</v>
      </c>
      <c r="N50" s="15" t="s">
        <v>50</v>
      </c>
      <c r="O50" s="15" t="s">
        <v>50</v>
      </c>
      <c r="P50" s="15" t="s">
        <v>50</v>
      </c>
      <c r="Q50" s="15" t="s">
        <v>50</v>
      </c>
      <c r="R50" s="15" t="s">
        <v>50</v>
      </c>
      <c r="S50" s="15" t="s">
        <v>28</v>
      </c>
      <c r="T50" s="15" t="s">
        <v>28</v>
      </c>
      <c r="U50" s="15" t="s">
        <v>28</v>
      </c>
      <c r="V50" s="15" t="s">
        <v>28</v>
      </c>
      <c r="W50" s="15" t="s">
        <v>28</v>
      </c>
      <c r="X50" s="15" t="s">
        <v>50</v>
      </c>
      <c r="Y50" s="15" t="s">
        <v>50</v>
      </c>
    </row>
    <row r="51" ht="56.25" customHeight="1">
      <c r="A51" s="37" t="s">
        <v>4886</v>
      </c>
      <c r="B51" s="15" t="str">
        <f>IMAGE("https://i.imgur.com/qbFDPC6.png")</f>
        <v/>
      </c>
      <c r="C51" s="15" t="str">
        <f>IMAGE("https://i.imgur.com/elOkNW1.png")</f>
        <v/>
      </c>
      <c r="D51" s="15">
        <v>636.0</v>
      </c>
      <c r="E51" s="15" t="s">
        <v>521</v>
      </c>
      <c r="F51" s="15" t="s">
        <v>112</v>
      </c>
      <c r="G51" s="15">
        <v>8.0</v>
      </c>
      <c r="H51" s="13">
        <v>140.0</v>
      </c>
      <c r="I51" s="79" t="s">
        <v>4602</v>
      </c>
      <c r="J51" s="80" t="s">
        <v>4605</v>
      </c>
      <c r="K51" s="81" t="s">
        <v>4631</v>
      </c>
      <c r="L51" s="82">
        <v>0.16666666666666666</v>
      </c>
      <c r="M51" s="82">
        <v>0.7083333333333334</v>
      </c>
      <c r="N51" s="15" t="s">
        <v>28</v>
      </c>
      <c r="O51" s="15" t="s">
        <v>28</v>
      </c>
      <c r="P51" s="15" t="s">
        <v>28</v>
      </c>
      <c r="Q51" s="15" t="s">
        <v>28</v>
      </c>
      <c r="R51" s="15" t="s">
        <v>28</v>
      </c>
      <c r="S51" s="15" t="s">
        <v>28</v>
      </c>
      <c r="T51" s="15" t="s">
        <v>28</v>
      </c>
      <c r="U51" s="15" t="s">
        <v>28</v>
      </c>
      <c r="V51" s="15" t="s">
        <v>50</v>
      </c>
      <c r="W51" s="15" t="s">
        <v>50</v>
      </c>
      <c r="X51" s="15" t="s">
        <v>50</v>
      </c>
      <c r="Y51" s="15" t="s">
        <v>28</v>
      </c>
    </row>
    <row r="52" ht="56.25" customHeight="1">
      <c r="A52" s="23" t="s">
        <v>4887</v>
      </c>
      <c r="B52" s="15" t="str">
        <f>IMAGE("https://i.imgur.com/J4lvhxL.png")</f>
        <v/>
      </c>
      <c r="C52" s="15" t="str">
        <f>IMAGE("https://i.imgur.com/L3o3RTf.png")</f>
        <v/>
      </c>
      <c r="D52" s="15">
        <v>606.0</v>
      </c>
      <c r="E52" s="15" t="s">
        <v>99</v>
      </c>
      <c r="F52" s="15" t="s">
        <v>82</v>
      </c>
      <c r="G52" s="15">
        <v>73.0</v>
      </c>
      <c r="H52" s="13">
        <v>130.0</v>
      </c>
      <c r="I52" s="79" t="s">
        <v>4642</v>
      </c>
      <c r="J52" s="80" t="s">
        <v>4605</v>
      </c>
      <c r="K52" s="81" t="s">
        <v>4631</v>
      </c>
      <c r="L52" s="82">
        <v>0.7083333333333334</v>
      </c>
      <c r="M52" s="82">
        <v>0.16666666666666666</v>
      </c>
      <c r="N52" s="15" t="s">
        <v>28</v>
      </c>
      <c r="O52" s="15" t="s">
        <v>28</v>
      </c>
      <c r="P52" s="15" t="s">
        <v>28</v>
      </c>
      <c r="Q52" s="15" t="s">
        <v>28</v>
      </c>
      <c r="R52" s="15" t="s">
        <v>28</v>
      </c>
      <c r="S52" s="15" t="s">
        <v>50</v>
      </c>
      <c r="T52" s="15" t="s">
        <v>50</v>
      </c>
      <c r="U52" s="15" t="s">
        <v>50</v>
      </c>
      <c r="V52" s="15" t="s">
        <v>50</v>
      </c>
      <c r="W52" s="15" t="s">
        <v>28</v>
      </c>
      <c r="X52" s="15" t="s">
        <v>28</v>
      </c>
      <c r="Y52" s="15" t="s">
        <v>28</v>
      </c>
    </row>
    <row r="53" ht="56.25" customHeight="1">
      <c r="A53" s="23" t="s">
        <v>4892</v>
      </c>
      <c r="B53" s="15" t="str">
        <f>IMAGE("https://i.imgur.com/sptQCBI.png")</f>
        <v/>
      </c>
      <c r="C53" s="15" t="str">
        <f>IMAGE("https://i.imgur.com/dF72Fzr.png")</f>
        <v/>
      </c>
      <c r="D53" s="15">
        <v>592.0</v>
      </c>
      <c r="E53" s="15" t="s">
        <v>1608</v>
      </c>
      <c r="F53" s="15" t="s">
        <v>211</v>
      </c>
      <c r="G53" s="15">
        <v>13.0</v>
      </c>
      <c r="H53" s="13">
        <v>130.0</v>
      </c>
      <c r="I53" s="80" t="s">
        <v>4895</v>
      </c>
      <c r="J53" s="80" t="s">
        <v>4605</v>
      </c>
      <c r="K53" s="81" t="s">
        <v>4631</v>
      </c>
      <c r="L53" s="82">
        <v>0.7916666666666666</v>
      </c>
      <c r="M53" s="82">
        <v>0.16666666666666666</v>
      </c>
      <c r="N53" s="15" t="s">
        <v>50</v>
      </c>
      <c r="O53" s="15" t="s">
        <v>50</v>
      </c>
      <c r="P53" s="15" t="s">
        <v>50</v>
      </c>
      <c r="Q53" s="15" t="s">
        <v>50</v>
      </c>
      <c r="R53" s="15" t="s">
        <v>50</v>
      </c>
      <c r="S53" s="15" t="s">
        <v>50</v>
      </c>
      <c r="T53" s="15" t="s">
        <v>50</v>
      </c>
      <c r="U53" s="15" t="s">
        <v>50</v>
      </c>
      <c r="V53" s="15" t="s">
        <v>50</v>
      </c>
      <c r="W53" s="15" t="s">
        <v>50</v>
      </c>
      <c r="X53" s="15" t="s">
        <v>50</v>
      </c>
      <c r="Y53" s="15" t="s">
        <v>50</v>
      </c>
    </row>
    <row r="54" ht="56.25" customHeight="1">
      <c r="A54" s="23" t="s">
        <v>4899</v>
      </c>
      <c r="B54" s="15" t="str">
        <f>IMAGE("https://i.imgur.com/UAxmr7Y.png")</f>
        <v/>
      </c>
      <c r="C54" s="15" t="str">
        <f>IMAGE("https://i.imgur.com/XZcj99n.png")</f>
        <v/>
      </c>
      <c r="D54" s="15">
        <v>598.0</v>
      </c>
      <c r="E54" s="15" t="s">
        <v>82</v>
      </c>
      <c r="F54" s="15" t="s">
        <v>107</v>
      </c>
      <c r="G54" s="15">
        <v>23.0</v>
      </c>
      <c r="H54" s="13">
        <v>2400.0</v>
      </c>
      <c r="I54" s="79" t="s">
        <v>4901</v>
      </c>
      <c r="J54" s="80" t="s">
        <v>4605</v>
      </c>
      <c r="K54" s="81" t="s">
        <v>4610</v>
      </c>
      <c r="L54" s="82">
        <v>0.3333333333333333</v>
      </c>
      <c r="M54" s="82">
        <v>0.7083333333333334</v>
      </c>
      <c r="N54" s="15" t="s">
        <v>28</v>
      </c>
      <c r="O54" s="15" t="s">
        <v>28</v>
      </c>
      <c r="P54" s="15" t="s">
        <v>50</v>
      </c>
      <c r="Q54" s="15" t="s">
        <v>50</v>
      </c>
      <c r="R54" s="15" t="s">
        <v>50</v>
      </c>
      <c r="S54" s="15" t="s">
        <v>50</v>
      </c>
      <c r="T54" s="15" t="s">
        <v>50</v>
      </c>
      <c r="U54" s="15" t="s">
        <v>50</v>
      </c>
      <c r="V54" s="15" t="s">
        <v>50</v>
      </c>
      <c r="W54" s="15" t="s">
        <v>50</v>
      </c>
      <c r="X54" s="15" t="s">
        <v>50</v>
      </c>
      <c r="Y54" s="15" t="s">
        <v>28</v>
      </c>
    </row>
    <row r="55" ht="56.25" customHeight="1">
      <c r="A55" s="23" t="s">
        <v>4904</v>
      </c>
      <c r="B55" s="15" t="str">
        <f>IMAGE("https://i.imgur.com/mhmn4jm.png")</f>
        <v/>
      </c>
      <c r="C55" s="15" t="str">
        <f>IMAGE("https://i.imgur.com/KvxMUDW.png")</f>
        <v/>
      </c>
      <c r="D55" s="15">
        <v>3478.0</v>
      </c>
      <c r="E55" s="15" t="s">
        <v>82</v>
      </c>
      <c r="F55" s="15" t="s">
        <v>211</v>
      </c>
      <c r="G55" s="15">
        <v>6.0</v>
      </c>
      <c r="H55" s="13">
        <v>1000.0</v>
      </c>
      <c r="I55" s="79" t="s">
        <v>4602</v>
      </c>
      <c r="J55" s="80" t="s">
        <v>4605</v>
      </c>
      <c r="K55" s="81" t="s">
        <v>4631</v>
      </c>
      <c r="L55" s="82">
        <v>0.3333333333333333</v>
      </c>
      <c r="M55" s="82">
        <v>0.7916666666666666</v>
      </c>
      <c r="N55" s="15" t="s">
        <v>50</v>
      </c>
      <c r="O55" s="15" t="s">
        <v>50</v>
      </c>
      <c r="P55" s="15" t="s">
        <v>50</v>
      </c>
      <c r="Q55" s="15" t="s">
        <v>50</v>
      </c>
      <c r="R55" s="15" t="s">
        <v>50</v>
      </c>
      <c r="S55" s="15" t="s">
        <v>50</v>
      </c>
      <c r="T55" s="15" t="s">
        <v>50</v>
      </c>
      <c r="U55" s="15" t="s">
        <v>50</v>
      </c>
      <c r="V55" s="15" t="s">
        <v>50</v>
      </c>
      <c r="W55" s="15" t="s">
        <v>50</v>
      </c>
      <c r="X55" s="15" t="s">
        <v>50</v>
      </c>
      <c r="Y55" s="15" t="s">
        <v>50</v>
      </c>
    </row>
    <row r="56" ht="56.25" customHeight="1">
      <c r="A56" s="23" t="s">
        <v>4909</v>
      </c>
      <c r="B56" s="15" t="str">
        <f>IMAGE("https://i.imgur.com/rP4Gxz9.png")</f>
        <v/>
      </c>
      <c r="C56" s="15" t="str">
        <f>IMAGE("https://i.imgur.com/UJ5uPO3.png")</f>
        <v/>
      </c>
      <c r="D56" s="15">
        <v>610.0</v>
      </c>
      <c r="E56" s="15" t="s">
        <v>369</v>
      </c>
      <c r="F56" s="15" t="s">
        <v>112</v>
      </c>
      <c r="G56" s="15">
        <v>4.0</v>
      </c>
      <c r="H56" s="13">
        <v>2500.0</v>
      </c>
      <c r="I56" s="79" t="s">
        <v>4911</v>
      </c>
      <c r="J56" s="80" t="s">
        <v>4605</v>
      </c>
      <c r="K56" s="81" t="s">
        <v>4610</v>
      </c>
      <c r="L56" s="82">
        <v>0.16666666666666666</v>
      </c>
      <c r="M56" s="82">
        <v>0.7916666666666666</v>
      </c>
      <c r="N56" s="15" t="s">
        <v>28</v>
      </c>
      <c r="O56" s="15" t="s">
        <v>28</v>
      </c>
      <c r="P56" s="15" t="s">
        <v>50</v>
      </c>
      <c r="Q56" s="15" t="s">
        <v>50</v>
      </c>
      <c r="R56" s="15" t="s">
        <v>50</v>
      </c>
      <c r="S56" s="15" t="s">
        <v>50</v>
      </c>
      <c r="T56" s="15" t="s">
        <v>28</v>
      </c>
      <c r="U56" s="15" t="s">
        <v>28</v>
      </c>
      <c r="V56" s="15" t="s">
        <v>28</v>
      </c>
      <c r="W56" s="15" t="s">
        <v>28</v>
      </c>
      <c r="X56" s="15" t="s">
        <v>28</v>
      </c>
      <c r="Y56" s="15" t="s">
        <v>28</v>
      </c>
    </row>
    <row r="57" ht="56.25" customHeight="1">
      <c r="A57" s="23" t="s">
        <v>4912</v>
      </c>
      <c r="B57" s="15" t="str">
        <f>IMAGE("https://i.imgur.com/lRH8lWP.png")</f>
        <v/>
      </c>
      <c r="C57" s="15" t="str">
        <f>IMAGE("https://i.imgur.com/PtkSoFu.png")</f>
        <v/>
      </c>
      <c r="D57" s="15">
        <v>590.0</v>
      </c>
      <c r="E57" s="15" t="s">
        <v>99</v>
      </c>
      <c r="F57" s="15" t="s">
        <v>112</v>
      </c>
      <c r="G57" s="15">
        <v>76.0</v>
      </c>
      <c r="H57" s="13">
        <v>250.0</v>
      </c>
      <c r="I57" s="35" t="s">
        <v>4669</v>
      </c>
      <c r="J57" s="79" t="s">
        <v>4630</v>
      </c>
      <c r="K57" s="81" t="s">
        <v>4631</v>
      </c>
      <c r="L57" s="82">
        <v>0.9583333333333334</v>
      </c>
      <c r="M57" s="82">
        <v>0.6666666666666666</v>
      </c>
      <c r="N57" s="15" t="s">
        <v>50</v>
      </c>
      <c r="O57" s="15" t="s">
        <v>50</v>
      </c>
      <c r="P57" s="15" t="s">
        <v>50</v>
      </c>
      <c r="Q57" s="15" t="s">
        <v>50</v>
      </c>
      <c r="R57" s="15" t="s">
        <v>50</v>
      </c>
      <c r="S57" s="15" t="s">
        <v>50</v>
      </c>
      <c r="T57" s="15" t="s">
        <v>28</v>
      </c>
      <c r="U57" s="15" t="s">
        <v>28</v>
      </c>
      <c r="V57" s="15" t="s">
        <v>50</v>
      </c>
      <c r="W57" s="15" t="s">
        <v>50</v>
      </c>
      <c r="X57" s="15" t="s">
        <v>50</v>
      </c>
      <c r="Y57" s="15" t="s">
        <v>50</v>
      </c>
    </row>
    <row r="58" ht="56.25" customHeight="1">
      <c r="A58" s="23" t="s">
        <v>4915</v>
      </c>
      <c r="B58" s="15" t="str">
        <f>IMAGE("https://i.imgur.com/PQ8AqZK.png")</f>
        <v/>
      </c>
      <c r="C58" s="15" t="str">
        <f>IMAGE("https://i.imgur.com/3ICDyZD.png")</f>
        <v/>
      </c>
      <c r="D58" s="15">
        <v>587.0</v>
      </c>
      <c r="E58" s="15" t="s">
        <v>99</v>
      </c>
      <c r="F58" s="15" t="s">
        <v>112</v>
      </c>
      <c r="G58" s="15">
        <v>38.0</v>
      </c>
      <c r="H58" s="13">
        <v>130.0</v>
      </c>
      <c r="I58" s="79" t="s">
        <v>4711</v>
      </c>
      <c r="J58" s="79" t="s">
        <v>4630</v>
      </c>
      <c r="K58" s="81" t="s">
        <v>4631</v>
      </c>
      <c r="L58" s="82">
        <v>0.3333333333333333</v>
      </c>
      <c r="M58" s="82">
        <v>0.7916666666666666</v>
      </c>
      <c r="N58" s="15" t="s">
        <v>28</v>
      </c>
      <c r="O58" s="15" t="s">
        <v>28</v>
      </c>
      <c r="P58" s="15" t="s">
        <v>28</v>
      </c>
      <c r="Q58" s="15" t="s">
        <v>28</v>
      </c>
      <c r="R58" s="15" t="s">
        <v>50</v>
      </c>
      <c r="S58" s="15" t="s">
        <v>50</v>
      </c>
      <c r="T58" s="15" t="s">
        <v>50</v>
      </c>
      <c r="U58" s="15" t="s">
        <v>50</v>
      </c>
      <c r="V58" s="15" t="s">
        <v>50</v>
      </c>
      <c r="W58" s="15" t="s">
        <v>28</v>
      </c>
      <c r="X58" s="15" t="s">
        <v>28</v>
      </c>
      <c r="Y58" s="15" t="s">
        <v>28</v>
      </c>
    </row>
    <row r="59" ht="56.25" customHeight="1">
      <c r="A59" s="37" t="s">
        <v>4923</v>
      </c>
      <c r="B59" s="15" t="str">
        <f>IMAGE("https://i.imgur.com/O9sWl5a.png")</f>
        <v/>
      </c>
      <c r="C59" s="15" t="str">
        <f>IMAGE("https://i.imgur.com/uXDJxpf.png")</f>
        <v/>
      </c>
      <c r="D59" s="15">
        <v>586.0</v>
      </c>
      <c r="E59" s="15" t="s">
        <v>369</v>
      </c>
      <c r="F59" s="15" t="s">
        <v>107</v>
      </c>
      <c r="G59" s="15">
        <v>12.0</v>
      </c>
      <c r="H59" s="13">
        <v>4000.0</v>
      </c>
      <c r="I59" s="79" t="s">
        <v>4602</v>
      </c>
      <c r="J59" s="80" t="s">
        <v>4605</v>
      </c>
      <c r="K59" s="81" t="s">
        <v>4643</v>
      </c>
      <c r="L59" s="82">
        <v>0.3333333333333333</v>
      </c>
      <c r="M59" s="82">
        <v>0.6666666666666666</v>
      </c>
      <c r="N59" s="15" t="s">
        <v>28</v>
      </c>
      <c r="O59" s="15" t="s">
        <v>28</v>
      </c>
      <c r="P59" s="15" t="s">
        <v>28</v>
      </c>
      <c r="Q59" s="15" t="s">
        <v>28</v>
      </c>
      <c r="R59" s="25" t="s">
        <v>50</v>
      </c>
      <c r="S59" s="25" t="s">
        <v>50</v>
      </c>
      <c r="T59" s="25" t="s">
        <v>50</v>
      </c>
      <c r="U59" s="25" t="s">
        <v>50</v>
      </c>
      <c r="V59" s="25" t="s">
        <v>50</v>
      </c>
      <c r="W59" s="15" t="s">
        <v>28</v>
      </c>
      <c r="X59" s="15" t="s">
        <v>28</v>
      </c>
      <c r="Y59" s="15" t="s">
        <v>28</v>
      </c>
    </row>
    <row r="60" ht="56.25" customHeight="1">
      <c r="A60" s="23" t="s">
        <v>4927</v>
      </c>
      <c r="B60" s="15" t="str">
        <f>IMAGE("https://i.imgur.com/Oy2jRhE.png")</f>
        <v/>
      </c>
      <c r="C60" s="15" t="str">
        <f>IMAGE("https://i.imgur.com/UVQ5pm1.png")</f>
        <v/>
      </c>
      <c r="D60" s="15">
        <v>631.0</v>
      </c>
      <c r="E60" s="15" t="s">
        <v>118</v>
      </c>
      <c r="F60" s="15" t="s">
        <v>99</v>
      </c>
      <c r="G60" s="15">
        <v>58.0</v>
      </c>
      <c r="H60" s="13">
        <v>6000.0</v>
      </c>
      <c r="I60" s="79" t="s">
        <v>4635</v>
      </c>
      <c r="J60" s="79" t="s">
        <v>4630</v>
      </c>
      <c r="K60" s="81" t="s">
        <v>4643</v>
      </c>
      <c r="L60" s="82">
        <v>0.7916666666666666</v>
      </c>
      <c r="M60" s="82">
        <v>0.3333333333333333</v>
      </c>
      <c r="N60" s="15" t="s">
        <v>28</v>
      </c>
      <c r="O60" s="15" t="s">
        <v>28</v>
      </c>
      <c r="P60" s="15" t="s">
        <v>28</v>
      </c>
      <c r="Q60" s="15" t="s">
        <v>28</v>
      </c>
      <c r="R60" s="15" t="s">
        <v>28</v>
      </c>
      <c r="S60" s="15" t="s">
        <v>50</v>
      </c>
      <c r="T60" s="15" t="s">
        <v>50</v>
      </c>
      <c r="U60" s="15" t="s">
        <v>50</v>
      </c>
      <c r="V60" s="15" t="s">
        <v>50</v>
      </c>
      <c r="W60" s="15" t="s">
        <v>28</v>
      </c>
      <c r="X60" s="15" t="s">
        <v>28</v>
      </c>
      <c r="Y60" s="15" t="s">
        <v>28</v>
      </c>
    </row>
    <row r="61" ht="56.25" customHeight="1">
      <c r="A61" s="37" t="s">
        <v>4929</v>
      </c>
      <c r="B61" s="15" t="str">
        <f>IMAGE("https://i.imgur.com/CGHO2UJ.png")</f>
        <v/>
      </c>
      <c r="C61" s="15" t="str">
        <f>IMAGE("https://i.imgur.com/we2Z6pt.png")</f>
        <v/>
      </c>
      <c r="D61" s="15">
        <v>584.0</v>
      </c>
      <c r="E61" s="15" t="s">
        <v>369</v>
      </c>
      <c r="F61" s="15" t="s">
        <v>107</v>
      </c>
      <c r="G61" s="15">
        <v>11.0</v>
      </c>
      <c r="H61" s="24">
        <v>2500.0</v>
      </c>
      <c r="I61" s="79" t="s">
        <v>4602</v>
      </c>
      <c r="J61" s="80" t="s">
        <v>4605</v>
      </c>
      <c r="K61" s="81" t="s">
        <v>4610</v>
      </c>
      <c r="L61" s="82">
        <v>0.3333333333333333</v>
      </c>
      <c r="M61" s="82">
        <v>0.7083333333333334</v>
      </c>
      <c r="N61" s="15" t="s">
        <v>50</v>
      </c>
      <c r="O61" s="15" t="s">
        <v>50</v>
      </c>
      <c r="P61" s="15" t="s">
        <v>28</v>
      </c>
      <c r="Q61" s="15" t="s">
        <v>50</v>
      </c>
      <c r="R61" s="15" t="s">
        <v>50</v>
      </c>
      <c r="S61" s="15" t="s">
        <v>50</v>
      </c>
      <c r="T61" s="15" t="s">
        <v>50</v>
      </c>
      <c r="U61" s="15" t="s">
        <v>50</v>
      </c>
      <c r="V61" s="15" t="s">
        <v>50</v>
      </c>
      <c r="W61" s="15" t="s">
        <v>28</v>
      </c>
      <c r="X61" s="15" t="s">
        <v>28</v>
      </c>
      <c r="Y61" s="15" t="s">
        <v>50</v>
      </c>
    </row>
    <row r="62" ht="56.25" customHeight="1">
      <c r="A62" s="23" t="s">
        <v>4933</v>
      </c>
      <c r="B62" s="15" t="str">
        <f>IMAGE("https://i.imgur.com/hACPjv7.png")</f>
        <v/>
      </c>
      <c r="C62" s="15" t="str">
        <f>IMAGE("https://i.imgur.com/PzW8frD.png")</f>
        <v/>
      </c>
      <c r="D62" s="15">
        <v>585.0</v>
      </c>
      <c r="E62" s="15" t="s">
        <v>208</v>
      </c>
      <c r="F62" s="15" t="s">
        <v>521</v>
      </c>
      <c r="G62" s="15">
        <v>32.0</v>
      </c>
      <c r="H62" s="13">
        <v>180.0</v>
      </c>
      <c r="I62" s="79" t="s">
        <v>4642</v>
      </c>
      <c r="J62" s="80" t="s">
        <v>4605</v>
      </c>
      <c r="K62" s="81" t="s">
        <v>4631</v>
      </c>
      <c r="L62" s="82">
        <v>0.3333333333333333</v>
      </c>
      <c r="M62" s="82">
        <v>0.7916666666666666</v>
      </c>
      <c r="N62" s="15" t="s">
        <v>28</v>
      </c>
      <c r="O62" s="15" t="s">
        <v>28</v>
      </c>
      <c r="P62" s="15" t="s">
        <v>28</v>
      </c>
      <c r="Q62" s="15" t="s">
        <v>28</v>
      </c>
      <c r="R62" s="15" t="s">
        <v>28</v>
      </c>
      <c r="S62" s="15" t="s">
        <v>28</v>
      </c>
      <c r="T62" s="15" t="s">
        <v>28</v>
      </c>
      <c r="U62" s="15" t="s">
        <v>28</v>
      </c>
      <c r="V62" s="15" t="s">
        <v>50</v>
      </c>
      <c r="W62" s="15" t="s">
        <v>50</v>
      </c>
      <c r="X62" s="15" t="s">
        <v>28</v>
      </c>
      <c r="Y62" s="15" t="s">
        <v>28</v>
      </c>
    </row>
    <row r="63" ht="56.25" customHeight="1">
      <c r="A63" s="23" t="s">
        <v>4940</v>
      </c>
      <c r="B63" s="15" t="str">
        <f>IMAGE("https://i.imgur.com/FGzyLfj.png")</f>
        <v/>
      </c>
      <c r="C63" s="15" t="str">
        <f>IMAGE("https://i.imgur.com/3UZ2dhS.png")</f>
        <v/>
      </c>
      <c r="D63" s="15">
        <v>605.0</v>
      </c>
      <c r="E63" s="15" t="s">
        <v>369</v>
      </c>
      <c r="F63" s="15" t="s">
        <v>211</v>
      </c>
      <c r="G63" s="15">
        <v>18.0</v>
      </c>
      <c r="H63" s="13">
        <v>400.0</v>
      </c>
      <c r="I63" s="79" t="s">
        <v>4649</v>
      </c>
      <c r="J63" s="79" t="s">
        <v>4630</v>
      </c>
      <c r="K63" s="81" t="s">
        <v>4631</v>
      </c>
      <c r="L63" s="82">
        <v>0.3333333333333333</v>
      </c>
      <c r="M63" s="82">
        <v>0.7916666666666666</v>
      </c>
      <c r="N63" s="15" t="s">
        <v>28</v>
      </c>
      <c r="O63" s="15" t="s">
        <v>28</v>
      </c>
      <c r="P63" s="15" t="s">
        <v>28</v>
      </c>
      <c r="Q63" s="15" t="s">
        <v>28</v>
      </c>
      <c r="R63" s="15" t="s">
        <v>28</v>
      </c>
      <c r="S63" s="15" t="s">
        <v>28</v>
      </c>
      <c r="T63" s="15" t="s">
        <v>28</v>
      </c>
      <c r="U63" s="15" t="s">
        <v>50</v>
      </c>
      <c r="V63" s="15" t="s">
        <v>50</v>
      </c>
      <c r="W63" s="15" t="s">
        <v>50</v>
      </c>
      <c r="X63" s="15" t="s">
        <v>50</v>
      </c>
      <c r="Y63" s="15" t="s">
        <v>28</v>
      </c>
    </row>
    <row r="64" ht="56.25" customHeight="1">
      <c r="A64" s="23" t="s">
        <v>4942</v>
      </c>
      <c r="B64" s="15" t="str">
        <f>IMAGE("https://i.imgur.com/NjsDGuP.png")</f>
        <v/>
      </c>
      <c r="C64" s="15" t="str">
        <f>IMAGE("https://i.imgur.com/x2v1wjb.png")</f>
        <v/>
      </c>
      <c r="D64" s="15">
        <v>621.0</v>
      </c>
      <c r="E64" s="15" t="s">
        <v>99</v>
      </c>
      <c r="F64" s="15" t="s">
        <v>112</v>
      </c>
      <c r="G64" s="15">
        <v>27.0</v>
      </c>
      <c r="H64" s="13">
        <v>300.0</v>
      </c>
      <c r="I64" s="79" t="s">
        <v>4658</v>
      </c>
      <c r="J64" s="79" t="s">
        <v>4630</v>
      </c>
      <c r="K64" s="81" t="s">
        <v>4631</v>
      </c>
      <c r="L64" s="82">
        <v>0.3333333333333333</v>
      </c>
      <c r="M64" s="82">
        <v>0.7083333333333334</v>
      </c>
      <c r="N64" s="15" t="s">
        <v>28</v>
      </c>
      <c r="O64" s="15" t="s">
        <v>28</v>
      </c>
      <c r="P64" s="15" t="s">
        <v>28</v>
      </c>
      <c r="Q64" s="15" t="s">
        <v>28</v>
      </c>
      <c r="R64" s="15" t="s">
        <v>28</v>
      </c>
      <c r="S64" s="15" t="s">
        <v>28</v>
      </c>
      <c r="T64" s="15" t="s">
        <v>50</v>
      </c>
      <c r="U64" s="15" t="s">
        <v>50</v>
      </c>
      <c r="V64" s="15" t="s">
        <v>28</v>
      </c>
      <c r="W64" s="15" t="s">
        <v>28</v>
      </c>
      <c r="X64" s="15" t="s">
        <v>28</v>
      </c>
      <c r="Y64" s="15" t="s">
        <v>28</v>
      </c>
    </row>
    <row r="65" ht="56.25" customHeight="1">
      <c r="A65" s="23" t="s">
        <v>4944</v>
      </c>
      <c r="B65" s="15" t="str">
        <f>IMAGE("https://i.imgur.com/l0H0xS8.png")</f>
        <v/>
      </c>
      <c r="C65" s="15" t="str">
        <f>IMAGE("https://i.imgur.com/pDbR660.png")</f>
        <v/>
      </c>
      <c r="D65" s="15">
        <v>3487.0</v>
      </c>
      <c r="E65" s="15" t="s">
        <v>112</v>
      </c>
      <c r="F65" s="15" t="s">
        <v>99</v>
      </c>
      <c r="G65" s="15">
        <v>48.0</v>
      </c>
      <c r="H65" s="13">
        <v>3000.0</v>
      </c>
      <c r="I65" s="80" t="s">
        <v>4679</v>
      </c>
      <c r="J65" s="80" t="s">
        <v>4605</v>
      </c>
      <c r="K65" s="23" t="s">
        <v>4610</v>
      </c>
      <c r="L65" s="13" t="s">
        <v>4632</v>
      </c>
      <c r="M65" s="13" t="s">
        <v>4632</v>
      </c>
      <c r="N65" s="15" t="s">
        <v>28</v>
      </c>
      <c r="O65" s="15" t="s">
        <v>28</v>
      </c>
      <c r="P65" s="15" t="s">
        <v>28</v>
      </c>
      <c r="Q65" s="15" t="s">
        <v>28</v>
      </c>
      <c r="R65" s="15" t="s">
        <v>50</v>
      </c>
      <c r="S65" s="15" t="s">
        <v>50</v>
      </c>
      <c r="T65" s="15" t="s">
        <v>50</v>
      </c>
      <c r="U65" s="15" t="s">
        <v>50</v>
      </c>
      <c r="V65" s="15" t="s">
        <v>50</v>
      </c>
      <c r="W65" s="15" t="s">
        <v>28</v>
      </c>
      <c r="X65" s="15" t="s">
        <v>28</v>
      </c>
      <c r="Y65" s="15" t="s">
        <v>28</v>
      </c>
    </row>
    <row r="66" ht="56.25" customHeight="1">
      <c r="A66" s="23" t="s">
        <v>4947</v>
      </c>
      <c r="B66" s="15" t="str">
        <f>IMAGE("https://i.imgur.com/NrHugnM.png")</f>
        <v/>
      </c>
      <c r="C66" s="15" t="str">
        <f>IMAGE("https://i.imgur.com/R6PrShO.png")</f>
        <v/>
      </c>
      <c r="D66" s="15">
        <v>632.0</v>
      </c>
      <c r="E66" s="15" t="s">
        <v>118</v>
      </c>
      <c r="F66" s="15" t="s">
        <v>99</v>
      </c>
      <c r="G66" s="15">
        <v>55.0</v>
      </c>
      <c r="H66" s="13">
        <v>2000.0</v>
      </c>
      <c r="I66" s="80" t="s">
        <v>4635</v>
      </c>
      <c r="J66" s="80" t="s">
        <v>4630</v>
      </c>
      <c r="K66" s="23" t="s">
        <v>4631</v>
      </c>
      <c r="L66" s="24" t="s">
        <v>4632</v>
      </c>
      <c r="M66" s="24" t="s">
        <v>4632</v>
      </c>
      <c r="N66" s="15" t="s">
        <v>28</v>
      </c>
      <c r="O66" s="15" t="s">
        <v>28</v>
      </c>
      <c r="P66" s="15" t="s">
        <v>28</v>
      </c>
      <c r="Q66" s="15" t="s">
        <v>28</v>
      </c>
      <c r="R66" s="15" t="s">
        <v>28</v>
      </c>
      <c r="S66" s="15" t="s">
        <v>28</v>
      </c>
      <c r="T66" s="25" t="s">
        <v>50</v>
      </c>
      <c r="U66" s="25" t="s">
        <v>50</v>
      </c>
      <c r="V66" s="15" t="s">
        <v>28</v>
      </c>
      <c r="W66" s="15" t="s">
        <v>28</v>
      </c>
      <c r="X66" s="15" t="s">
        <v>28</v>
      </c>
      <c r="Y66" s="15" t="s">
        <v>28</v>
      </c>
    </row>
    <row r="67" ht="56.25" customHeight="1">
      <c r="A67" s="23" t="s">
        <v>4949</v>
      </c>
      <c r="B67" s="15" t="str">
        <f>IMAGE("https://i.imgur.com/WRmOGCJ.png")</f>
        <v/>
      </c>
      <c r="C67" s="15" t="str">
        <f>IMAGE("https://i.imgur.com/INYPA0T.png")</f>
        <v/>
      </c>
      <c r="D67" s="15">
        <v>639.0</v>
      </c>
      <c r="E67" s="15" t="s">
        <v>99</v>
      </c>
      <c r="F67" s="15" t="s">
        <v>1608</v>
      </c>
      <c r="G67" s="15">
        <v>52.0</v>
      </c>
      <c r="H67" s="13">
        <v>10000.0</v>
      </c>
      <c r="I67" s="79" t="s">
        <v>4635</v>
      </c>
      <c r="J67" s="79" t="s">
        <v>4630</v>
      </c>
      <c r="K67" s="81" t="s">
        <v>4643</v>
      </c>
      <c r="L67" s="82">
        <v>0.9583333333333334</v>
      </c>
      <c r="M67" s="82">
        <v>0.8333333333333334</v>
      </c>
      <c r="N67" s="15" t="s">
        <v>28</v>
      </c>
      <c r="O67" s="15" t="s">
        <v>28</v>
      </c>
      <c r="P67" s="15" t="s">
        <v>28</v>
      </c>
      <c r="Q67" s="15" t="s">
        <v>28</v>
      </c>
      <c r="R67" s="15" t="s">
        <v>28</v>
      </c>
      <c r="S67" s="15" t="s">
        <v>28</v>
      </c>
      <c r="T67" s="15" t="s">
        <v>50</v>
      </c>
      <c r="U67" s="15" t="s">
        <v>50</v>
      </c>
      <c r="V67" s="15" t="s">
        <v>28</v>
      </c>
      <c r="W67" s="15" t="s">
        <v>28</v>
      </c>
      <c r="X67" s="15" t="s">
        <v>28</v>
      </c>
      <c r="Y67" s="15" t="s">
        <v>28</v>
      </c>
    </row>
    <row r="68" ht="56.25" customHeight="1">
      <c r="A68" s="23" t="s">
        <v>4953</v>
      </c>
      <c r="B68" s="15" t="str">
        <f>IMAGE("https://i.imgur.com/xkNxv3f.png")</f>
        <v/>
      </c>
      <c r="C68" s="15" t="str">
        <f>IMAGE("https://i.imgur.com/raLYqUR.png")</f>
        <v/>
      </c>
      <c r="D68" s="15">
        <v>640.0</v>
      </c>
      <c r="E68" s="15" t="s">
        <v>99</v>
      </c>
      <c r="F68" s="15" t="s">
        <v>99</v>
      </c>
      <c r="G68" s="15">
        <v>80.0</v>
      </c>
      <c r="H68" s="13">
        <v>8000.0</v>
      </c>
      <c r="I68" s="79" t="s">
        <v>4649</v>
      </c>
      <c r="J68" s="79" t="s">
        <v>4630</v>
      </c>
      <c r="K68" s="81" t="s">
        <v>4631</v>
      </c>
      <c r="L68" s="82">
        <v>0.7916666666666666</v>
      </c>
      <c r="M68" s="82">
        <v>0.16666666666666666</v>
      </c>
      <c r="N68" s="15" t="s">
        <v>28</v>
      </c>
      <c r="O68" s="15" t="s">
        <v>28</v>
      </c>
      <c r="P68" s="15" t="s">
        <v>28</v>
      </c>
      <c r="Q68" s="15" t="s">
        <v>28</v>
      </c>
      <c r="R68" s="15" t="s">
        <v>50</v>
      </c>
      <c r="S68" s="15" t="s">
        <v>50</v>
      </c>
      <c r="T68" s="15" t="s">
        <v>50</v>
      </c>
      <c r="U68" s="15" t="s">
        <v>50</v>
      </c>
      <c r="V68" s="15" t="s">
        <v>50</v>
      </c>
      <c r="W68" s="15" t="s">
        <v>50</v>
      </c>
      <c r="X68" s="15" t="s">
        <v>28</v>
      </c>
      <c r="Y68" s="15" t="s">
        <v>28</v>
      </c>
    </row>
    <row r="69" ht="56.25" customHeight="1">
      <c r="A69" s="23" t="s">
        <v>4957</v>
      </c>
      <c r="B69" s="15" t="str">
        <f>IMAGE("https://i.imgur.com/CcYFhd2.png")</f>
        <v/>
      </c>
      <c r="C69" s="15" t="str">
        <f>IMAGE("https://i.imgur.com/uNRwciB.png")</f>
        <v/>
      </c>
      <c r="D69" s="15">
        <v>611.0</v>
      </c>
      <c r="E69" s="15" t="s">
        <v>1608</v>
      </c>
      <c r="F69" s="15" t="s">
        <v>369</v>
      </c>
      <c r="G69" s="15">
        <v>75.0</v>
      </c>
      <c r="H69" s="13">
        <v>250.0</v>
      </c>
      <c r="I69" s="80" t="s">
        <v>4958</v>
      </c>
      <c r="J69" s="80" t="s">
        <v>4959</v>
      </c>
      <c r="K69" s="23" t="s">
        <v>4631</v>
      </c>
      <c r="L69" s="13" t="s">
        <v>4632</v>
      </c>
      <c r="M69" s="13" t="s">
        <v>4632</v>
      </c>
      <c r="N69" s="15" t="s">
        <v>50</v>
      </c>
      <c r="O69" s="15" t="s">
        <v>50</v>
      </c>
      <c r="P69" s="15" t="s">
        <v>50</v>
      </c>
      <c r="Q69" s="15" t="s">
        <v>50</v>
      </c>
      <c r="R69" s="15" t="s">
        <v>50</v>
      </c>
      <c r="S69" s="15" t="s">
        <v>50</v>
      </c>
      <c r="T69" s="15" t="s">
        <v>50</v>
      </c>
      <c r="U69" s="15" t="s">
        <v>50</v>
      </c>
      <c r="V69" s="15" t="s">
        <v>50</v>
      </c>
      <c r="W69" s="15" t="s">
        <v>50</v>
      </c>
      <c r="X69" s="15" t="s">
        <v>50</v>
      </c>
      <c r="Y69" s="15" t="s">
        <v>50</v>
      </c>
    </row>
    <row r="70" ht="56.25" customHeight="1">
      <c r="A70" s="23" t="s">
        <v>4961</v>
      </c>
      <c r="B70" s="15" t="str">
        <f>IMAGE("https://i.imgur.com/VgTT2A1.png")</f>
        <v/>
      </c>
      <c r="C70" s="15" t="str">
        <f>IMAGE("https://i.imgur.com/43MnaqA.png")</f>
        <v/>
      </c>
      <c r="D70" s="15">
        <v>619.0</v>
      </c>
      <c r="E70" s="15" t="s">
        <v>211</v>
      </c>
      <c r="F70" s="15" t="s">
        <v>521</v>
      </c>
      <c r="G70" s="15">
        <v>78.0</v>
      </c>
      <c r="H70" s="13">
        <v>600.0</v>
      </c>
      <c r="I70" s="80" t="s">
        <v>4638</v>
      </c>
      <c r="J70" s="79" t="s">
        <v>4630</v>
      </c>
      <c r="K70" s="81" t="s">
        <v>4631</v>
      </c>
      <c r="L70" s="82">
        <v>0.7916666666666666</v>
      </c>
      <c r="M70" s="82">
        <v>0.3333333333333333</v>
      </c>
      <c r="N70" s="15" t="s">
        <v>50</v>
      </c>
      <c r="O70" s="15" t="s">
        <v>50</v>
      </c>
      <c r="P70" s="15" t="s">
        <v>50</v>
      </c>
      <c r="Q70" s="15" t="s">
        <v>50</v>
      </c>
      <c r="R70" s="15" t="s">
        <v>50</v>
      </c>
      <c r="S70" s="15" t="s">
        <v>50</v>
      </c>
      <c r="T70" s="15" t="s">
        <v>50</v>
      </c>
      <c r="U70" s="15" t="s">
        <v>50</v>
      </c>
      <c r="V70" s="15" t="s">
        <v>50</v>
      </c>
      <c r="W70" s="15" t="s">
        <v>50</v>
      </c>
      <c r="X70" s="15" t="s">
        <v>50</v>
      </c>
      <c r="Y70" s="15" t="s">
        <v>50</v>
      </c>
    </row>
    <row r="71" ht="56.25" customHeight="1">
      <c r="A71" s="23" t="s">
        <v>4963</v>
      </c>
      <c r="B71" s="15" t="str">
        <f>IMAGE("https://i.imgur.com/S6ywsm0.png")</f>
        <v/>
      </c>
      <c r="C71" s="15" t="str">
        <f>IMAGE("https://i.imgur.com/loGXbgv.png")</f>
        <v/>
      </c>
      <c r="D71" s="15">
        <v>608.0</v>
      </c>
      <c r="E71" s="15" t="s">
        <v>369</v>
      </c>
      <c r="F71" s="15" t="s">
        <v>211</v>
      </c>
      <c r="G71" s="15">
        <v>41.0</v>
      </c>
      <c r="H71" s="13">
        <v>120.0</v>
      </c>
      <c r="I71" s="80" t="s">
        <v>4848</v>
      </c>
      <c r="J71" s="80" t="s">
        <v>4605</v>
      </c>
      <c r="K71" s="23" t="s">
        <v>4631</v>
      </c>
      <c r="L71" s="13" t="s">
        <v>4632</v>
      </c>
      <c r="M71" s="13" t="s">
        <v>4632</v>
      </c>
      <c r="N71" s="15" t="s">
        <v>28</v>
      </c>
      <c r="O71" s="15" t="s">
        <v>28</v>
      </c>
      <c r="P71" s="15" t="s">
        <v>50</v>
      </c>
      <c r="Q71" s="15" t="s">
        <v>50</v>
      </c>
      <c r="R71" s="15" t="s">
        <v>50</v>
      </c>
      <c r="S71" s="15" t="s">
        <v>50</v>
      </c>
      <c r="T71" s="15" t="s">
        <v>50</v>
      </c>
      <c r="U71" s="15" t="s">
        <v>50</v>
      </c>
      <c r="V71" s="15" t="s">
        <v>50</v>
      </c>
      <c r="W71" s="15" t="s">
        <v>50</v>
      </c>
      <c r="X71" s="15" t="s">
        <v>28</v>
      </c>
      <c r="Y71" s="15" t="s">
        <v>28</v>
      </c>
    </row>
    <row r="72" ht="56.25" customHeight="1">
      <c r="A72" s="23" t="s">
        <v>4965</v>
      </c>
      <c r="B72" s="15" t="str">
        <f>IMAGE("https://i.imgur.com/QJo1pn8.png")</f>
        <v/>
      </c>
      <c r="C72" s="15" t="str">
        <f>IMAGE("https://i.imgur.com/nhENzuu.png")</f>
        <v/>
      </c>
      <c r="D72" s="15">
        <v>646.0</v>
      </c>
      <c r="E72" s="15" t="s">
        <v>118</v>
      </c>
      <c r="F72" s="15" t="s">
        <v>99</v>
      </c>
      <c r="G72" s="15">
        <v>79.0</v>
      </c>
      <c r="H72" s="13">
        <v>8000.0</v>
      </c>
      <c r="I72" s="79" t="s">
        <v>4649</v>
      </c>
      <c r="J72" s="79" t="s">
        <v>4630</v>
      </c>
      <c r="K72" s="81" t="s">
        <v>4631</v>
      </c>
      <c r="L72" s="82">
        <v>0.7916666666666666</v>
      </c>
      <c r="M72" s="82">
        <v>0.16666666666666666</v>
      </c>
      <c r="N72" s="15" t="s">
        <v>50</v>
      </c>
      <c r="O72" s="15" t="s">
        <v>50</v>
      </c>
      <c r="P72" s="15" t="s">
        <v>50</v>
      </c>
      <c r="Q72" s="15" t="s">
        <v>50</v>
      </c>
      <c r="R72" s="15" t="s">
        <v>28</v>
      </c>
      <c r="S72" s="15" t="s">
        <v>28</v>
      </c>
      <c r="T72" s="15" t="s">
        <v>28</v>
      </c>
      <c r="U72" s="15" t="s">
        <v>28</v>
      </c>
      <c r="V72" s="15" t="s">
        <v>28</v>
      </c>
      <c r="W72" s="15" t="s">
        <v>28</v>
      </c>
      <c r="X72" s="15" t="s">
        <v>50</v>
      </c>
      <c r="Y72" s="15" t="s">
        <v>50</v>
      </c>
    </row>
    <row r="73" ht="56.25" customHeight="1">
      <c r="A73" s="23" t="s">
        <v>4968</v>
      </c>
      <c r="B73" s="15" t="str">
        <f>IMAGE("https://i.imgur.com/xyimMAp.png")</f>
        <v/>
      </c>
      <c r="C73" s="15" t="str">
        <f>IMAGE("https://i.imgur.com/fmyMi8H.png")</f>
        <v/>
      </c>
      <c r="D73" s="15">
        <v>599.0</v>
      </c>
      <c r="E73" s="15" t="s">
        <v>369</v>
      </c>
      <c r="F73" s="15" t="s">
        <v>211</v>
      </c>
      <c r="G73" s="15">
        <v>44.0</v>
      </c>
      <c r="H73" s="13">
        <v>1500.0</v>
      </c>
      <c r="I73" s="80" t="s">
        <v>4649</v>
      </c>
      <c r="J73" s="80" t="s">
        <v>4605</v>
      </c>
      <c r="K73" s="23" t="s">
        <v>4610</v>
      </c>
      <c r="L73" s="13" t="s">
        <v>4632</v>
      </c>
      <c r="M73" s="13" t="s">
        <v>4632</v>
      </c>
      <c r="N73" s="15" t="s">
        <v>28</v>
      </c>
      <c r="O73" s="15" t="s">
        <v>50</v>
      </c>
      <c r="P73" s="15" t="s">
        <v>50</v>
      </c>
      <c r="Q73" s="15" t="s">
        <v>50</v>
      </c>
      <c r="R73" s="15" t="s">
        <v>50</v>
      </c>
      <c r="S73" s="15" t="s">
        <v>50</v>
      </c>
      <c r="T73" s="15" t="s">
        <v>50</v>
      </c>
      <c r="U73" s="15" t="s">
        <v>50</v>
      </c>
      <c r="V73" s="15" t="s">
        <v>50</v>
      </c>
      <c r="W73" s="15" t="s">
        <v>50</v>
      </c>
      <c r="X73" s="15" t="s">
        <v>28</v>
      </c>
      <c r="Y73" s="15" t="s">
        <v>28</v>
      </c>
    </row>
    <row r="74" ht="56.25" customHeight="1">
      <c r="A74" s="23" t="s">
        <v>4972</v>
      </c>
      <c r="B74" s="15" t="str">
        <f>IMAGE("https://i.imgur.com/ueqMyVH.png")</f>
        <v/>
      </c>
      <c r="C74" s="15" t="str">
        <f>IMAGE("https://i.imgur.com/GbaPYvM.png")</f>
        <v/>
      </c>
      <c r="D74" s="15">
        <v>583.0</v>
      </c>
      <c r="E74" s="15" t="s">
        <v>211</v>
      </c>
      <c r="F74" s="15" t="s">
        <v>369</v>
      </c>
      <c r="G74" s="15">
        <v>3.0</v>
      </c>
      <c r="H74" s="13">
        <v>240.0</v>
      </c>
      <c r="I74" s="79" t="s">
        <v>4602</v>
      </c>
      <c r="J74" s="80" t="s">
        <v>4605</v>
      </c>
      <c r="K74" s="81" t="s">
        <v>4631</v>
      </c>
      <c r="L74" s="82">
        <v>0.16666666666666666</v>
      </c>
      <c r="M74" s="82">
        <v>0.7916666666666666</v>
      </c>
      <c r="N74" s="15" t="s">
        <v>28</v>
      </c>
      <c r="O74" s="15" t="s">
        <v>28</v>
      </c>
      <c r="P74" s="15" t="s">
        <v>50</v>
      </c>
      <c r="Q74" s="15" t="s">
        <v>50</v>
      </c>
      <c r="R74" s="15" t="s">
        <v>50</v>
      </c>
      <c r="S74" s="15" t="s">
        <v>50</v>
      </c>
      <c r="T74" s="15" t="s">
        <v>50</v>
      </c>
      <c r="U74" s="15" t="s">
        <v>50</v>
      </c>
      <c r="V74" s="15" t="s">
        <v>50</v>
      </c>
      <c r="W74" s="15" t="s">
        <v>28</v>
      </c>
      <c r="X74" s="15" t="s">
        <v>28</v>
      </c>
      <c r="Y74" s="15" t="s">
        <v>28</v>
      </c>
    </row>
    <row r="75" ht="56.25" customHeight="1">
      <c r="A75" s="23" t="s">
        <v>4975</v>
      </c>
      <c r="B75" s="15" t="str">
        <f>IMAGE("https://i.imgur.com/mFoOmTP.png")</f>
        <v/>
      </c>
      <c r="C75" s="15" t="str">
        <f>IMAGE("https://i.imgur.com/TSR0RIl.png")</f>
        <v/>
      </c>
      <c r="D75" s="15">
        <v>650.0</v>
      </c>
      <c r="E75" s="15" t="s">
        <v>118</v>
      </c>
      <c r="F75" s="15" t="s">
        <v>99</v>
      </c>
      <c r="G75" s="15">
        <v>46.0</v>
      </c>
      <c r="H75" s="13">
        <v>450.0</v>
      </c>
      <c r="I75" s="80" t="s">
        <v>4679</v>
      </c>
      <c r="J75" s="80" t="s">
        <v>4605</v>
      </c>
      <c r="K75" s="23" t="s">
        <v>4631</v>
      </c>
      <c r="L75" s="13" t="s">
        <v>4632</v>
      </c>
      <c r="M75" s="13" t="s">
        <v>4632</v>
      </c>
      <c r="N75" s="15" t="s">
        <v>28</v>
      </c>
      <c r="O75" s="15" t="s">
        <v>28</v>
      </c>
      <c r="P75" s="15" t="s">
        <v>28</v>
      </c>
      <c r="Q75" s="15" t="s">
        <v>28</v>
      </c>
      <c r="R75" s="15" t="s">
        <v>50</v>
      </c>
      <c r="S75" s="15" t="s">
        <v>50</v>
      </c>
      <c r="T75" s="15" t="s">
        <v>28</v>
      </c>
      <c r="U75" s="15" t="s">
        <v>28</v>
      </c>
      <c r="V75" s="15" t="s">
        <v>50</v>
      </c>
      <c r="W75" s="15" t="s">
        <v>50</v>
      </c>
      <c r="X75" s="15" t="s">
        <v>50</v>
      </c>
      <c r="Y75" s="15" t="s">
        <v>28</v>
      </c>
    </row>
    <row r="76" ht="56.25" customHeight="1">
      <c r="A76" s="23" t="s">
        <v>4980</v>
      </c>
      <c r="B76" s="15" t="str">
        <f>IMAGE("https://i.imgur.com/1vMVK2Z.png")</f>
        <v/>
      </c>
      <c r="C76" s="15" t="str">
        <f>IMAGE("https://i.imgur.com/NxWtgAn.png")</f>
        <v/>
      </c>
      <c r="D76" s="15">
        <v>649.0</v>
      </c>
      <c r="E76" s="15" t="s">
        <v>99</v>
      </c>
      <c r="F76" s="15" t="s">
        <v>107</v>
      </c>
      <c r="G76" s="15">
        <v>29.0</v>
      </c>
      <c r="H76" s="13">
        <v>400.0</v>
      </c>
      <c r="I76" s="79" t="s">
        <v>4658</v>
      </c>
      <c r="J76" s="79" t="s">
        <v>4630</v>
      </c>
      <c r="K76" s="81" t="s">
        <v>4631</v>
      </c>
      <c r="L76" s="82">
        <v>0.3333333333333333</v>
      </c>
      <c r="M76" s="82">
        <v>0.7083333333333334</v>
      </c>
      <c r="N76" s="15" t="s">
        <v>28</v>
      </c>
      <c r="O76" s="15" t="s">
        <v>28</v>
      </c>
      <c r="P76" s="15" t="s">
        <v>28</v>
      </c>
      <c r="Q76" s="15" t="s">
        <v>28</v>
      </c>
      <c r="R76" s="15" t="s">
        <v>28</v>
      </c>
      <c r="S76" s="15" t="s">
        <v>28</v>
      </c>
      <c r="T76" s="15" t="s">
        <v>28</v>
      </c>
      <c r="U76" s="15" t="s">
        <v>50</v>
      </c>
      <c r="V76" s="15" t="s">
        <v>50</v>
      </c>
      <c r="W76" s="15" t="s">
        <v>28</v>
      </c>
      <c r="X76" s="15" t="s">
        <v>28</v>
      </c>
      <c r="Y76" s="15" t="s">
        <v>28</v>
      </c>
    </row>
    <row r="77" ht="56.25" customHeight="1">
      <c r="A77" s="23" t="s">
        <v>4985</v>
      </c>
      <c r="B77" s="15" t="str">
        <f>IMAGE("https://i.imgur.com/wH4pJ2F.png")</f>
        <v/>
      </c>
      <c r="C77" s="15" t="str">
        <f>IMAGE("https://i.imgur.com/hCHzRoA.png")</f>
        <v/>
      </c>
      <c r="D77" s="15">
        <v>616.0</v>
      </c>
      <c r="E77" s="15" t="s">
        <v>369</v>
      </c>
      <c r="F77" s="15" t="s">
        <v>369</v>
      </c>
      <c r="G77" s="15">
        <v>67.0</v>
      </c>
      <c r="H77" s="13">
        <v>600.0</v>
      </c>
      <c r="I77" s="35" t="s">
        <v>4987</v>
      </c>
      <c r="J77" s="80" t="s">
        <v>4630</v>
      </c>
      <c r="K77" s="23" t="s">
        <v>4610</v>
      </c>
      <c r="L77" s="13" t="s">
        <v>4632</v>
      </c>
      <c r="M77" s="13" t="s">
        <v>4632</v>
      </c>
      <c r="N77" s="15" t="s">
        <v>28</v>
      </c>
      <c r="O77" s="15" t="s">
        <v>28</v>
      </c>
      <c r="P77" s="15" t="s">
        <v>28</v>
      </c>
      <c r="Q77" s="15" t="s">
        <v>28</v>
      </c>
      <c r="R77" s="15" t="s">
        <v>28</v>
      </c>
      <c r="S77" s="15" t="s">
        <v>28</v>
      </c>
      <c r="T77" s="15" t="s">
        <v>50</v>
      </c>
      <c r="U77" s="15" t="s">
        <v>50</v>
      </c>
      <c r="V77" s="15" t="s">
        <v>50</v>
      </c>
      <c r="W77" s="15" t="s">
        <v>28</v>
      </c>
      <c r="X77" s="15" t="s">
        <v>28</v>
      </c>
      <c r="Y77" s="15" t="s">
        <v>28</v>
      </c>
    </row>
    <row r="78" ht="56.25" customHeight="1">
      <c r="A78" s="23" t="s">
        <v>4989</v>
      </c>
      <c r="B78" s="15" t="str">
        <f>IMAGE("https://i.imgur.com/kql18lQ.png")</f>
        <v/>
      </c>
      <c r="C78" s="15" t="str">
        <f>IMAGE("https://i.imgur.com/3q5OZDi.png")</f>
        <v/>
      </c>
      <c r="D78" s="15">
        <v>630.0</v>
      </c>
      <c r="E78" s="15" t="s">
        <v>118</v>
      </c>
      <c r="F78" s="15" t="s">
        <v>211</v>
      </c>
      <c r="G78" s="15">
        <v>66.0</v>
      </c>
      <c r="H78" s="13">
        <v>600.0</v>
      </c>
      <c r="I78" s="80" t="s">
        <v>4635</v>
      </c>
      <c r="J78" s="80" t="s">
        <v>4630</v>
      </c>
      <c r="K78" s="23" t="s">
        <v>4610</v>
      </c>
      <c r="L78" s="13" t="s">
        <v>4991</v>
      </c>
      <c r="M78" s="13" t="s">
        <v>4747</v>
      </c>
      <c r="N78" s="15" t="s">
        <v>28</v>
      </c>
      <c r="O78" s="15" t="s">
        <v>28</v>
      </c>
      <c r="P78" s="15" t="s">
        <v>28</v>
      </c>
      <c r="Q78" s="15" t="s">
        <v>28</v>
      </c>
      <c r="R78" s="15" t="s">
        <v>28</v>
      </c>
      <c r="S78" s="15" t="s">
        <v>50</v>
      </c>
      <c r="T78" s="15" t="s">
        <v>50</v>
      </c>
      <c r="U78" s="15" t="s">
        <v>50</v>
      </c>
      <c r="V78" s="15" t="s">
        <v>50</v>
      </c>
      <c r="W78" s="15" t="s">
        <v>50</v>
      </c>
      <c r="X78" s="15" t="s">
        <v>50</v>
      </c>
      <c r="Y78" s="15" t="s">
        <v>28</v>
      </c>
    </row>
    <row r="79" ht="56.25" customHeight="1">
      <c r="A79" s="23" t="s">
        <v>4994</v>
      </c>
      <c r="B79" s="15" t="str">
        <f>IMAGE("https://i.imgur.com/rWsiB1B.png")</f>
        <v/>
      </c>
      <c r="C79" s="15" t="str">
        <f>IMAGE("https://i.imgur.com/y4aBz6y.png")</f>
        <v/>
      </c>
      <c r="D79" s="15">
        <v>643.0</v>
      </c>
      <c r="E79" s="15" t="s">
        <v>211</v>
      </c>
      <c r="F79" s="15" t="s">
        <v>521</v>
      </c>
      <c r="G79" s="15">
        <v>25.0</v>
      </c>
      <c r="H79" s="13">
        <v>2500.0</v>
      </c>
      <c r="I79" s="80" t="s">
        <v>4995</v>
      </c>
      <c r="J79" s="80" t="s">
        <v>4630</v>
      </c>
      <c r="K79" s="23" t="s">
        <v>4631</v>
      </c>
      <c r="L79" s="13" t="s">
        <v>4632</v>
      </c>
      <c r="M79" s="13" t="s">
        <v>4632</v>
      </c>
      <c r="N79" s="15" t="s">
        <v>50</v>
      </c>
      <c r="O79" s="15" t="s">
        <v>50</v>
      </c>
      <c r="P79" s="15" t="s">
        <v>50</v>
      </c>
      <c r="Q79" s="15" t="s">
        <v>50</v>
      </c>
      <c r="R79" s="15" t="s">
        <v>50</v>
      </c>
      <c r="S79" s="15" t="s">
        <v>50</v>
      </c>
      <c r="T79" s="15" t="s">
        <v>50</v>
      </c>
      <c r="U79" s="15" t="s">
        <v>50</v>
      </c>
      <c r="V79" s="15" t="s">
        <v>50</v>
      </c>
      <c r="W79" s="15" t="s">
        <v>50</v>
      </c>
      <c r="X79" s="15" t="s">
        <v>50</v>
      </c>
      <c r="Y79" s="15" t="s">
        <v>50</v>
      </c>
    </row>
    <row r="80" ht="56.25" customHeight="1">
      <c r="A80" s="23" t="s">
        <v>4996</v>
      </c>
      <c r="B80" s="15" t="str">
        <f>IMAGE("https://i.imgur.com/fNhh6wF.png")</f>
        <v/>
      </c>
      <c r="C80" s="15" t="str">
        <f>IMAGE("https://i.imgur.com/IkhTqJ3.png")</f>
        <v/>
      </c>
      <c r="D80" s="15">
        <v>591.0</v>
      </c>
      <c r="E80" s="15" t="s">
        <v>1608</v>
      </c>
      <c r="F80" s="15" t="s">
        <v>112</v>
      </c>
      <c r="G80" s="15">
        <v>71.0</v>
      </c>
      <c r="H80" s="13">
        <v>200.0</v>
      </c>
      <c r="I80" s="35" t="s">
        <v>4999</v>
      </c>
      <c r="J80" s="80" t="s">
        <v>4630</v>
      </c>
      <c r="K80" s="23" t="s">
        <v>4631</v>
      </c>
      <c r="L80" s="13" t="s">
        <v>4632</v>
      </c>
      <c r="M80" s="13" t="s">
        <v>4632</v>
      </c>
      <c r="N80" s="15" t="s">
        <v>50</v>
      </c>
      <c r="O80" s="15" t="s">
        <v>50</v>
      </c>
      <c r="P80" s="15" t="s">
        <v>50</v>
      </c>
      <c r="Q80" s="15" t="s">
        <v>50</v>
      </c>
      <c r="R80" s="15" t="s">
        <v>50</v>
      </c>
      <c r="S80" s="15" t="s">
        <v>50</v>
      </c>
      <c r="T80" s="15" t="s">
        <v>50</v>
      </c>
      <c r="U80" s="15" t="s">
        <v>50</v>
      </c>
      <c r="V80" s="15" t="s">
        <v>50</v>
      </c>
      <c r="W80" s="15" t="s">
        <v>50</v>
      </c>
      <c r="X80" s="15" t="s">
        <v>50</v>
      </c>
      <c r="Y80" s="15" t="s">
        <v>50</v>
      </c>
    </row>
    <row r="81" ht="56.25" customHeight="1">
      <c r="A81" s="23" t="s">
        <v>5002</v>
      </c>
      <c r="B81" s="15" t="str">
        <f>IMAGE("https://i.imgur.com/kgs4VO3.png")</f>
        <v/>
      </c>
      <c r="C81" s="15" t="str">
        <f>IMAGE("https://i.imgur.com/EUzUPeb.png")</f>
        <v/>
      </c>
      <c r="D81" s="15">
        <v>625.0</v>
      </c>
      <c r="E81" s="15" t="s">
        <v>211</v>
      </c>
      <c r="F81" s="15" t="s">
        <v>112</v>
      </c>
      <c r="G81" s="15">
        <v>2.0</v>
      </c>
      <c r="H81" s="13">
        <v>160.0</v>
      </c>
      <c r="I81" s="79" t="s">
        <v>4602</v>
      </c>
      <c r="J81" s="80" t="s">
        <v>4605</v>
      </c>
      <c r="K81" s="81" t="s">
        <v>4631</v>
      </c>
      <c r="L81" s="82">
        <v>0.16666666666666666</v>
      </c>
      <c r="M81" s="82">
        <v>0.7916666666666666</v>
      </c>
      <c r="N81" s="15" t="s">
        <v>28</v>
      </c>
      <c r="O81" s="15" t="s">
        <v>28</v>
      </c>
      <c r="P81" s="15" t="s">
        <v>50</v>
      </c>
      <c r="Q81" s="15" t="s">
        <v>50</v>
      </c>
      <c r="R81" s="15" t="s">
        <v>50</v>
      </c>
      <c r="S81" s="15" t="s">
        <v>50</v>
      </c>
      <c r="T81" s="15" t="s">
        <v>28</v>
      </c>
      <c r="U81" s="15" t="s">
        <v>28</v>
      </c>
      <c r="V81" s="15" t="s">
        <v>50</v>
      </c>
      <c r="W81" s="15" t="s">
        <v>50</v>
      </c>
      <c r="X81" s="15" t="s">
        <v>28</v>
      </c>
      <c r="Y81" s="15" t="s">
        <v>28</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71"/>
    <col customWidth="1" min="2" max="3" width="10.86"/>
    <col customWidth="1" min="4" max="4" width="10.57"/>
    <col customWidth="1" min="5" max="6" width="7.57"/>
    <col customWidth="1" min="7" max="7" width="8.14"/>
    <col customWidth="1" min="8" max="8" width="6.29"/>
    <col customWidth="1" min="9" max="9" width="22.71"/>
    <col customWidth="1" min="10" max="12" width="10.57"/>
    <col customWidth="1" min="13" max="13" width="9.71"/>
    <col customWidth="1" min="14" max="25" width="3.71"/>
  </cols>
  <sheetData>
    <row r="1" ht="21.0" customHeight="1">
      <c r="A1" s="47" t="s">
        <v>0</v>
      </c>
      <c r="B1" s="3" t="s">
        <v>1</v>
      </c>
      <c r="C1" s="3" t="s">
        <v>4575</v>
      </c>
      <c r="D1" s="7" t="s">
        <v>8</v>
      </c>
      <c r="E1" s="7" t="s">
        <v>1602</v>
      </c>
      <c r="F1" s="7" t="s">
        <v>1603</v>
      </c>
      <c r="G1" s="3" t="s">
        <v>4576</v>
      </c>
      <c r="H1" s="1" t="s">
        <v>7</v>
      </c>
      <c r="I1" s="16" t="s">
        <v>4577</v>
      </c>
      <c r="J1" s="78" t="s">
        <v>4578</v>
      </c>
      <c r="K1" s="47" t="s">
        <v>4581</v>
      </c>
      <c r="L1" s="1" t="s">
        <v>4582</v>
      </c>
      <c r="M1" s="1" t="s">
        <v>4583</v>
      </c>
      <c r="N1" s="5" t="s">
        <v>4584</v>
      </c>
      <c r="O1" s="5" t="s">
        <v>4585</v>
      </c>
      <c r="P1" s="5" t="s">
        <v>4587</v>
      </c>
      <c r="Q1" s="5" t="s">
        <v>4589</v>
      </c>
      <c r="R1" s="5" t="s">
        <v>4590</v>
      </c>
      <c r="S1" s="5" t="s">
        <v>4591</v>
      </c>
      <c r="T1" s="5" t="s">
        <v>4592</v>
      </c>
      <c r="U1" s="5" t="s">
        <v>4593</v>
      </c>
      <c r="V1" s="5" t="s">
        <v>4594</v>
      </c>
      <c r="W1" s="5" t="s">
        <v>4595</v>
      </c>
      <c r="X1" s="5" t="s">
        <v>4596</v>
      </c>
      <c r="Y1" s="5" t="s">
        <v>4597</v>
      </c>
    </row>
    <row r="2" ht="56.25" customHeight="1">
      <c r="A2" s="23" t="s">
        <v>4598</v>
      </c>
      <c r="B2" s="15" t="str">
        <f>IMAGE("https://i.imgur.com/zpCLFPW.png")</f>
        <v/>
      </c>
      <c r="C2" s="15" t="str">
        <f>IMAGE("https://i.imgur.com/6naUEql.png")</f>
        <v/>
      </c>
      <c r="D2" s="15">
        <v>620.0</v>
      </c>
      <c r="E2" s="15" t="s">
        <v>107</v>
      </c>
      <c r="F2" s="15" t="s">
        <v>369</v>
      </c>
      <c r="G2" s="15">
        <v>10.0</v>
      </c>
      <c r="H2" s="13">
        <v>3000.0</v>
      </c>
      <c r="I2" s="79" t="s">
        <v>4602</v>
      </c>
      <c r="J2" s="80" t="s">
        <v>4605</v>
      </c>
      <c r="K2" s="81" t="s">
        <v>4610</v>
      </c>
      <c r="L2" s="82">
        <v>0.3333333333333333</v>
      </c>
      <c r="M2" s="82">
        <v>0.7083333333333334</v>
      </c>
      <c r="N2" s="15" t="s">
        <v>50</v>
      </c>
      <c r="O2" s="15" t="s">
        <v>50</v>
      </c>
      <c r="P2" s="15" t="s">
        <v>50</v>
      </c>
      <c r="Q2" s="15" t="s">
        <v>28</v>
      </c>
      <c r="R2" s="15" t="s">
        <v>28</v>
      </c>
      <c r="S2" s="15" t="s">
        <v>28</v>
      </c>
      <c r="T2" s="15" t="s">
        <v>28</v>
      </c>
      <c r="U2" s="15" t="s">
        <v>28</v>
      </c>
      <c r="V2" s="15" t="s">
        <v>28</v>
      </c>
      <c r="W2" s="15" t="s">
        <v>50</v>
      </c>
      <c r="X2" s="15" t="s">
        <v>50</v>
      </c>
      <c r="Y2" s="15" t="s">
        <v>50</v>
      </c>
    </row>
    <row r="3" ht="56.25" customHeight="1">
      <c r="A3" s="23" t="s">
        <v>4627</v>
      </c>
      <c r="B3" s="15" t="str">
        <f>IMAGE("https://i.imgur.com/s7rnYTT.png")</f>
        <v/>
      </c>
      <c r="C3" s="15" t="str">
        <f>IMAGE("https://i.imgur.com/72Y8yPT.png")</f>
        <v/>
      </c>
      <c r="D3" s="15">
        <v>588.0</v>
      </c>
      <c r="E3" s="15" t="s">
        <v>99</v>
      </c>
      <c r="F3" s="15" t="s">
        <v>82</v>
      </c>
      <c r="G3" s="15">
        <v>69.0</v>
      </c>
      <c r="H3" s="13">
        <v>80.0</v>
      </c>
      <c r="I3" s="80" t="s">
        <v>4629</v>
      </c>
      <c r="J3" s="80" t="s">
        <v>4630</v>
      </c>
      <c r="K3" s="23" t="s">
        <v>4631</v>
      </c>
      <c r="L3" s="13" t="s">
        <v>4632</v>
      </c>
      <c r="M3" s="13" t="s">
        <v>4632</v>
      </c>
      <c r="N3" s="15" t="s">
        <v>50</v>
      </c>
      <c r="O3" s="15" t="s">
        <v>50</v>
      </c>
      <c r="P3" s="15" t="s">
        <v>50</v>
      </c>
      <c r="Q3" s="15" t="s">
        <v>50</v>
      </c>
      <c r="R3" s="15" t="s">
        <v>50</v>
      </c>
      <c r="S3" s="15" t="s">
        <v>50</v>
      </c>
      <c r="T3" s="15" t="s">
        <v>50</v>
      </c>
      <c r="U3" s="15" t="s">
        <v>50</v>
      </c>
      <c r="V3" s="15" t="s">
        <v>50</v>
      </c>
      <c r="W3" s="15" t="s">
        <v>50</v>
      </c>
      <c r="X3" s="15" t="s">
        <v>50</v>
      </c>
      <c r="Y3" s="15" t="s">
        <v>50</v>
      </c>
    </row>
    <row r="4" ht="56.25" customHeight="1">
      <c r="A4" s="23" t="s">
        <v>4633</v>
      </c>
      <c r="B4" s="15" t="str">
        <f>IMAGE("https://i.imgur.com/RdNAqj8.png")</f>
        <v/>
      </c>
      <c r="C4" s="15" t="str">
        <f>IMAGE("https://i.imgur.com/WbzUL9I.png")</f>
        <v/>
      </c>
      <c r="D4" s="15">
        <v>652.0</v>
      </c>
      <c r="E4" s="15" t="s">
        <v>521</v>
      </c>
      <c r="F4" s="15" t="s">
        <v>211</v>
      </c>
      <c r="G4" s="15">
        <v>14.0</v>
      </c>
      <c r="H4" s="13">
        <v>3000.0</v>
      </c>
      <c r="I4" s="79" t="s">
        <v>4635</v>
      </c>
      <c r="J4" s="79" t="s">
        <v>4630</v>
      </c>
      <c r="K4" s="81" t="s">
        <v>4610</v>
      </c>
      <c r="L4" s="82">
        <v>0.7916666666666666</v>
      </c>
      <c r="M4" s="82">
        <v>0.16666666666666666</v>
      </c>
      <c r="N4" s="15" t="s">
        <v>50</v>
      </c>
      <c r="O4" s="15" t="s">
        <v>50</v>
      </c>
      <c r="P4" s="15" t="s">
        <v>50</v>
      </c>
      <c r="Q4" s="15" t="s">
        <v>28</v>
      </c>
      <c r="R4" s="15" t="s">
        <v>28</v>
      </c>
      <c r="S4" s="15" t="s">
        <v>28</v>
      </c>
      <c r="T4" s="15" t="s">
        <v>28</v>
      </c>
      <c r="U4" s="15" t="s">
        <v>28</v>
      </c>
      <c r="V4" s="15" t="s">
        <v>28</v>
      </c>
      <c r="W4" s="15" t="s">
        <v>50</v>
      </c>
      <c r="X4" s="15" t="s">
        <v>50</v>
      </c>
      <c r="Y4" s="15" t="s">
        <v>50</v>
      </c>
    </row>
    <row r="5" ht="56.25" customHeight="1">
      <c r="A5" s="23" t="s">
        <v>4637</v>
      </c>
      <c r="B5" s="15" t="str">
        <f>IMAGE("https://i.imgur.com/ubKboEx.png")</f>
        <v/>
      </c>
      <c r="C5" s="15" t="str">
        <f>IMAGE("https://i.imgur.com/mEOX5Yg.png")</f>
        <v/>
      </c>
      <c r="D5" s="15">
        <v>622.0</v>
      </c>
      <c r="E5" s="15" t="s">
        <v>118</v>
      </c>
      <c r="F5" s="15" t="s">
        <v>112</v>
      </c>
      <c r="G5" s="15">
        <v>68.0</v>
      </c>
      <c r="H5" s="13">
        <v>600.0</v>
      </c>
      <c r="I5" s="80" t="s">
        <v>4638</v>
      </c>
      <c r="J5" s="80" t="s">
        <v>4630</v>
      </c>
      <c r="K5" s="23" t="s">
        <v>4631</v>
      </c>
      <c r="L5" s="13" t="s">
        <v>4632</v>
      </c>
      <c r="M5" s="13" t="s">
        <v>4632</v>
      </c>
      <c r="N5" s="15" t="s">
        <v>50</v>
      </c>
      <c r="O5" s="15" t="s">
        <v>50</v>
      </c>
      <c r="P5" s="15" t="s">
        <v>50</v>
      </c>
      <c r="Q5" s="15" t="s">
        <v>50</v>
      </c>
      <c r="R5" s="15" t="s">
        <v>50</v>
      </c>
      <c r="S5" s="15" t="s">
        <v>50</v>
      </c>
      <c r="T5" s="15" t="s">
        <v>50</v>
      </c>
      <c r="U5" s="15" t="s">
        <v>50</v>
      </c>
      <c r="V5" s="15" t="s">
        <v>50</v>
      </c>
      <c r="W5" s="15" t="s">
        <v>50</v>
      </c>
      <c r="X5" s="15" t="s">
        <v>50</v>
      </c>
      <c r="Y5" s="15" t="s">
        <v>50</v>
      </c>
    </row>
    <row r="6" ht="56.25" customHeight="1">
      <c r="A6" s="23" t="s">
        <v>4639</v>
      </c>
      <c r="B6" s="15" t="str">
        <f>IMAGE("https://i.imgur.com/1Xtj7bB.png")</f>
        <v/>
      </c>
      <c r="C6" s="15" t="str">
        <f>IMAGE("https://i.imgur.com/SD036ZJ.png")</f>
        <v/>
      </c>
      <c r="D6" s="15">
        <v>635.0</v>
      </c>
      <c r="E6" s="15" t="s">
        <v>99</v>
      </c>
      <c r="F6" s="15" t="s">
        <v>211</v>
      </c>
      <c r="G6" s="15">
        <v>34.0</v>
      </c>
      <c r="H6" s="13">
        <v>4500.0</v>
      </c>
      <c r="I6" s="79" t="s">
        <v>4642</v>
      </c>
      <c r="J6" s="80" t="s">
        <v>4605</v>
      </c>
      <c r="K6" s="81" t="s">
        <v>4643</v>
      </c>
      <c r="L6" s="82">
        <v>0.3333333333333333</v>
      </c>
      <c r="M6" s="82">
        <v>0.7083333333333334</v>
      </c>
      <c r="N6" s="15" t="s">
        <v>50</v>
      </c>
      <c r="O6" s="15" t="s">
        <v>50</v>
      </c>
      <c r="P6" s="15" t="s">
        <v>50</v>
      </c>
      <c r="Q6" s="15" t="s">
        <v>50</v>
      </c>
      <c r="R6" s="15" t="s">
        <v>28</v>
      </c>
      <c r="S6" s="15" t="s">
        <v>28</v>
      </c>
      <c r="T6" s="15" t="s">
        <v>28</v>
      </c>
      <c r="U6" s="15" t="s">
        <v>28</v>
      </c>
      <c r="V6" s="15" t="s">
        <v>28</v>
      </c>
      <c r="W6" s="15" t="s">
        <v>28</v>
      </c>
      <c r="X6" s="15" t="s">
        <v>50</v>
      </c>
      <c r="Y6" s="15" t="s">
        <v>50</v>
      </c>
    </row>
    <row r="7" ht="56.25" customHeight="1">
      <c r="A7" s="23" t="s">
        <v>4645</v>
      </c>
      <c r="B7" s="15" t="str">
        <f>IMAGE("https://i.imgur.com/YZvOZ2M.png")</f>
        <v/>
      </c>
      <c r="C7" s="15" t="str">
        <f>IMAGE("https://i.imgur.com/vw9iAfA.png")</f>
        <v/>
      </c>
      <c r="D7" s="15">
        <v>642.0</v>
      </c>
      <c r="E7" s="15" t="s">
        <v>99</v>
      </c>
      <c r="F7" s="15" t="s">
        <v>1608</v>
      </c>
      <c r="G7" s="25">
        <v>21.0</v>
      </c>
      <c r="H7" s="13">
        <v>430.0</v>
      </c>
      <c r="I7" s="79" t="s">
        <v>4649</v>
      </c>
      <c r="J7" s="80" t="s">
        <v>4605</v>
      </c>
      <c r="K7" s="81" t="s">
        <v>4631</v>
      </c>
      <c r="L7" s="82">
        <v>0.7083333333333334</v>
      </c>
      <c r="M7" s="82">
        <v>0.3333333333333333</v>
      </c>
      <c r="N7" s="15" t="s">
        <v>28</v>
      </c>
      <c r="O7" s="15" t="s">
        <v>28</v>
      </c>
      <c r="P7" s="15" t="s">
        <v>50</v>
      </c>
      <c r="Q7" s="15" t="s">
        <v>50</v>
      </c>
      <c r="R7" s="15" t="s">
        <v>28</v>
      </c>
      <c r="S7" s="15" t="s">
        <v>28</v>
      </c>
      <c r="T7" s="15" t="s">
        <v>28</v>
      </c>
      <c r="U7" s="15" t="s">
        <v>28</v>
      </c>
      <c r="V7" s="15" t="s">
        <v>28</v>
      </c>
      <c r="W7" s="15" t="s">
        <v>28</v>
      </c>
      <c r="X7" s="15" t="s">
        <v>28</v>
      </c>
      <c r="Y7" s="15" t="s">
        <v>28</v>
      </c>
    </row>
    <row r="8" ht="56.25" customHeight="1">
      <c r="A8" s="23" t="s">
        <v>4652</v>
      </c>
      <c r="B8" s="15" t="str">
        <f>IMAGE("https://i.imgur.com/IXj81M3.png")</f>
        <v/>
      </c>
      <c r="C8" s="15" t="str">
        <f>IMAGE("https://i.imgur.com/wrsIDcR.png")</f>
        <v/>
      </c>
      <c r="D8" s="15">
        <v>3485.0</v>
      </c>
      <c r="E8" s="15" t="s">
        <v>369</v>
      </c>
      <c r="F8" s="15" t="s">
        <v>107</v>
      </c>
      <c r="G8" s="15">
        <v>49.0</v>
      </c>
      <c r="H8" s="13">
        <v>800.0</v>
      </c>
      <c r="I8" s="80" t="s">
        <v>4653</v>
      </c>
      <c r="J8" s="80" t="s">
        <v>4630</v>
      </c>
      <c r="K8" s="23" t="s">
        <v>4631</v>
      </c>
      <c r="L8" s="13" t="s">
        <v>4632</v>
      </c>
      <c r="M8" s="13" t="s">
        <v>4632</v>
      </c>
      <c r="N8" s="15" t="s">
        <v>50</v>
      </c>
      <c r="O8" s="15" t="s">
        <v>50</v>
      </c>
      <c r="P8" s="15" t="s">
        <v>28</v>
      </c>
      <c r="Q8" s="15" t="s">
        <v>28</v>
      </c>
      <c r="R8" s="15" t="s">
        <v>28</v>
      </c>
      <c r="S8" s="15" t="s">
        <v>28</v>
      </c>
      <c r="T8" s="15" t="s">
        <v>28</v>
      </c>
      <c r="U8" s="15" t="s">
        <v>28</v>
      </c>
      <c r="V8" s="15" t="s">
        <v>28</v>
      </c>
      <c r="W8" s="15" t="s">
        <v>28</v>
      </c>
      <c r="X8" s="15" t="s">
        <v>28</v>
      </c>
      <c r="Y8" s="15" t="s">
        <v>28</v>
      </c>
    </row>
    <row r="9" ht="56.25" customHeight="1">
      <c r="A9" s="23" t="s">
        <v>4657</v>
      </c>
      <c r="B9" s="15" t="str">
        <f>IMAGE("https://i.imgur.com/awibAPX.png")</f>
        <v/>
      </c>
      <c r="C9" s="15" t="str">
        <f>IMAGE("https://i.imgur.com/Z6rzlt8.png")</f>
        <v/>
      </c>
      <c r="D9" s="15">
        <v>582.0</v>
      </c>
      <c r="E9" s="15" t="s">
        <v>118</v>
      </c>
      <c r="F9" s="15" t="s">
        <v>369</v>
      </c>
      <c r="G9" s="15">
        <v>26.0</v>
      </c>
      <c r="H9" s="13">
        <v>250.0</v>
      </c>
      <c r="I9" s="79" t="s">
        <v>4658</v>
      </c>
      <c r="J9" s="79" t="s">
        <v>4630</v>
      </c>
      <c r="K9" s="81" t="s">
        <v>4631</v>
      </c>
      <c r="L9" s="82">
        <v>0.3333333333333333</v>
      </c>
      <c r="M9" s="82">
        <v>0.7083333333333334</v>
      </c>
      <c r="N9" s="15" t="s">
        <v>50</v>
      </c>
      <c r="O9" s="15" t="s">
        <v>50</v>
      </c>
      <c r="P9" s="15" t="s">
        <v>28</v>
      </c>
      <c r="Q9" s="15" t="s">
        <v>28</v>
      </c>
      <c r="R9" s="15" t="s">
        <v>28</v>
      </c>
      <c r="S9" s="15" t="s">
        <v>28</v>
      </c>
      <c r="T9" s="15" t="s">
        <v>28</v>
      </c>
      <c r="U9" s="15" t="s">
        <v>28</v>
      </c>
      <c r="V9" s="15" t="s">
        <v>28</v>
      </c>
      <c r="W9" s="15" t="s">
        <v>28</v>
      </c>
      <c r="X9" s="15" t="s">
        <v>28</v>
      </c>
      <c r="Y9" s="15" t="s">
        <v>28</v>
      </c>
    </row>
    <row r="10" ht="56.25" customHeight="1">
      <c r="A10" s="23" t="s">
        <v>4662</v>
      </c>
      <c r="B10" s="15" t="str">
        <f>IMAGE("https://i.imgur.com/8AhtnAv.png")</f>
        <v/>
      </c>
      <c r="C10" s="15" t="str">
        <f>IMAGE("https://i.imgur.com/BsruF0n.png")</f>
        <v/>
      </c>
      <c r="D10" s="15">
        <v>628.0</v>
      </c>
      <c r="E10" s="15" t="s">
        <v>99</v>
      </c>
      <c r="F10" s="15" t="s">
        <v>521</v>
      </c>
      <c r="G10" s="15">
        <v>77.0</v>
      </c>
      <c r="H10" s="13">
        <v>300.0</v>
      </c>
      <c r="I10" s="35" t="s">
        <v>4669</v>
      </c>
      <c r="J10" s="79" t="s">
        <v>4630</v>
      </c>
      <c r="K10" s="81" t="s">
        <v>4631</v>
      </c>
      <c r="L10" s="82">
        <v>0.6666666666666666</v>
      </c>
      <c r="M10" s="82">
        <v>0.9583333333333334</v>
      </c>
      <c r="N10" s="15" t="s">
        <v>28</v>
      </c>
      <c r="O10" s="15" t="s">
        <v>28</v>
      </c>
      <c r="P10" s="15" t="s">
        <v>50</v>
      </c>
      <c r="Q10" s="15" t="s">
        <v>50</v>
      </c>
      <c r="R10" s="15" t="s">
        <v>50</v>
      </c>
      <c r="S10" s="15" t="s">
        <v>50</v>
      </c>
      <c r="T10" s="15" t="s">
        <v>50</v>
      </c>
      <c r="U10" s="15" t="s">
        <v>50</v>
      </c>
      <c r="V10" s="15" t="s">
        <v>50</v>
      </c>
      <c r="W10" s="15" t="s">
        <v>50</v>
      </c>
      <c r="X10" s="15" t="s">
        <v>50</v>
      </c>
      <c r="Y10" s="15" t="s">
        <v>50</v>
      </c>
    </row>
    <row r="11" ht="56.25" customHeight="1">
      <c r="A11" s="23" t="s">
        <v>4672</v>
      </c>
      <c r="B11" s="15" t="str">
        <f>IMAGE("https://i.imgur.com/uGH1eff.png")</f>
        <v/>
      </c>
      <c r="C11" s="15" t="str">
        <f>IMAGE("https://i.imgur.com/mLhrpAH.png")</f>
        <v/>
      </c>
      <c r="D11" s="15">
        <v>641.0</v>
      </c>
      <c r="E11" s="15" t="s">
        <v>118</v>
      </c>
      <c r="F11" s="15" t="s">
        <v>369</v>
      </c>
      <c r="G11" s="15">
        <v>31.0</v>
      </c>
      <c r="H11" s="13">
        <v>10.0</v>
      </c>
      <c r="I11" s="80" t="s">
        <v>4638</v>
      </c>
      <c r="J11" s="80" t="s">
        <v>4630</v>
      </c>
      <c r="K11" s="23" t="s">
        <v>4643</v>
      </c>
      <c r="L11" s="13" t="s">
        <v>4632</v>
      </c>
      <c r="M11" s="13" t="s">
        <v>4632</v>
      </c>
      <c r="N11" s="15" t="s">
        <v>50</v>
      </c>
      <c r="O11" s="15" t="s">
        <v>50</v>
      </c>
      <c r="P11" s="15" t="s">
        <v>28</v>
      </c>
      <c r="Q11" s="15" t="s">
        <v>28</v>
      </c>
      <c r="R11" s="15" t="s">
        <v>28</v>
      </c>
      <c r="S11" s="15" t="s">
        <v>28</v>
      </c>
      <c r="T11" s="15" t="s">
        <v>28</v>
      </c>
      <c r="U11" s="15" t="s">
        <v>28</v>
      </c>
      <c r="V11" s="15" t="s">
        <v>28</v>
      </c>
      <c r="W11" s="15" t="s">
        <v>28</v>
      </c>
      <c r="X11" s="15" t="s">
        <v>28</v>
      </c>
      <c r="Y11" s="15" t="s">
        <v>28</v>
      </c>
    </row>
    <row r="12" ht="56.25" customHeight="1">
      <c r="A12" s="37" t="s">
        <v>4677</v>
      </c>
      <c r="B12" s="15" t="str">
        <f>IMAGE("https://i.imgur.com/BZ8Hueo.png")</f>
        <v/>
      </c>
      <c r="C12" s="15" t="str">
        <f>IMAGE("https://i.imgur.com/QkBpp71.png")</f>
        <v/>
      </c>
      <c r="D12" s="15">
        <v>609.0</v>
      </c>
      <c r="E12" s="15" t="s">
        <v>99</v>
      </c>
      <c r="F12" s="15" t="s">
        <v>369</v>
      </c>
      <c r="G12" s="15">
        <v>47.0</v>
      </c>
      <c r="H12" s="13">
        <v>350.0</v>
      </c>
      <c r="I12" s="80" t="s">
        <v>4679</v>
      </c>
      <c r="J12" s="80" t="s">
        <v>4605</v>
      </c>
      <c r="K12" s="23" t="s">
        <v>4631</v>
      </c>
      <c r="L12" s="13" t="s">
        <v>4632</v>
      </c>
      <c r="M12" s="13" t="s">
        <v>4632</v>
      </c>
      <c r="N12" s="15" t="s">
        <v>50</v>
      </c>
      <c r="O12" s="15" t="s">
        <v>50</v>
      </c>
      <c r="P12" s="15" t="s">
        <v>50</v>
      </c>
      <c r="Q12" s="15" t="s">
        <v>50</v>
      </c>
      <c r="R12" s="15" t="s">
        <v>50</v>
      </c>
      <c r="S12" s="15" t="s">
        <v>50</v>
      </c>
      <c r="T12" s="15" t="s">
        <v>50</v>
      </c>
      <c r="U12" s="15" t="s">
        <v>50</v>
      </c>
      <c r="V12" s="15" t="s">
        <v>50</v>
      </c>
      <c r="W12" s="15" t="s">
        <v>50</v>
      </c>
      <c r="X12" s="15" t="s">
        <v>50</v>
      </c>
      <c r="Y12" s="15" t="s">
        <v>50</v>
      </c>
    </row>
    <row r="13" ht="56.25" customHeight="1">
      <c r="A13" s="23" t="s">
        <v>4681</v>
      </c>
      <c r="B13" s="15" t="str">
        <f>IMAGE("https://i.imgur.com/s1jc8H4.png")</f>
        <v/>
      </c>
      <c r="C13" s="15" t="str">
        <f>IMAGE("https://i.imgur.com/LdpxoEe.png")</f>
        <v/>
      </c>
      <c r="D13" s="15">
        <v>3477.0</v>
      </c>
      <c r="E13" s="15" t="s">
        <v>99</v>
      </c>
      <c r="F13" s="15" t="s">
        <v>369</v>
      </c>
      <c r="G13" s="25">
        <v>5.0</v>
      </c>
      <c r="H13" s="13">
        <v>300.0</v>
      </c>
      <c r="I13" s="79" t="s">
        <v>4602</v>
      </c>
      <c r="J13" s="80" t="s">
        <v>4605</v>
      </c>
      <c r="K13" s="81" t="s">
        <v>4631</v>
      </c>
      <c r="L13" s="82">
        <v>0.16666666666666666</v>
      </c>
      <c r="M13" s="82">
        <v>0.7916666666666666</v>
      </c>
      <c r="N13" s="15" t="s">
        <v>50</v>
      </c>
      <c r="O13" s="15" t="s">
        <v>50</v>
      </c>
      <c r="P13" s="15" t="s">
        <v>28</v>
      </c>
      <c r="Q13" s="15" t="s">
        <v>28</v>
      </c>
      <c r="R13" s="15" t="s">
        <v>28</v>
      </c>
      <c r="S13" s="15" t="s">
        <v>28</v>
      </c>
      <c r="T13" s="15" t="s">
        <v>28</v>
      </c>
      <c r="U13" s="15" t="s">
        <v>28</v>
      </c>
      <c r="V13" s="15" t="s">
        <v>28</v>
      </c>
      <c r="W13" s="15" t="s">
        <v>50</v>
      </c>
      <c r="X13" s="15" t="s">
        <v>50</v>
      </c>
      <c r="Y13" s="15" t="s">
        <v>50</v>
      </c>
    </row>
    <row r="14" ht="56.25" customHeight="1">
      <c r="A14" s="23" t="s">
        <v>4687</v>
      </c>
      <c r="B14" s="15" t="str">
        <f>IMAGE("https://i.imgur.com/UJiH4E9.png")</f>
        <v/>
      </c>
      <c r="C14" s="15" t="str">
        <f>IMAGE("https://i.imgur.com/4VhG52n.png")</f>
        <v/>
      </c>
      <c r="D14" s="15">
        <v>626.0</v>
      </c>
      <c r="E14" s="15" t="s">
        <v>82</v>
      </c>
      <c r="F14" s="15" t="s">
        <v>369</v>
      </c>
      <c r="G14" s="15">
        <v>1.0</v>
      </c>
      <c r="H14" s="13">
        <v>160.0</v>
      </c>
      <c r="I14" s="79" t="s">
        <v>4602</v>
      </c>
      <c r="J14" s="80" t="s">
        <v>4605</v>
      </c>
      <c r="K14" s="81" t="s">
        <v>4631</v>
      </c>
      <c r="L14" s="82">
        <v>0.16666666666666666</v>
      </c>
      <c r="M14" s="82">
        <v>0.7916666666666666</v>
      </c>
      <c r="N14" s="15" t="s">
        <v>28</v>
      </c>
      <c r="O14" s="15" t="s">
        <v>28</v>
      </c>
      <c r="P14" s="15" t="s">
        <v>50</v>
      </c>
      <c r="Q14" s="15" t="s">
        <v>50</v>
      </c>
      <c r="R14" s="15" t="s">
        <v>50</v>
      </c>
      <c r="S14" s="15" t="s">
        <v>50</v>
      </c>
      <c r="T14" s="15" t="s">
        <v>50</v>
      </c>
      <c r="U14" s="15" t="s">
        <v>50</v>
      </c>
      <c r="V14" s="15" t="s">
        <v>50</v>
      </c>
      <c r="W14" s="15" t="s">
        <v>50</v>
      </c>
      <c r="X14" s="15" t="s">
        <v>50</v>
      </c>
      <c r="Y14" s="15" t="s">
        <v>50</v>
      </c>
    </row>
    <row r="15" ht="56.25" customHeight="1">
      <c r="A15" s="23" t="s">
        <v>4691</v>
      </c>
      <c r="B15" s="15" t="str">
        <f>IMAGE("https://i.imgur.com/joRVhXW.png")</f>
        <v/>
      </c>
      <c r="C15" s="15" t="str">
        <f>IMAGE("https://i.imgur.com/jnyx8Yt.png")</f>
        <v/>
      </c>
      <c r="D15" s="15">
        <v>617.0</v>
      </c>
      <c r="E15" s="15" t="s">
        <v>118</v>
      </c>
      <c r="F15" s="15" t="s">
        <v>1608</v>
      </c>
      <c r="G15" s="15">
        <v>20.0</v>
      </c>
      <c r="H15" s="13">
        <v>130.0</v>
      </c>
      <c r="I15" s="79" t="s">
        <v>4649</v>
      </c>
      <c r="J15" s="80" t="s">
        <v>4605</v>
      </c>
      <c r="K15" s="81" t="s">
        <v>4631</v>
      </c>
      <c r="L15" s="82">
        <v>0.7083333333333334</v>
      </c>
      <c r="M15" s="82">
        <v>0.3333333333333333</v>
      </c>
      <c r="N15" s="15" t="s">
        <v>28</v>
      </c>
      <c r="O15" s="15" t="s">
        <v>28</v>
      </c>
      <c r="P15" s="15" t="s">
        <v>50</v>
      </c>
      <c r="Q15" s="15" t="s">
        <v>50</v>
      </c>
      <c r="R15" s="15" t="s">
        <v>50</v>
      </c>
      <c r="S15" s="15" t="s">
        <v>28</v>
      </c>
      <c r="T15" s="15" t="s">
        <v>28</v>
      </c>
      <c r="U15" s="15" t="s">
        <v>28</v>
      </c>
      <c r="V15" s="15" t="s">
        <v>28</v>
      </c>
      <c r="W15" s="15" t="s">
        <v>28</v>
      </c>
      <c r="X15" s="15" t="s">
        <v>28</v>
      </c>
      <c r="Y15" s="15" t="s">
        <v>28</v>
      </c>
    </row>
    <row r="16" ht="56.25" customHeight="1">
      <c r="A16" s="23" t="s">
        <v>4695</v>
      </c>
      <c r="B16" s="15" t="str">
        <f>IMAGE("https://i.imgur.com/ngrEk43.png")</f>
        <v/>
      </c>
      <c r="C16" s="15" t="str">
        <f>IMAGE("https://i.imgur.com/TnPveuv.png")</f>
        <v/>
      </c>
      <c r="D16" s="15">
        <v>602.0</v>
      </c>
      <c r="E16" s="15" t="s">
        <v>99</v>
      </c>
      <c r="F16" s="15" t="s">
        <v>99</v>
      </c>
      <c r="G16" s="15">
        <v>59.0</v>
      </c>
      <c r="H16" s="13">
        <v>8000.0</v>
      </c>
      <c r="I16" s="79" t="s">
        <v>4653</v>
      </c>
      <c r="J16" s="79" t="s">
        <v>4630</v>
      </c>
      <c r="K16" s="81" t="s">
        <v>4697</v>
      </c>
      <c r="L16" s="82">
        <v>0.7083333333333334</v>
      </c>
      <c r="M16" s="82">
        <v>0.3333333333333333</v>
      </c>
      <c r="N16" s="15" t="s">
        <v>50</v>
      </c>
      <c r="O16" s="15" t="s">
        <v>50</v>
      </c>
      <c r="P16" s="15" t="s">
        <v>28</v>
      </c>
      <c r="Q16" s="15" t="s">
        <v>28</v>
      </c>
      <c r="R16" s="15" t="s">
        <v>28</v>
      </c>
      <c r="S16" s="15" t="s">
        <v>28</v>
      </c>
      <c r="T16" s="15" t="s">
        <v>28</v>
      </c>
      <c r="U16" s="15" t="s">
        <v>28</v>
      </c>
      <c r="V16" s="15" t="s">
        <v>28</v>
      </c>
      <c r="W16" s="15" t="s">
        <v>28</v>
      </c>
      <c r="X16" s="15" t="s">
        <v>28</v>
      </c>
      <c r="Y16" s="15" t="s">
        <v>28</v>
      </c>
    </row>
    <row r="17" ht="56.25" customHeight="1">
      <c r="A17" s="23" t="s">
        <v>4699</v>
      </c>
      <c r="B17" s="15" t="str">
        <f>IMAGE("https://i.imgur.com/52gy1Ba.png")</f>
        <v/>
      </c>
      <c r="C17" s="15" t="str">
        <f>IMAGE("https://i.imgur.com/cp0jomB.png")</f>
        <v/>
      </c>
      <c r="D17" s="15">
        <v>5339.0</v>
      </c>
      <c r="E17" s="15" t="s">
        <v>369</v>
      </c>
      <c r="F17" s="15" t="s">
        <v>112</v>
      </c>
      <c r="G17" s="15">
        <v>35.0</v>
      </c>
      <c r="H17" s="13">
        <v>500.0</v>
      </c>
      <c r="I17" s="80" t="s">
        <v>4642</v>
      </c>
      <c r="J17" s="80" t="s">
        <v>4605</v>
      </c>
      <c r="K17" s="23" t="s">
        <v>4631</v>
      </c>
      <c r="L17" s="13" t="s">
        <v>4632</v>
      </c>
      <c r="M17" s="13" t="s">
        <v>4632</v>
      </c>
      <c r="N17" s="15" t="s">
        <v>28</v>
      </c>
      <c r="O17" s="15" t="s">
        <v>28</v>
      </c>
      <c r="P17" s="15" t="s">
        <v>28</v>
      </c>
      <c r="Q17" s="15" t="s">
        <v>28</v>
      </c>
      <c r="R17" s="15" t="s">
        <v>50</v>
      </c>
      <c r="S17" s="15" t="s">
        <v>50</v>
      </c>
      <c r="T17" s="15" t="s">
        <v>50</v>
      </c>
      <c r="U17" s="15" t="s">
        <v>50</v>
      </c>
      <c r="V17" s="15" t="s">
        <v>28</v>
      </c>
      <c r="W17" s="15" t="s">
        <v>28</v>
      </c>
      <c r="X17" s="15" t="s">
        <v>28</v>
      </c>
      <c r="Y17" s="15" t="s">
        <v>28</v>
      </c>
    </row>
    <row r="18" ht="56.25" customHeight="1">
      <c r="A18" s="23" t="s">
        <v>4706</v>
      </c>
      <c r="B18" s="15" t="str">
        <f>IMAGE("https://i.imgur.com/syAgg7n.png")</f>
        <v/>
      </c>
      <c r="C18" s="15" t="str">
        <f>IMAGE("https://i.imgur.com/agAPDqj.png")</f>
        <v/>
      </c>
      <c r="D18" s="15">
        <v>595.0</v>
      </c>
      <c r="E18" s="15" t="s">
        <v>369</v>
      </c>
      <c r="F18" s="15" t="s">
        <v>369</v>
      </c>
      <c r="G18" s="15">
        <v>33.0</v>
      </c>
      <c r="H18" s="13">
        <v>230.0</v>
      </c>
      <c r="I18" s="79" t="s">
        <v>4642</v>
      </c>
      <c r="J18" s="80" t="s">
        <v>4605</v>
      </c>
      <c r="K18" s="81" t="s">
        <v>4631</v>
      </c>
      <c r="L18" s="82">
        <v>0.3333333333333333</v>
      </c>
      <c r="M18" s="82">
        <v>0.7083333333333334</v>
      </c>
      <c r="N18" s="15" t="s">
        <v>50</v>
      </c>
      <c r="O18" s="15" t="s">
        <v>50</v>
      </c>
      <c r="P18" s="15" t="s">
        <v>50</v>
      </c>
      <c r="Q18" s="15" t="s">
        <v>50</v>
      </c>
      <c r="R18" s="15" t="s">
        <v>28</v>
      </c>
      <c r="S18" s="15" t="s">
        <v>28</v>
      </c>
      <c r="T18" s="15" t="s">
        <v>28</v>
      </c>
      <c r="U18" s="15" t="s">
        <v>28</v>
      </c>
      <c r="V18" s="15" t="s">
        <v>28</v>
      </c>
      <c r="W18" s="15" t="s">
        <v>50</v>
      </c>
      <c r="X18" s="15" t="s">
        <v>50</v>
      </c>
      <c r="Y18" s="15" t="s">
        <v>50</v>
      </c>
    </row>
    <row r="19" ht="56.25" customHeight="1">
      <c r="A19" s="23" t="s">
        <v>4709</v>
      </c>
      <c r="B19" s="15" t="str">
        <f>IMAGE("https://i.imgur.com/Whymm9k.png")</f>
        <v/>
      </c>
      <c r="C19" s="15" t="str">
        <f>IMAGE("https://i.imgur.com/dvLeFQr.png")</f>
        <v/>
      </c>
      <c r="D19" s="15">
        <v>594.0</v>
      </c>
      <c r="E19" s="15" t="s">
        <v>99</v>
      </c>
      <c r="F19" s="15" t="s">
        <v>112</v>
      </c>
      <c r="G19" s="15">
        <v>39.0</v>
      </c>
      <c r="H19" s="13">
        <v>800.0</v>
      </c>
      <c r="I19" s="79" t="s">
        <v>4711</v>
      </c>
      <c r="J19" s="79" t="s">
        <v>4630</v>
      </c>
      <c r="K19" s="81" t="s">
        <v>4631</v>
      </c>
      <c r="L19" s="82">
        <v>0.3333333333333333</v>
      </c>
      <c r="M19" s="82">
        <v>0.7916666666666666</v>
      </c>
      <c r="N19" s="15" t="s">
        <v>50</v>
      </c>
      <c r="O19" s="15" t="s">
        <v>50</v>
      </c>
      <c r="P19" s="15" t="s">
        <v>50</v>
      </c>
      <c r="Q19" s="15" t="s">
        <v>28</v>
      </c>
      <c r="R19" s="15" t="s">
        <v>28</v>
      </c>
      <c r="S19" s="15" t="s">
        <v>28</v>
      </c>
      <c r="T19" s="15" t="s">
        <v>28</v>
      </c>
      <c r="U19" s="15" t="s">
        <v>28</v>
      </c>
      <c r="V19" s="15" t="s">
        <v>28</v>
      </c>
      <c r="W19" s="15" t="s">
        <v>28</v>
      </c>
      <c r="X19" s="15" t="s">
        <v>50</v>
      </c>
      <c r="Y19" s="15" t="s">
        <v>50</v>
      </c>
    </row>
    <row r="20" ht="56.25" customHeight="1">
      <c r="A20" s="37" t="s">
        <v>4713</v>
      </c>
      <c r="B20" s="15" t="str">
        <f>IMAGE("https://i.imgur.com/0V98GTW.png")</f>
        <v/>
      </c>
      <c r="C20" s="15" t="str">
        <f>IMAGE("https://i.imgur.com/vCNEqN5.png")</f>
        <v/>
      </c>
      <c r="D20" s="15">
        <v>3480.0</v>
      </c>
      <c r="E20" s="15" t="s">
        <v>369</v>
      </c>
      <c r="F20" s="15" t="s">
        <v>112</v>
      </c>
      <c r="G20" s="15">
        <v>53.0</v>
      </c>
      <c r="H20" s="13">
        <v>200.0</v>
      </c>
      <c r="I20" s="80" t="s">
        <v>4635</v>
      </c>
      <c r="J20" s="80" t="s">
        <v>4630</v>
      </c>
      <c r="K20" s="23" t="s">
        <v>4631</v>
      </c>
      <c r="L20" s="13" t="s">
        <v>4632</v>
      </c>
      <c r="M20" s="13" t="s">
        <v>4632</v>
      </c>
      <c r="N20" s="15" t="s">
        <v>50</v>
      </c>
      <c r="O20" s="15" t="s">
        <v>50</v>
      </c>
      <c r="P20" s="15" t="s">
        <v>28</v>
      </c>
      <c r="Q20" s="15" t="s">
        <v>28</v>
      </c>
      <c r="R20" s="15" t="s">
        <v>28</v>
      </c>
      <c r="S20" s="15" t="s">
        <v>28</v>
      </c>
      <c r="T20" s="15" t="s">
        <v>28</v>
      </c>
      <c r="U20" s="15" t="s">
        <v>28</v>
      </c>
      <c r="V20" s="15" t="s">
        <v>28</v>
      </c>
      <c r="W20" s="15" t="s">
        <v>28</v>
      </c>
      <c r="X20" s="15" t="s">
        <v>28</v>
      </c>
      <c r="Y20" s="15" t="s">
        <v>50</v>
      </c>
    </row>
    <row r="21" ht="56.25" customHeight="1">
      <c r="A21" s="23" t="s">
        <v>4718</v>
      </c>
      <c r="B21" s="15" t="str">
        <f>IMAGE("https://i.imgur.com/do5qspI.png")</f>
        <v/>
      </c>
      <c r="C21" s="15" t="str">
        <f>IMAGE("https://i.imgur.com/aBlBppM.png")</f>
        <v/>
      </c>
      <c r="D21" s="15">
        <v>604.0</v>
      </c>
      <c r="E21" s="15" t="s">
        <v>99</v>
      </c>
      <c r="F21" s="15" t="s">
        <v>1608</v>
      </c>
      <c r="G21" s="15">
        <v>50.0</v>
      </c>
      <c r="H21" s="13">
        <v>3000.0</v>
      </c>
      <c r="I21" s="80" t="s">
        <v>4723</v>
      </c>
      <c r="J21" s="80" t="s">
        <v>4630</v>
      </c>
      <c r="K21" s="23" t="s">
        <v>4631</v>
      </c>
      <c r="L21" s="13" t="s">
        <v>4632</v>
      </c>
      <c r="M21" s="13" t="s">
        <v>4632</v>
      </c>
      <c r="N21" s="15" t="s">
        <v>28</v>
      </c>
      <c r="O21" s="15" t="s">
        <v>28</v>
      </c>
      <c r="P21" s="15" t="s">
        <v>28</v>
      </c>
      <c r="Q21" s="15" t="s">
        <v>28</v>
      </c>
      <c r="R21" s="15" t="s">
        <v>28</v>
      </c>
      <c r="S21" s="25" t="s">
        <v>50</v>
      </c>
      <c r="T21" s="25" t="s">
        <v>50</v>
      </c>
      <c r="U21" s="25" t="s">
        <v>50</v>
      </c>
      <c r="V21" s="15" t="s">
        <v>28</v>
      </c>
      <c r="W21" s="15" t="s">
        <v>28</v>
      </c>
      <c r="X21" s="15" t="s">
        <v>28</v>
      </c>
      <c r="Y21" s="15" t="s">
        <v>28</v>
      </c>
    </row>
    <row r="22" ht="56.25" customHeight="1">
      <c r="A22" s="37" t="s">
        <v>4729</v>
      </c>
      <c r="B22" s="15" t="str">
        <f>IMAGE("https://i.imgur.com/udoevWx.png")</f>
        <v/>
      </c>
      <c r="C22" s="15" t="str">
        <f>IMAGE("https://i.imgur.com/WXYAMUY.png")</f>
        <v/>
      </c>
      <c r="D22" s="15">
        <v>614.0</v>
      </c>
      <c r="E22" s="15" t="s">
        <v>464</v>
      </c>
      <c r="F22" s="15" t="s">
        <v>521</v>
      </c>
      <c r="G22" s="15">
        <v>51.0</v>
      </c>
      <c r="H22" s="13">
        <v>300.0</v>
      </c>
      <c r="I22" s="80" t="s">
        <v>4635</v>
      </c>
      <c r="J22" s="80" t="s">
        <v>4630</v>
      </c>
      <c r="K22" s="23" t="s">
        <v>4631</v>
      </c>
      <c r="L22" s="13" t="s">
        <v>4632</v>
      </c>
      <c r="M22" s="13" t="s">
        <v>4632</v>
      </c>
      <c r="N22" s="15" t="s">
        <v>50</v>
      </c>
      <c r="O22" s="15" t="s">
        <v>50</v>
      </c>
      <c r="P22" s="15" t="s">
        <v>50</v>
      </c>
      <c r="Q22" s="15" t="s">
        <v>28</v>
      </c>
      <c r="R22" s="15" t="s">
        <v>28</v>
      </c>
      <c r="S22" s="15" t="s">
        <v>28</v>
      </c>
      <c r="T22" s="15" t="s">
        <v>28</v>
      </c>
      <c r="U22" s="15" t="s">
        <v>28</v>
      </c>
      <c r="V22" s="15" t="s">
        <v>28</v>
      </c>
      <c r="W22" s="15" t="s">
        <v>28</v>
      </c>
      <c r="X22" s="15" t="s">
        <v>28</v>
      </c>
      <c r="Y22" s="15" t="s">
        <v>28</v>
      </c>
    </row>
    <row r="23" ht="56.25" customHeight="1">
      <c r="A23" s="23" t="s">
        <v>4735</v>
      </c>
      <c r="B23" s="15" t="str">
        <f>IMAGE("https://i.imgur.com/GOu3ROJ.png")</f>
        <v/>
      </c>
      <c r="C23" s="15" t="str">
        <f>IMAGE("https://i.imgur.com/HjcjikP.png")</f>
        <v/>
      </c>
      <c r="D23" s="15">
        <v>627.0</v>
      </c>
      <c r="E23" s="15" t="s">
        <v>112</v>
      </c>
      <c r="F23" s="15" t="s">
        <v>521</v>
      </c>
      <c r="G23" s="15">
        <v>9.0</v>
      </c>
      <c r="H23" s="13">
        <v>4000.0</v>
      </c>
      <c r="I23" s="79" t="s">
        <v>4602</v>
      </c>
      <c r="J23" s="80" t="s">
        <v>4605</v>
      </c>
      <c r="K23" s="81" t="s">
        <v>4610</v>
      </c>
      <c r="L23" s="82">
        <v>0.7083333333333334</v>
      </c>
      <c r="M23" s="82">
        <v>0.3333333333333333</v>
      </c>
      <c r="N23" s="15" t="s">
        <v>50</v>
      </c>
      <c r="O23" s="15" t="s">
        <v>50</v>
      </c>
      <c r="P23" s="15" t="s">
        <v>50</v>
      </c>
      <c r="Q23" s="15" t="s">
        <v>28</v>
      </c>
      <c r="R23" s="15" t="s">
        <v>28</v>
      </c>
      <c r="S23" s="15" t="s">
        <v>50</v>
      </c>
      <c r="T23" s="15" t="s">
        <v>50</v>
      </c>
      <c r="U23" s="15" t="s">
        <v>50</v>
      </c>
      <c r="V23" s="15" t="s">
        <v>50</v>
      </c>
      <c r="W23" s="15" t="s">
        <v>28</v>
      </c>
      <c r="X23" s="15" t="s">
        <v>28</v>
      </c>
      <c r="Y23" s="15" t="s">
        <v>50</v>
      </c>
    </row>
    <row r="24" ht="56.25" customHeight="1">
      <c r="A24" s="23" t="s">
        <v>4744</v>
      </c>
      <c r="B24" s="15" t="str">
        <f>IMAGE("https://i.imgur.com/B8LqTef.png")</f>
        <v/>
      </c>
      <c r="C24" s="15" t="str">
        <f>IMAGE("https://i.imgur.com/WyLEDMz.png")</f>
        <v/>
      </c>
      <c r="D24" s="15">
        <v>601.0</v>
      </c>
      <c r="E24" s="15" t="s">
        <v>99</v>
      </c>
      <c r="F24" s="15" t="s">
        <v>521</v>
      </c>
      <c r="G24" s="15">
        <v>30.0</v>
      </c>
      <c r="H24" s="13">
        <v>550.0</v>
      </c>
      <c r="I24" s="80" t="s">
        <v>4658</v>
      </c>
      <c r="J24" s="80" t="s">
        <v>4630</v>
      </c>
      <c r="K24" s="23" t="s">
        <v>4631</v>
      </c>
      <c r="L24" s="13" t="s">
        <v>4746</v>
      </c>
      <c r="M24" s="13" t="s">
        <v>4747</v>
      </c>
      <c r="N24" s="15" t="s">
        <v>50</v>
      </c>
      <c r="O24" s="15" t="s">
        <v>50</v>
      </c>
      <c r="P24" s="15" t="s">
        <v>28</v>
      </c>
      <c r="Q24" s="15" t="s">
        <v>28</v>
      </c>
      <c r="R24" s="15" t="s">
        <v>28</v>
      </c>
      <c r="S24" s="15" t="s">
        <v>28</v>
      </c>
      <c r="T24" s="15" t="s">
        <v>28</v>
      </c>
      <c r="U24" s="15" t="s">
        <v>28</v>
      </c>
      <c r="V24" s="15" t="s">
        <v>28</v>
      </c>
      <c r="W24" s="15" t="s">
        <v>28</v>
      </c>
      <c r="X24" s="15" t="s">
        <v>28</v>
      </c>
      <c r="Y24" s="15" t="s">
        <v>28</v>
      </c>
    </row>
    <row r="25" ht="56.25" customHeight="1">
      <c r="A25" s="23" t="s">
        <v>4750</v>
      </c>
      <c r="B25" s="15" t="str">
        <f>IMAGE("https://i.imgur.com/Xk1DzDj.png")</f>
        <v/>
      </c>
      <c r="C25" s="15" t="str">
        <f>IMAGE("https://i.imgur.com/dmI1j8y.png")</f>
        <v/>
      </c>
      <c r="D25" s="15">
        <v>603.0</v>
      </c>
      <c r="E25" s="15" t="s">
        <v>99</v>
      </c>
      <c r="F25" s="15" t="s">
        <v>112</v>
      </c>
      <c r="G25" s="25">
        <v>36.0</v>
      </c>
      <c r="H25" s="13">
        <v>300.0</v>
      </c>
      <c r="I25" s="79" t="s">
        <v>4642</v>
      </c>
      <c r="J25" s="80" t="s">
        <v>4605</v>
      </c>
      <c r="K25" s="81" t="s">
        <v>4631</v>
      </c>
      <c r="L25" s="82">
        <v>0.7916666666666666</v>
      </c>
      <c r="M25" s="82">
        <v>0.16666666666666666</v>
      </c>
      <c r="N25" s="15" t="s">
        <v>28</v>
      </c>
      <c r="O25" s="15" t="s">
        <v>28</v>
      </c>
      <c r="P25" s="15" t="s">
        <v>28</v>
      </c>
      <c r="Q25" s="15" t="s">
        <v>28</v>
      </c>
      <c r="R25" s="15" t="s">
        <v>28</v>
      </c>
      <c r="S25" s="15" t="s">
        <v>28</v>
      </c>
      <c r="T25" s="15" t="s">
        <v>28</v>
      </c>
      <c r="U25" s="15" t="s">
        <v>28</v>
      </c>
      <c r="V25" s="15" t="s">
        <v>28</v>
      </c>
      <c r="W25" s="15" t="s">
        <v>28</v>
      </c>
      <c r="X25" s="15" t="s">
        <v>28</v>
      </c>
      <c r="Y25" s="15" t="s">
        <v>50</v>
      </c>
    </row>
    <row r="26" ht="56.25" customHeight="1">
      <c r="A26" s="23" t="s">
        <v>4758</v>
      </c>
      <c r="B26" s="15" t="str">
        <f>IMAGE("https://i.imgur.com/sELZcgj.png")</f>
        <v/>
      </c>
      <c r="C26" s="15" t="str">
        <f>IMAGE("https://i.imgur.com/TkHOybT.png")</f>
        <v/>
      </c>
      <c r="D26" s="15">
        <v>633.0</v>
      </c>
      <c r="E26" s="15" t="s">
        <v>118</v>
      </c>
      <c r="F26" s="15" t="s">
        <v>82</v>
      </c>
      <c r="G26" s="15">
        <v>74.0</v>
      </c>
      <c r="H26" s="13">
        <v>70.0</v>
      </c>
      <c r="I26" s="80" t="s">
        <v>4760</v>
      </c>
      <c r="J26" s="80" t="s">
        <v>4630</v>
      </c>
      <c r="K26" s="23" t="s">
        <v>4631</v>
      </c>
      <c r="L26" s="13" t="s">
        <v>4632</v>
      </c>
      <c r="M26" s="13" t="s">
        <v>4632</v>
      </c>
      <c r="N26" s="15" t="s">
        <v>50</v>
      </c>
      <c r="O26" s="15" t="s">
        <v>50</v>
      </c>
      <c r="P26" s="15" t="s">
        <v>50</v>
      </c>
      <c r="Q26" s="15" t="s">
        <v>50</v>
      </c>
      <c r="R26" s="15" t="s">
        <v>50</v>
      </c>
      <c r="S26" s="15" t="s">
        <v>28</v>
      </c>
      <c r="T26" s="15" t="s">
        <v>28</v>
      </c>
      <c r="U26" s="15" t="s">
        <v>28</v>
      </c>
      <c r="V26" s="15" t="s">
        <v>28</v>
      </c>
      <c r="W26" s="15" t="s">
        <v>50</v>
      </c>
      <c r="X26" s="15" t="s">
        <v>50</v>
      </c>
      <c r="Y26" s="15" t="s">
        <v>50</v>
      </c>
    </row>
    <row r="27" ht="56.25" customHeight="1">
      <c r="A27" s="23" t="s">
        <v>4762</v>
      </c>
      <c r="B27" s="15" t="str">
        <f>IMAGE("https://i.imgur.com/5IGebtQ.png")</f>
        <v/>
      </c>
      <c r="C27" s="15" t="str">
        <f>IMAGE("https://i.imgur.com/imMR3tz.png")</f>
        <v/>
      </c>
      <c r="D27" s="15">
        <v>597.0</v>
      </c>
      <c r="E27" s="15" t="s">
        <v>99</v>
      </c>
      <c r="F27" s="15" t="s">
        <v>82</v>
      </c>
      <c r="G27" s="15">
        <v>72.0</v>
      </c>
      <c r="H27" s="13">
        <v>60.0</v>
      </c>
      <c r="I27" s="80" t="s">
        <v>4764</v>
      </c>
      <c r="J27" s="80" t="s">
        <v>4630</v>
      </c>
      <c r="K27" s="23" t="s">
        <v>4631</v>
      </c>
      <c r="L27" s="13" t="s">
        <v>4632</v>
      </c>
      <c r="M27" s="13" t="s">
        <v>4632</v>
      </c>
      <c r="N27" s="15" t="s">
        <v>50</v>
      </c>
      <c r="O27" s="15" t="s">
        <v>50</v>
      </c>
      <c r="P27" s="15" t="s">
        <v>50</v>
      </c>
      <c r="Q27" s="15" t="s">
        <v>50</v>
      </c>
      <c r="R27" s="15" t="s">
        <v>50</v>
      </c>
      <c r="S27" s="15" t="s">
        <v>50</v>
      </c>
      <c r="T27" s="15" t="s">
        <v>50</v>
      </c>
      <c r="U27" s="15" t="s">
        <v>50</v>
      </c>
      <c r="V27" s="15" t="s">
        <v>50</v>
      </c>
      <c r="W27" s="15" t="s">
        <v>50</v>
      </c>
      <c r="X27" s="15" t="s">
        <v>50</v>
      </c>
      <c r="Y27" s="15" t="s">
        <v>50</v>
      </c>
    </row>
    <row r="28" ht="56.25" customHeight="1">
      <c r="A28" s="23" t="s">
        <v>4767</v>
      </c>
      <c r="B28" s="15" t="str">
        <f>IMAGE("https://i.imgur.com/TcYs64H.png")</f>
        <v/>
      </c>
      <c r="C28" s="15" t="str">
        <f>IMAGE("https://i.imgur.com/1umGpxQ.png")</f>
        <v/>
      </c>
      <c r="D28" s="15">
        <v>618.0</v>
      </c>
      <c r="E28" s="15" t="s">
        <v>99</v>
      </c>
      <c r="F28" s="15" t="s">
        <v>211</v>
      </c>
      <c r="G28" s="15">
        <v>28.0</v>
      </c>
      <c r="H28" s="24">
        <v>500.0</v>
      </c>
      <c r="I28" s="79" t="s">
        <v>4658</v>
      </c>
      <c r="J28" s="79" t="s">
        <v>4630</v>
      </c>
      <c r="K28" s="81" t="s">
        <v>4610</v>
      </c>
      <c r="L28" s="82">
        <v>0.3333333333333333</v>
      </c>
      <c r="M28" s="82">
        <v>0.7083333333333334</v>
      </c>
      <c r="N28" s="15" t="s">
        <v>50</v>
      </c>
      <c r="O28" s="15" t="s">
        <v>50</v>
      </c>
      <c r="P28" s="15" t="s">
        <v>28</v>
      </c>
      <c r="Q28" s="15" t="s">
        <v>28</v>
      </c>
      <c r="R28" s="15" t="s">
        <v>28</v>
      </c>
      <c r="S28" s="15" t="s">
        <v>28</v>
      </c>
      <c r="T28" s="15" t="s">
        <v>28</v>
      </c>
      <c r="U28" s="15" t="s">
        <v>28</v>
      </c>
      <c r="V28" s="15" t="s">
        <v>28</v>
      </c>
      <c r="W28" s="15" t="s">
        <v>28</v>
      </c>
      <c r="X28" s="15" t="s">
        <v>28</v>
      </c>
      <c r="Y28" s="15" t="s">
        <v>28</v>
      </c>
    </row>
    <row r="29" ht="56.25" customHeight="1">
      <c r="A29" s="23" t="s">
        <v>4771</v>
      </c>
      <c r="B29" s="15" t="str">
        <f>IMAGE("https://i.imgur.com/DLn2MOI.png")</f>
        <v/>
      </c>
      <c r="C29" s="15" t="str">
        <f>IMAGE("https://i.imgur.com/9Zy9O2X.png")</f>
        <v/>
      </c>
      <c r="D29" s="15">
        <v>637.0</v>
      </c>
      <c r="E29" s="15" t="s">
        <v>99</v>
      </c>
      <c r="F29" s="15" t="s">
        <v>99</v>
      </c>
      <c r="G29" s="15">
        <v>57.0</v>
      </c>
      <c r="H29" s="13">
        <v>10000.0</v>
      </c>
      <c r="I29" s="79" t="s">
        <v>4635</v>
      </c>
      <c r="J29" s="79" t="s">
        <v>4630</v>
      </c>
      <c r="K29" s="81" t="s">
        <v>4643</v>
      </c>
      <c r="L29" s="82">
        <v>0.9583333333333334</v>
      </c>
      <c r="M29" s="82">
        <v>0.3333333333333333</v>
      </c>
      <c r="N29" s="15" t="s">
        <v>50</v>
      </c>
      <c r="O29" s="15" t="s">
        <v>50</v>
      </c>
      <c r="P29" s="15" t="s">
        <v>28</v>
      </c>
      <c r="Q29" s="15" t="s">
        <v>28</v>
      </c>
      <c r="R29" s="15" t="s">
        <v>28</v>
      </c>
      <c r="S29" s="15" t="s">
        <v>28</v>
      </c>
      <c r="T29" s="15" t="s">
        <v>28</v>
      </c>
      <c r="U29" s="15" t="s">
        <v>28</v>
      </c>
      <c r="V29" s="15" t="s">
        <v>28</v>
      </c>
      <c r="W29" s="15" t="s">
        <v>28</v>
      </c>
      <c r="X29" s="15" t="s">
        <v>28</v>
      </c>
      <c r="Y29" s="15" t="s">
        <v>28</v>
      </c>
    </row>
    <row r="30" ht="56.25" customHeight="1">
      <c r="A30" s="23" t="s">
        <v>4775</v>
      </c>
      <c r="B30" s="15" t="str">
        <f>IMAGE("https://i.imgur.com/nArNnTA.png")</f>
        <v/>
      </c>
      <c r="C30" s="15" t="str">
        <f>IMAGE("https://i.imgur.com/Weatxwu.png")</f>
        <v/>
      </c>
      <c r="D30" s="15">
        <v>5157.0</v>
      </c>
      <c r="E30" s="15" t="s">
        <v>118</v>
      </c>
      <c r="F30" s="15" t="s">
        <v>112</v>
      </c>
      <c r="G30" s="15">
        <v>40.0</v>
      </c>
      <c r="H30" s="13">
        <v>2000.0</v>
      </c>
      <c r="I30" s="79" t="s">
        <v>4711</v>
      </c>
      <c r="J30" s="79" t="s">
        <v>4630</v>
      </c>
      <c r="K30" s="81" t="s">
        <v>4643</v>
      </c>
      <c r="L30" s="82">
        <v>0.7916666666666666</v>
      </c>
      <c r="M30" s="82">
        <v>0.3333333333333333</v>
      </c>
      <c r="N30" s="15" t="s">
        <v>50</v>
      </c>
      <c r="O30" s="15" t="s">
        <v>50</v>
      </c>
      <c r="P30" s="15" t="s">
        <v>50</v>
      </c>
      <c r="Q30" s="15" t="s">
        <v>28</v>
      </c>
      <c r="R30" s="15" t="s">
        <v>28</v>
      </c>
      <c r="S30" s="15" t="s">
        <v>28</v>
      </c>
      <c r="T30" s="15" t="s">
        <v>28</v>
      </c>
      <c r="U30" s="15" t="s">
        <v>28</v>
      </c>
      <c r="V30" s="15" t="s">
        <v>28</v>
      </c>
      <c r="W30" s="15" t="s">
        <v>50</v>
      </c>
      <c r="X30" s="15" t="s">
        <v>50</v>
      </c>
      <c r="Y30" s="15" t="s">
        <v>50</v>
      </c>
    </row>
    <row r="31" ht="56.25" customHeight="1">
      <c r="A31" s="23" t="s">
        <v>4779</v>
      </c>
      <c r="B31" s="15" t="str">
        <f>IMAGE("https://i.imgur.com/3mxmDI3.png")</f>
        <v/>
      </c>
      <c r="C31" s="15" t="str">
        <f>IMAGE("https://i.imgur.com/pu7NIxk.png")</f>
        <v/>
      </c>
      <c r="D31" s="15">
        <v>3482.0</v>
      </c>
      <c r="E31" s="15" t="s">
        <v>99</v>
      </c>
      <c r="F31" s="15" t="s">
        <v>99</v>
      </c>
      <c r="G31" s="25">
        <v>61.0</v>
      </c>
      <c r="H31" s="24">
        <v>12000.0</v>
      </c>
      <c r="I31" s="79" t="s">
        <v>4653</v>
      </c>
      <c r="J31" s="79" t="s">
        <v>4630</v>
      </c>
      <c r="K31" s="81" t="s">
        <v>4697</v>
      </c>
      <c r="L31" s="82">
        <v>0.7083333333333334</v>
      </c>
      <c r="M31" s="82">
        <v>0.3333333333333333</v>
      </c>
      <c r="N31" s="15" t="s">
        <v>50</v>
      </c>
      <c r="O31" s="15" t="s">
        <v>50</v>
      </c>
      <c r="P31" s="15" t="s">
        <v>28</v>
      </c>
      <c r="Q31" s="15" t="s">
        <v>28</v>
      </c>
      <c r="R31" s="15" t="s">
        <v>28</v>
      </c>
      <c r="S31" s="15" t="s">
        <v>28</v>
      </c>
      <c r="T31" s="15" t="s">
        <v>28</v>
      </c>
      <c r="U31" s="15" t="s">
        <v>28</v>
      </c>
      <c r="V31" s="15" t="s">
        <v>28</v>
      </c>
      <c r="W31" s="15" t="s">
        <v>28</v>
      </c>
      <c r="X31" s="15" t="s">
        <v>28</v>
      </c>
      <c r="Y31" s="15" t="s">
        <v>28</v>
      </c>
    </row>
    <row r="32" ht="56.25" customHeight="1">
      <c r="A32" s="23" t="s">
        <v>4782</v>
      </c>
      <c r="B32" s="15" t="str">
        <f>IMAGE("https://i.imgur.com/AhqZkc1.png")</f>
        <v/>
      </c>
      <c r="C32" s="15" t="str">
        <f>IMAGE("https://i.imgur.com/7eGUi1I.png")</f>
        <v/>
      </c>
      <c r="D32" s="15">
        <v>638.0</v>
      </c>
      <c r="E32" s="15" t="s">
        <v>99</v>
      </c>
      <c r="F32" s="15" t="s">
        <v>211</v>
      </c>
      <c r="G32" s="15">
        <v>60.0</v>
      </c>
      <c r="H32" s="13">
        <v>12000.0</v>
      </c>
      <c r="I32" s="79" t="s">
        <v>4653</v>
      </c>
      <c r="J32" s="79" t="s">
        <v>4630</v>
      </c>
      <c r="K32" s="81" t="s">
        <v>4697</v>
      </c>
      <c r="L32" s="82">
        <v>0.7083333333333334</v>
      </c>
      <c r="M32" s="82">
        <v>0.3333333333333333</v>
      </c>
      <c r="N32" s="15" t="s">
        <v>50</v>
      </c>
      <c r="O32" s="15" t="s">
        <v>50</v>
      </c>
      <c r="P32" s="15" t="s">
        <v>28</v>
      </c>
      <c r="Q32" s="15" t="s">
        <v>28</v>
      </c>
      <c r="R32" s="15" t="s">
        <v>28</v>
      </c>
      <c r="S32" s="15" t="s">
        <v>28</v>
      </c>
      <c r="T32" s="15" t="s">
        <v>28</v>
      </c>
      <c r="U32" s="15" t="s">
        <v>28</v>
      </c>
      <c r="V32" s="15" t="s">
        <v>28</v>
      </c>
      <c r="W32" s="15" t="s">
        <v>28</v>
      </c>
      <c r="X32" s="15" t="s">
        <v>28</v>
      </c>
      <c r="Y32" s="15" t="s">
        <v>28</v>
      </c>
    </row>
    <row r="33" ht="56.25" customHeight="1">
      <c r="A33" s="23" t="s">
        <v>4784</v>
      </c>
      <c r="B33" s="15" t="str">
        <f>IMAGE("https://i.imgur.com/lrM07Gm.png")</f>
        <v/>
      </c>
      <c r="C33" s="15" t="str">
        <f>IMAGE("https://i.imgur.com/55rcubz.png")</f>
        <v/>
      </c>
      <c r="D33" s="15">
        <v>596.0</v>
      </c>
      <c r="E33" s="15" t="s">
        <v>208</v>
      </c>
      <c r="F33" s="15" t="s">
        <v>99</v>
      </c>
      <c r="G33" s="15">
        <v>54.0</v>
      </c>
      <c r="H33" s="13">
        <v>8000.0</v>
      </c>
      <c r="I33" s="79" t="s">
        <v>4653</v>
      </c>
      <c r="J33" s="79" t="s">
        <v>4630</v>
      </c>
      <c r="K33" s="81" t="s">
        <v>4697</v>
      </c>
      <c r="L33" s="82">
        <v>0.7083333333333334</v>
      </c>
      <c r="M33" s="82">
        <v>0.3333333333333333</v>
      </c>
      <c r="N33" s="15" t="s">
        <v>50</v>
      </c>
      <c r="O33" s="15" t="s">
        <v>50</v>
      </c>
      <c r="P33" s="15" t="s">
        <v>50</v>
      </c>
      <c r="Q33" s="15" t="s">
        <v>28</v>
      </c>
      <c r="R33" s="15" t="s">
        <v>28</v>
      </c>
      <c r="S33" s="15" t="s">
        <v>28</v>
      </c>
      <c r="T33" s="15" t="s">
        <v>28</v>
      </c>
      <c r="U33" s="15" t="s">
        <v>28</v>
      </c>
      <c r="V33" s="15" t="s">
        <v>28</v>
      </c>
      <c r="W33" s="15" t="s">
        <v>28</v>
      </c>
      <c r="X33" s="15" t="s">
        <v>28</v>
      </c>
      <c r="Y33" s="15" t="s">
        <v>50</v>
      </c>
    </row>
    <row r="34" ht="56.25" customHeight="1">
      <c r="A34" s="23" t="s">
        <v>4791</v>
      </c>
      <c r="B34" s="15" t="str">
        <f>IMAGE("https://i.imgur.com/be8vY9O.png")</f>
        <v/>
      </c>
      <c r="C34" s="15" t="str">
        <f>IMAGE("https://i.imgur.com/7xMhoib.png")</f>
        <v/>
      </c>
      <c r="D34" s="15">
        <v>613.0</v>
      </c>
      <c r="E34" s="15" t="s">
        <v>369</v>
      </c>
      <c r="F34" s="15" t="s">
        <v>1608</v>
      </c>
      <c r="G34" s="15">
        <v>19.0</v>
      </c>
      <c r="H34" s="13">
        <v>160.0</v>
      </c>
      <c r="I34" s="79" t="s">
        <v>4649</v>
      </c>
      <c r="J34" s="80" t="s">
        <v>4605</v>
      </c>
      <c r="K34" s="81" t="s">
        <v>4631</v>
      </c>
      <c r="L34" s="82">
        <v>0.3333333333333333</v>
      </c>
      <c r="M34" s="82">
        <v>0.7083333333333334</v>
      </c>
      <c r="N34" s="15" t="s">
        <v>50</v>
      </c>
      <c r="O34" s="15" t="s">
        <v>50</v>
      </c>
      <c r="P34" s="15" t="s">
        <v>50</v>
      </c>
      <c r="Q34" s="15" t="s">
        <v>28</v>
      </c>
      <c r="R34" s="15" t="s">
        <v>28</v>
      </c>
      <c r="S34" s="15" t="s">
        <v>28</v>
      </c>
      <c r="T34" s="15" t="s">
        <v>28</v>
      </c>
      <c r="U34" s="15" t="s">
        <v>28</v>
      </c>
      <c r="V34" s="15" t="s">
        <v>28</v>
      </c>
      <c r="W34" s="15" t="s">
        <v>28</v>
      </c>
      <c r="X34" s="15" t="s">
        <v>28</v>
      </c>
      <c r="Y34" s="15" t="s">
        <v>28</v>
      </c>
    </row>
    <row r="35" ht="56.25" customHeight="1">
      <c r="A35" s="23" t="s">
        <v>4795</v>
      </c>
      <c r="B35" s="15" t="str">
        <f>IMAGE("https://i.imgur.com/FE0hXTo.png)")</f>
        <v/>
      </c>
      <c r="C35" s="15" t="str">
        <f>IMAGE("https://i.imgur.com/3RDEMbI.png")</f>
        <v/>
      </c>
      <c r="D35" s="15">
        <v>3479.0</v>
      </c>
      <c r="E35" s="15" t="s">
        <v>464</v>
      </c>
      <c r="F35" s="15" t="s">
        <v>521</v>
      </c>
      <c r="G35" s="25">
        <v>7.0</v>
      </c>
      <c r="H35" s="13">
        <v>3000.0</v>
      </c>
      <c r="I35" s="79" t="s">
        <v>4602</v>
      </c>
      <c r="J35" s="80" t="s">
        <v>4605</v>
      </c>
      <c r="K35" s="81" t="s">
        <v>4643</v>
      </c>
      <c r="L35" s="82">
        <v>0.16666666666666666</v>
      </c>
      <c r="M35" s="82">
        <v>0.7916666666666666</v>
      </c>
      <c r="N35" s="15" t="s">
        <v>50</v>
      </c>
      <c r="O35" s="15" t="s">
        <v>50</v>
      </c>
      <c r="P35" s="15" t="s">
        <v>28</v>
      </c>
      <c r="Q35" s="15" t="s">
        <v>28</v>
      </c>
      <c r="R35" s="15" t="s">
        <v>28</v>
      </c>
      <c r="S35" s="15" t="s">
        <v>28</v>
      </c>
      <c r="T35" s="15" t="s">
        <v>28</v>
      </c>
      <c r="U35" s="15" t="s">
        <v>28</v>
      </c>
      <c r="V35" s="15" t="s">
        <v>28</v>
      </c>
      <c r="W35" s="15" t="s">
        <v>28</v>
      </c>
      <c r="X35" s="15" t="s">
        <v>50</v>
      </c>
      <c r="Y35" s="15" t="s">
        <v>50</v>
      </c>
    </row>
    <row r="36" ht="56.25" customHeight="1">
      <c r="A36" s="23" t="s">
        <v>4802</v>
      </c>
      <c r="B36" s="15" t="str">
        <f>IMAGE("https://i.imgur.com/IOU0u6G.png")</f>
        <v/>
      </c>
      <c r="C36" s="15" t="str">
        <f>IMAGE("https://i.imgur.com/FDcG0o6.png")</f>
        <v/>
      </c>
      <c r="D36" s="15">
        <v>651.0</v>
      </c>
      <c r="E36" s="15" t="s">
        <v>1608</v>
      </c>
      <c r="F36" s="15" t="s">
        <v>107</v>
      </c>
      <c r="G36" s="15">
        <v>70.0</v>
      </c>
      <c r="H36" s="13">
        <v>1000.0</v>
      </c>
      <c r="I36" s="35" t="s">
        <v>4806</v>
      </c>
      <c r="J36" s="79" t="s">
        <v>4630</v>
      </c>
      <c r="K36" s="81" t="s">
        <v>4631</v>
      </c>
      <c r="L36" s="82">
        <v>0.7916666666666666</v>
      </c>
      <c r="M36" s="82">
        <v>0.3333333333333333</v>
      </c>
      <c r="N36" s="15" t="s">
        <v>50</v>
      </c>
      <c r="O36" s="15" t="s">
        <v>50</v>
      </c>
      <c r="P36" s="15" t="s">
        <v>50</v>
      </c>
      <c r="Q36" s="15" t="s">
        <v>50</v>
      </c>
      <c r="R36" s="15" t="s">
        <v>50</v>
      </c>
      <c r="S36" s="15" t="s">
        <v>50</v>
      </c>
      <c r="T36" s="15" t="s">
        <v>50</v>
      </c>
      <c r="U36" s="15" t="s">
        <v>50</v>
      </c>
      <c r="V36" s="15" t="s">
        <v>50</v>
      </c>
      <c r="W36" s="15" t="s">
        <v>50</v>
      </c>
      <c r="X36" s="15" t="s">
        <v>50</v>
      </c>
      <c r="Y36" s="15" t="s">
        <v>50</v>
      </c>
    </row>
    <row r="37" ht="56.25" customHeight="1">
      <c r="A37" s="23" t="s">
        <v>4809</v>
      </c>
      <c r="B37" s="15" t="str">
        <f>IMAGE("https://i.imgur.com/AGRdV4A.png")</f>
        <v/>
      </c>
      <c r="C37" s="15" t="str">
        <f>IMAGE("https://i.imgur.com/5K0cagi.png")</f>
        <v/>
      </c>
      <c r="D37" s="15">
        <v>623.0</v>
      </c>
      <c r="E37" s="15" t="s">
        <v>211</v>
      </c>
      <c r="F37" s="15" t="s">
        <v>112</v>
      </c>
      <c r="G37" s="15">
        <v>24.0</v>
      </c>
      <c r="H37" s="13">
        <v>200.0</v>
      </c>
      <c r="I37" s="79" t="s">
        <v>4602</v>
      </c>
      <c r="J37" s="80" t="s">
        <v>4605</v>
      </c>
      <c r="K37" s="81" t="s">
        <v>4631</v>
      </c>
      <c r="L37" s="82">
        <v>0.3333333333333333</v>
      </c>
      <c r="M37" s="82">
        <v>0.7083333333333334</v>
      </c>
      <c r="N37" s="15" t="s">
        <v>50</v>
      </c>
      <c r="O37" s="15" t="s">
        <v>28</v>
      </c>
      <c r="P37" s="15" t="s">
        <v>28</v>
      </c>
      <c r="Q37" s="15" t="s">
        <v>28</v>
      </c>
      <c r="R37" s="15" t="s">
        <v>28</v>
      </c>
      <c r="S37" s="15" t="s">
        <v>28</v>
      </c>
      <c r="T37" s="15" t="s">
        <v>28</v>
      </c>
      <c r="U37" s="15" t="s">
        <v>28</v>
      </c>
      <c r="V37" s="15" t="s">
        <v>50</v>
      </c>
      <c r="W37" s="15" t="s">
        <v>50</v>
      </c>
      <c r="X37" s="15" t="s">
        <v>50</v>
      </c>
      <c r="Y37" s="15" t="s">
        <v>50</v>
      </c>
    </row>
    <row r="38" ht="56.25" customHeight="1">
      <c r="A38" s="23" t="s">
        <v>4812</v>
      </c>
      <c r="B38" s="15" t="str">
        <f>IMAGE("https://i.imgur.com/uElrjYM.png")</f>
        <v/>
      </c>
      <c r="C38" s="15" t="str">
        <f>IMAGE("https://i.imgur.com/xTP3LSM.png")</f>
        <v/>
      </c>
      <c r="D38" s="15">
        <v>615.0</v>
      </c>
      <c r="E38" s="15" t="s">
        <v>99</v>
      </c>
      <c r="F38" s="15" t="s">
        <v>99</v>
      </c>
      <c r="G38" s="15">
        <v>63.0</v>
      </c>
      <c r="H38" s="24">
        <v>8000.0</v>
      </c>
      <c r="I38" s="79" t="s">
        <v>4653</v>
      </c>
      <c r="J38" s="79" t="s">
        <v>4630</v>
      </c>
      <c r="K38" s="81" t="s">
        <v>4697</v>
      </c>
      <c r="L38" s="82">
        <v>0.7083333333333334</v>
      </c>
      <c r="M38" s="82">
        <v>0.3333333333333333</v>
      </c>
      <c r="N38" s="15" t="s">
        <v>50</v>
      </c>
      <c r="O38" s="15" t="s">
        <v>50</v>
      </c>
      <c r="P38" s="15" t="s">
        <v>28</v>
      </c>
      <c r="Q38" s="15" t="s">
        <v>28</v>
      </c>
      <c r="R38" s="15" t="s">
        <v>28</v>
      </c>
      <c r="S38" s="15" t="s">
        <v>28</v>
      </c>
      <c r="T38" s="15" t="s">
        <v>28</v>
      </c>
      <c r="U38" s="15" t="s">
        <v>28</v>
      </c>
      <c r="V38" s="15" t="s">
        <v>28</v>
      </c>
      <c r="W38" s="15" t="s">
        <v>28</v>
      </c>
      <c r="X38" s="15" t="s">
        <v>28</v>
      </c>
      <c r="Y38" s="15" t="s">
        <v>28</v>
      </c>
    </row>
    <row r="39" ht="56.25" customHeight="1">
      <c r="A39" s="23" t="s">
        <v>4815</v>
      </c>
      <c r="B39" s="15" t="str">
        <f>IMAGE("https://i.imgur.com/zubQ3UW.png")</f>
        <v/>
      </c>
      <c r="C39" s="15" t="str">
        <f>IMAGE("https://i.imgur.com/0Ef10xL.png")</f>
        <v/>
      </c>
      <c r="D39" s="15">
        <v>612.0</v>
      </c>
      <c r="E39" s="15" t="s">
        <v>118</v>
      </c>
      <c r="F39" s="15" t="s">
        <v>99</v>
      </c>
      <c r="G39" s="25">
        <v>62.0</v>
      </c>
      <c r="H39" s="13">
        <v>1350.0</v>
      </c>
      <c r="I39" s="79" t="s">
        <v>4635</v>
      </c>
      <c r="J39" s="79" t="s">
        <v>4630</v>
      </c>
      <c r="K39" s="81" t="s">
        <v>4631</v>
      </c>
      <c r="L39" s="82">
        <v>0.7083333333333334</v>
      </c>
      <c r="M39" s="82">
        <v>0.3333333333333333</v>
      </c>
      <c r="N39" s="15" t="s">
        <v>50</v>
      </c>
      <c r="O39" s="15" t="s">
        <v>50</v>
      </c>
      <c r="P39" s="15" t="s">
        <v>28</v>
      </c>
      <c r="Q39" s="15" t="s">
        <v>28</v>
      </c>
      <c r="R39" s="15" t="s">
        <v>28</v>
      </c>
      <c r="S39" s="15" t="s">
        <v>28</v>
      </c>
      <c r="T39" s="15" t="s">
        <v>28</v>
      </c>
      <c r="U39" s="15" t="s">
        <v>28</v>
      </c>
      <c r="V39" s="15" t="s">
        <v>28</v>
      </c>
      <c r="W39" s="15" t="s">
        <v>28</v>
      </c>
      <c r="X39" s="15" t="s">
        <v>28</v>
      </c>
      <c r="Y39" s="15" t="s">
        <v>28</v>
      </c>
    </row>
    <row r="40" ht="56.25" customHeight="1">
      <c r="A40" s="23" t="s">
        <v>4829</v>
      </c>
      <c r="B40" s="15" t="str">
        <f>IMAGE("https://i.imgur.com/SKsvO5S.png")</f>
        <v/>
      </c>
      <c r="C40" s="15" t="str">
        <f>IMAGE("https://i.imgur.com/urZlPkv.png")</f>
        <v/>
      </c>
      <c r="D40" s="15">
        <v>653.0</v>
      </c>
      <c r="E40" s="15" t="s">
        <v>1608</v>
      </c>
      <c r="F40" s="15" t="s">
        <v>99</v>
      </c>
      <c r="G40" s="15">
        <v>64.0</v>
      </c>
      <c r="H40" s="13">
        <v>8000.0</v>
      </c>
      <c r="I40" s="79" t="s">
        <v>4653</v>
      </c>
      <c r="J40" s="79" t="s">
        <v>4630</v>
      </c>
      <c r="K40" s="81" t="s">
        <v>4697</v>
      </c>
      <c r="L40" s="82">
        <v>0.7083333333333334</v>
      </c>
      <c r="M40" s="82">
        <v>0.3333333333333333</v>
      </c>
      <c r="N40" s="15" t="s">
        <v>50</v>
      </c>
      <c r="O40" s="15" t="s">
        <v>50</v>
      </c>
      <c r="P40" s="15" t="s">
        <v>28</v>
      </c>
      <c r="Q40" s="15" t="s">
        <v>28</v>
      </c>
      <c r="R40" s="15" t="s">
        <v>28</v>
      </c>
      <c r="S40" s="15" t="s">
        <v>28</v>
      </c>
      <c r="T40" s="15" t="s">
        <v>28</v>
      </c>
      <c r="U40" s="15" t="s">
        <v>28</v>
      </c>
      <c r="V40" s="15" t="s">
        <v>28</v>
      </c>
      <c r="W40" s="15" t="s">
        <v>28</v>
      </c>
      <c r="X40" s="15" t="s">
        <v>28</v>
      </c>
      <c r="Y40" s="15" t="s">
        <v>28</v>
      </c>
    </row>
    <row r="41" ht="56.25" customHeight="1">
      <c r="A41" s="23" t="s">
        <v>4838</v>
      </c>
      <c r="B41" s="15" t="str">
        <f>IMAGE("https://i.imgur.com/fXdjxtg.png")</f>
        <v/>
      </c>
      <c r="C41" s="15" t="str">
        <f>IMAGE("https://i.imgur.com/oMfv4vS.png")</f>
        <v/>
      </c>
      <c r="D41" s="15">
        <v>600.0</v>
      </c>
      <c r="E41" s="15" t="s">
        <v>211</v>
      </c>
      <c r="F41" s="15" t="s">
        <v>99</v>
      </c>
      <c r="G41" s="15">
        <v>65.0</v>
      </c>
      <c r="H41" s="13">
        <v>12000.0</v>
      </c>
      <c r="I41" s="79" t="s">
        <v>4653</v>
      </c>
      <c r="J41" s="79" t="s">
        <v>4630</v>
      </c>
      <c r="K41" s="81" t="s">
        <v>4697</v>
      </c>
      <c r="L41" s="82">
        <v>0.7083333333333334</v>
      </c>
      <c r="M41" s="82">
        <v>0.3333333333333333</v>
      </c>
      <c r="N41" s="15" t="s">
        <v>50</v>
      </c>
      <c r="O41" s="15" t="s">
        <v>50</v>
      </c>
      <c r="P41" s="15" t="s">
        <v>28</v>
      </c>
      <c r="Q41" s="15" t="s">
        <v>28</v>
      </c>
      <c r="R41" s="15" t="s">
        <v>28</v>
      </c>
      <c r="S41" s="15" t="s">
        <v>28</v>
      </c>
      <c r="T41" s="15" t="s">
        <v>28</v>
      </c>
      <c r="U41" s="15" t="s">
        <v>28</v>
      </c>
      <c r="V41" s="15" t="s">
        <v>28</v>
      </c>
      <c r="W41" s="15" t="s">
        <v>28</v>
      </c>
      <c r="X41" s="15" t="s">
        <v>28</v>
      </c>
      <c r="Y41" s="15" t="s">
        <v>28</v>
      </c>
    </row>
    <row r="42" ht="56.25" customHeight="1">
      <c r="A42" s="23" t="s">
        <v>4842</v>
      </c>
      <c r="B42" s="15" t="str">
        <f>IMAGE("https://i.imgur.com/paQWEhh.png")</f>
        <v/>
      </c>
      <c r="C42" s="15" t="str">
        <f>IMAGE("https://i.imgur.com/b3HY1EW.png")</f>
        <v/>
      </c>
      <c r="D42" s="15">
        <v>645.0</v>
      </c>
      <c r="E42" s="15" t="s">
        <v>369</v>
      </c>
      <c r="F42" s="15" t="s">
        <v>99</v>
      </c>
      <c r="G42" s="15">
        <v>45.0</v>
      </c>
      <c r="H42" s="13">
        <v>2400.0</v>
      </c>
      <c r="I42" s="80" t="s">
        <v>4679</v>
      </c>
      <c r="J42" s="80" t="s">
        <v>4605</v>
      </c>
      <c r="K42" s="23" t="s">
        <v>4610</v>
      </c>
      <c r="L42" s="13" t="s">
        <v>4632</v>
      </c>
      <c r="M42" s="13" t="s">
        <v>4632</v>
      </c>
      <c r="N42" s="15" t="s">
        <v>50</v>
      </c>
      <c r="O42" s="15" t="s">
        <v>50</v>
      </c>
      <c r="P42" s="15" t="s">
        <v>28</v>
      </c>
      <c r="Q42" s="15" t="s">
        <v>28</v>
      </c>
      <c r="R42" s="15" t="s">
        <v>28</v>
      </c>
      <c r="S42" s="15" t="s">
        <v>28</v>
      </c>
      <c r="T42" s="15" t="s">
        <v>28</v>
      </c>
      <c r="U42" s="15" t="s">
        <v>28</v>
      </c>
      <c r="V42" s="15" t="s">
        <v>28</v>
      </c>
      <c r="W42" s="15" t="s">
        <v>50</v>
      </c>
      <c r="X42" s="15" t="s">
        <v>50</v>
      </c>
      <c r="Y42" s="15" t="s">
        <v>50</v>
      </c>
    </row>
    <row r="43" ht="56.25" customHeight="1">
      <c r="A43" s="23" t="s">
        <v>4846</v>
      </c>
      <c r="B43" s="15" t="str">
        <f>IMAGE("https://i.imgur.com/Xvwm9Uz.png")</f>
        <v/>
      </c>
      <c r="C43" s="15" t="str">
        <f>IMAGE("https://i.imgur.com/YPqLhow.png")</f>
        <v/>
      </c>
      <c r="D43" s="15">
        <v>647.0</v>
      </c>
      <c r="E43" s="15" t="s">
        <v>208</v>
      </c>
      <c r="F43" s="15" t="s">
        <v>369</v>
      </c>
      <c r="G43" s="15">
        <v>43.0</v>
      </c>
      <c r="H43" s="13">
        <v>200.0</v>
      </c>
      <c r="I43" s="79" t="s">
        <v>4848</v>
      </c>
      <c r="J43" s="80" t="s">
        <v>4605</v>
      </c>
      <c r="K43" s="81" t="s">
        <v>4631</v>
      </c>
      <c r="L43" s="82">
        <v>0.3333333333333333</v>
      </c>
      <c r="M43" s="82">
        <v>0.7083333333333334</v>
      </c>
      <c r="N43" s="15" t="s">
        <v>28</v>
      </c>
      <c r="O43" s="15" t="s">
        <v>28</v>
      </c>
      <c r="P43" s="15" t="s">
        <v>28</v>
      </c>
      <c r="Q43" s="15" t="s">
        <v>50</v>
      </c>
      <c r="R43" s="15" t="s">
        <v>28</v>
      </c>
      <c r="S43" s="15" t="s">
        <v>28</v>
      </c>
      <c r="T43" s="15" t="s">
        <v>28</v>
      </c>
      <c r="U43" s="15" t="s">
        <v>28</v>
      </c>
      <c r="V43" s="15" t="s">
        <v>50</v>
      </c>
      <c r="W43" s="15" t="s">
        <v>50</v>
      </c>
      <c r="X43" s="15" t="s">
        <v>50</v>
      </c>
      <c r="Y43" s="15" t="s">
        <v>50</v>
      </c>
    </row>
    <row r="44" ht="56.25" customHeight="1">
      <c r="A44" s="37" t="s">
        <v>4854</v>
      </c>
      <c r="B44" s="15" t="str">
        <f>IMAGE("https://i.imgur.com/SP9kfTh.png")</f>
        <v/>
      </c>
      <c r="C44" s="15" t="str">
        <f>IMAGE("https://i.imgur.com/TrcZeLn.png")</f>
        <v/>
      </c>
      <c r="D44" s="15">
        <v>644.0</v>
      </c>
      <c r="E44" s="15" t="s">
        <v>369</v>
      </c>
      <c r="F44" s="15" t="s">
        <v>112</v>
      </c>
      <c r="G44" s="15">
        <v>16.0</v>
      </c>
      <c r="H44" s="13">
        <v>200.0</v>
      </c>
      <c r="I44" s="79" t="s">
        <v>4649</v>
      </c>
      <c r="J44" s="79" t="s">
        <v>4630</v>
      </c>
      <c r="K44" s="81" t="s">
        <v>4631</v>
      </c>
      <c r="L44" s="82">
        <v>0.3333333333333333</v>
      </c>
      <c r="M44" s="82">
        <v>0.7916666666666666</v>
      </c>
      <c r="N44" s="15" t="s">
        <v>50</v>
      </c>
      <c r="O44" s="15" t="s">
        <v>50</v>
      </c>
      <c r="P44" s="15" t="s">
        <v>50</v>
      </c>
      <c r="Q44" s="15" t="s">
        <v>50</v>
      </c>
      <c r="R44" s="15" t="s">
        <v>50</v>
      </c>
      <c r="S44" s="15" t="s">
        <v>28</v>
      </c>
      <c r="T44" s="15" t="s">
        <v>28</v>
      </c>
      <c r="U44" s="15" t="s">
        <v>28</v>
      </c>
      <c r="V44" s="15" t="s">
        <v>28</v>
      </c>
      <c r="W44" s="15" t="s">
        <v>50</v>
      </c>
      <c r="X44" s="15" t="s">
        <v>50</v>
      </c>
      <c r="Y44" s="15" t="s">
        <v>50</v>
      </c>
    </row>
    <row r="45" ht="56.25" customHeight="1">
      <c r="A45" s="37" t="s">
        <v>4858</v>
      </c>
      <c r="B45" s="15" t="str">
        <f>IMAGE("https://i.imgur.com/6jFfAD6.png")</f>
        <v/>
      </c>
      <c r="C45" s="15" t="str">
        <f>IMAGE("https://i.imgur.com/GBhJNMk.png")</f>
        <v/>
      </c>
      <c r="D45" s="15">
        <v>3484.0</v>
      </c>
      <c r="E45" s="15" t="s">
        <v>369</v>
      </c>
      <c r="F45" s="15" t="s">
        <v>107</v>
      </c>
      <c r="G45" s="15">
        <v>15.0</v>
      </c>
      <c r="H45" s="13">
        <v>2500.0</v>
      </c>
      <c r="I45" s="79" t="s">
        <v>4602</v>
      </c>
      <c r="J45" s="80" t="s">
        <v>4605</v>
      </c>
      <c r="K45" s="81" t="s">
        <v>4610</v>
      </c>
      <c r="L45" s="82">
        <v>0.3333333333333333</v>
      </c>
      <c r="M45" s="82">
        <v>0.6666666666666666</v>
      </c>
      <c r="N45" s="15" t="s">
        <v>50</v>
      </c>
      <c r="O45" s="15" t="s">
        <v>50</v>
      </c>
      <c r="P45" s="15" t="s">
        <v>50</v>
      </c>
      <c r="Q45" s="15" t="s">
        <v>28</v>
      </c>
      <c r="R45" s="15" t="s">
        <v>28</v>
      </c>
      <c r="S45" s="15" t="s">
        <v>28</v>
      </c>
      <c r="T45" s="15" t="s">
        <v>28</v>
      </c>
      <c r="U45" s="15" t="s">
        <v>28</v>
      </c>
      <c r="V45" s="15" t="s">
        <v>28</v>
      </c>
      <c r="W45" s="15" t="s">
        <v>50</v>
      </c>
      <c r="X45" s="15" t="s">
        <v>50</v>
      </c>
      <c r="Y45" s="15" t="s">
        <v>50</v>
      </c>
    </row>
    <row r="46" ht="56.25" customHeight="1">
      <c r="A46" s="37" t="s">
        <v>4863</v>
      </c>
      <c r="B46" s="15" t="str">
        <f>IMAGE("https://i.imgur.com/xll2eFD.png")</f>
        <v/>
      </c>
      <c r="C46" s="15" t="str">
        <f>IMAGE("https://i.imgur.com/fHQMYHx.png")</f>
        <v/>
      </c>
      <c r="D46" s="15">
        <v>3483.0</v>
      </c>
      <c r="E46" s="15" t="s">
        <v>99</v>
      </c>
      <c r="F46" s="15" t="s">
        <v>521</v>
      </c>
      <c r="G46" s="15">
        <v>42.0</v>
      </c>
      <c r="H46" s="13">
        <v>1000.0</v>
      </c>
      <c r="I46" s="79" t="s">
        <v>4848</v>
      </c>
      <c r="J46" s="80" t="s">
        <v>4605</v>
      </c>
      <c r="K46" s="81" t="s">
        <v>4610</v>
      </c>
      <c r="L46" s="82">
        <v>0.7916666666666666</v>
      </c>
      <c r="M46" s="82">
        <v>0.3333333333333333</v>
      </c>
      <c r="N46" s="15" t="s">
        <v>50</v>
      </c>
      <c r="O46" s="15" t="s">
        <v>50</v>
      </c>
      <c r="P46" s="15" t="s">
        <v>50</v>
      </c>
      <c r="Q46" s="15" t="s">
        <v>50</v>
      </c>
      <c r="R46" s="15" t="s">
        <v>28</v>
      </c>
      <c r="S46" s="15" t="s">
        <v>28</v>
      </c>
      <c r="T46" s="15" t="s">
        <v>28</v>
      </c>
      <c r="U46" s="15" t="s">
        <v>28</v>
      </c>
      <c r="V46" s="15" t="s">
        <v>50</v>
      </c>
      <c r="W46" s="15" t="s">
        <v>50</v>
      </c>
      <c r="X46" s="15" t="s">
        <v>50</v>
      </c>
      <c r="Y46" s="15" t="s">
        <v>50</v>
      </c>
    </row>
    <row r="47" ht="56.25" customHeight="1">
      <c r="A47" s="23" t="s">
        <v>4867</v>
      </c>
      <c r="B47" s="15" t="str">
        <f>IMAGE("https://i.imgur.com/0PhWLoa.png")</f>
        <v/>
      </c>
      <c r="C47" s="15" t="str">
        <f>IMAGE("https://i.imgur.com/taDtDFU.png")</f>
        <v/>
      </c>
      <c r="D47" s="15">
        <v>607.0</v>
      </c>
      <c r="E47" s="15" t="s">
        <v>369</v>
      </c>
      <c r="F47" s="15" t="s">
        <v>369</v>
      </c>
      <c r="G47" s="25">
        <v>22.0</v>
      </c>
      <c r="H47" s="13">
        <v>430.0</v>
      </c>
      <c r="I47" s="79" t="s">
        <v>4848</v>
      </c>
      <c r="J47" s="80" t="s">
        <v>4605</v>
      </c>
      <c r="K47" s="81" t="s">
        <v>4631</v>
      </c>
      <c r="L47" s="82">
        <v>0.3333333333333333</v>
      </c>
      <c r="M47" s="82">
        <v>0.7083333333333334</v>
      </c>
      <c r="N47" s="15" t="s">
        <v>50</v>
      </c>
      <c r="O47" s="15" t="s">
        <v>50</v>
      </c>
      <c r="P47" s="15" t="s">
        <v>50</v>
      </c>
      <c r="Q47" s="15" t="s">
        <v>50</v>
      </c>
      <c r="R47" s="15" t="s">
        <v>50</v>
      </c>
      <c r="S47" s="15" t="s">
        <v>28</v>
      </c>
      <c r="T47" s="15" t="s">
        <v>28</v>
      </c>
      <c r="U47" s="15" t="s">
        <v>28</v>
      </c>
      <c r="V47" s="15" t="s">
        <v>50</v>
      </c>
      <c r="W47" s="15" t="s">
        <v>50</v>
      </c>
      <c r="X47" s="15" t="s">
        <v>50</v>
      </c>
      <c r="Y47" s="15" t="s">
        <v>50</v>
      </c>
    </row>
    <row r="48" ht="56.25" customHeight="1">
      <c r="A48" s="23" t="s">
        <v>4873</v>
      </c>
      <c r="B48" s="15" t="str">
        <f>IMAGE("https://i.imgur.com/C8E3s0O.png")</f>
        <v/>
      </c>
      <c r="C48" s="15" t="str">
        <f>IMAGE("https://i.imgur.com/qmvsse3.png")</f>
        <v/>
      </c>
      <c r="D48" s="15">
        <v>648.0</v>
      </c>
      <c r="E48" s="15" t="s">
        <v>369</v>
      </c>
      <c r="F48" s="15" t="s">
        <v>521</v>
      </c>
      <c r="G48" s="15">
        <v>17.0</v>
      </c>
      <c r="H48" s="13">
        <v>600.0</v>
      </c>
      <c r="I48" s="79" t="s">
        <v>4649</v>
      </c>
      <c r="J48" s="79" t="s">
        <v>4630</v>
      </c>
      <c r="K48" s="81" t="s">
        <v>4610</v>
      </c>
      <c r="L48" s="82">
        <v>0.3333333333333333</v>
      </c>
      <c r="M48" s="82">
        <v>0.7916666666666666</v>
      </c>
      <c r="N48" s="15" t="s">
        <v>28</v>
      </c>
      <c r="O48" s="25" t="s">
        <v>50</v>
      </c>
      <c r="P48" s="25" t="s">
        <v>50</v>
      </c>
      <c r="Q48" s="25" t="s">
        <v>50</v>
      </c>
      <c r="R48" s="25" t="s">
        <v>50</v>
      </c>
      <c r="S48" s="15" t="s">
        <v>28</v>
      </c>
      <c r="T48" s="15" t="s">
        <v>28</v>
      </c>
      <c r="U48" s="15" t="s">
        <v>28</v>
      </c>
      <c r="V48" s="15" t="s">
        <v>28</v>
      </c>
      <c r="W48" s="15" t="s">
        <v>28</v>
      </c>
      <c r="X48" s="15" t="s">
        <v>28</v>
      </c>
      <c r="Y48" s="15" t="s">
        <v>28</v>
      </c>
    </row>
    <row r="49" ht="56.25" customHeight="1">
      <c r="A49" s="23" t="s">
        <v>4877</v>
      </c>
      <c r="B49" s="15" t="str">
        <f>IMAGE("https://i.imgur.com/sOMWySH.png")</f>
        <v/>
      </c>
      <c r="C49" s="15" t="str">
        <f>IMAGE("https://i.imgur.com/dDVXaXg.png")</f>
        <v/>
      </c>
      <c r="D49" s="15">
        <v>624.0</v>
      </c>
      <c r="E49" s="15" t="s">
        <v>99</v>
      </c>
      <c r="F49" s="15" t="s">
        <v>99</v>
      </c>
      <c r="G49" s="15">
        <v>56.0</v>
      </c>
      <c r="H49" s="13">
        <v>1000.0</v>
      </c>
      <c r="I49" s="80" t="s">
        <v>4635</v>
      </c>
      <c r="J49" s="80" t="s">
        <v>4630</v>
      </c>
      <c r="K49" s="23" t="s">
        <v>4631</v>
      </c>
      <c r="L49" s="13" t="s">
        <v>4632</v>
      </c>
      <c r="M49" s="13" t="s">
        <v>4632</v>
      </c>
      <c r="N49" s="15" t="s">
        <v>50</v>
      </c>
      <c r="O49" s="15" t="s">
        <v>50</v>
      </c>
      <c r="P49" s="15" t="s">
        <v>28</v>
      </c>
      <c r="Q49" s="15" t="s">
        <v>28</v>
      </c>
      <c r="R49" s="15" t="s">
        <v>28</v>
      </c>
      <c r="S49" s="15" t="s">
        <v>28</v>
      </c>
      <c r="T49" s="15" t="s">
        <v>28</v>
      </c>
      <c r="U49" s="15" t="s">
        <v>28</v>
      </c>
      <c r="V49" s="15" t="s">
        <v>28</v>
      </c>
      <c r="W49" s="15" t="s">
        <v>28</v>
      </c>
      <c r="X49" s="15" t="s">
        <v>28</v>
      </c>
      <c r="Y49" s="15" t="s">
        <v>28</v>
      </c>
    </row>
    <row r="50" ht="56.25" customHeight="1">
      <c r="A50" s="23" t="s">
        <v>4882</v>
      </c>
      <c r="B50" s="15" t="str">
        <f>IMAGE("https://i.imgur.com/immk7qq.png")</f>
        <v/>
      </c>
      <c r="C50" s="15" t="str">
        <f>IMAGE("https://i.imgur.com/kEVhVwQ.png")</f>
        <v/>
      </c>
      <c r="D50" s="15">
        <v>634.0</v>
      </c>
      <c r="E50" s="15" t="s">
        <v>118</v>
      </c>
      <c r="F50" s="15" t="s">
        <v>211</v>
      </c>
      <c r="G50" s="15">
        <v>37.0</v>
      </c>
      <c r="H50" s="13">
        <v>500.0</v>
      </c>
      <c r="I50" s="80" t="s">
        <v>4885</v>
      </c>
      <c r="J50" s="80" t="s">
        <v>4630</v>
      </c>
      <c r="K50" s="23" t="s">
        <v>4631</v>
      </c>
      <c r="L50" s="13" t="s">
        <v>4632</v>
      </c>
      <c r="M50" s="13" t="s">
        <v>4632</v>
      </c>
      <c r="N50" s="15" t="s">
        <v>28</v>
      </c>
      <c r="O50" s="15" t="s">
        <v>28</v>
      </c>
      <c r="P50" s="15" t="s">
        <v>28</v>
      </c>
      <c r="Q50" s="15" t="s">
        <v>28</v>
      </c>
      <c r="R50" s="15" t="s">
        <v>50</v>
      </c>
      <c r="S50" s="15" t="s">
        <v>50</v>
      </c>
      <c r="T50" s="15" t="s">
        <v>50</v>
      </c>
      <c r="U50" s="15" t="s">
        <v>50</v>
      </c>
      <c r="V50" s="15" t="s">
        <v>50</v>
      </c>
      <c r="W50" s="15" t="s">
        <v>50</v>
      </c>
      <c r="X50" s="15" t="s">
        <v>50</v>
      </c>
      <c r="Y50" s="15" t="s">
        <v>28</v>
      </c>
    </row>
    <row r="51" ht="56.25" customHeight="1">
      <c r="A51" s="37" t="s">
        <v>4886</v>
      </c>
      <c r="B51" s="15" t="str">
        <f>IMAGE("https://i.imgur.com/qbFDPC6.png")</f>
        <v/>
      </c>
      <c r="C51" s="15" t="str">
        <f>IMAGE("https://i.imgur.com/elOkNW1.png")</f>
        <v/>
      </c>
      <c r="D51" s="15">
        <v>636.0</v>
      </c>
      <c r="E51" s="15" t="s">
        <v>521</v>
      </c>
      <c r="F51" s="15" t="s">
        <v>112</v>
      </c>
      <c r="G51" s="15">
        <v>8.0</v>
      </c>
      <c r="H51" s="13">
        <v>140.0</v>
      </c>
      <c r="I51" s="79" t="s">
        <v>4602</v>
      </c>
      <c r="J51" s="80" t="s">
        <v>4605</v>
      </c>
      <c r="K51" s="81" t="s">
        <v>4631</v>
      </c>
      <c r="L51" s="82">
        <v>0.16666666666666666</v>
      </c>
      <c r="M51" s="82">
        <v>0.7083333333333334</v>
      </c>
      <c r="N51" s="15" t="s">
        <v>28</v>
      </c>
      <c r="O51" s="15" t="s">
        <v>28</v>
      </c>
      <c r="P51" s="15" t="s">
        <v>50</v>
      </c>
      <c r="Q51" s="15" t="s">
        <v>50</v>
      </c>
      <c r="R51" s="15" t="s">
        <v>50</v>
      </c>
      <c r="S51" s="15" t="s">
        <v>28</v>
      </c>
      <c r="T51" s="15" t="s">
        <v>28</v>
      </c>
      <c r="U51" s="15" t="s">
        <v>28</v>
      </c>
      <c r="V51" s="15" t="s">
        <v>28</v>
      </c>
      <c r="W51" s="15" t="s">
        <v>28</v>
      </c>
      <c r="X51" s="15" t="s">
        <v>28</v>
      </c>
      <c r="Y51" s="15" t="s">
        <v>28</v>
      </c>
    </row>
    <row r="52" ht="56.25" customHeight="1">
      <c r="A52" s="23" t="s">
        <v>4887</v>
      </c>
      <c r="B52" s="15" t="str">
        <f>IMAGE("https://i.imgur.com/J4lvhxL.png")</f>
        <v/>
      </c>
      <c r="C52" s="15" t="str">
        <f>IMAGE("https://i.imgur.com/L3o3RTf.png")</f>
        <v/>
      </c>
      <c r="D52" s="15">
        <v>606.0</v>
      </c>
      <c r="E52" s="15" t="s">
        <v>99</v>
      </c>
      <c r="F52" s="15" t="s">
        <v>82</v>
      </c>
      <c r="G52" s="15">
        <v>73.0</v>
      </c>
      <c r="H52" s="13">
        <v>130.0</v>
      </c>
      <c r="I52" s="79" t="s">
        <v>4642</v>
      </c>
      <c r="J52" s="80" t="s">
        <v>4605</v>
      </c>
      <c r="K52" s="81" t="s">
        <v>4631</v>
      </c>
      <c r="L52" s="82">
        <v>0.7083333333333334</v>
      </c>
      <c r="M52" s="82">
        <v>0.16666666666666666</v>
      </c>
      <c r="N52" s="15" t="s">
        <v>50</v>
      </c>
      <c r="O52" s="15" t="s">
        <v>50</v>
      </c>
      <c r="P52" s="15" t="s">
        <v>50</v>
      </c>
      <c r="Q52" s="15" t="s">
        <v>28</v>
      </c>
      <c r="R52" s="15" t="s">
        <v>28</v>
      </c>
      <c r="S52" s="15" t="s">
        <v>28</v>
      </c>
      <c r="T52" s="15" t="s">
        <v>28</v>
      </c>
      <c r="U52" s="15" t="s">
        <v>28</v>
      </c>
      <c r="V52" s="15" t="s">
        <v>28</v>
      </c>
      <c r="W52" s="15" t="s">
        <v>28</v>
      </c>
      <c r="X52" s="15" t="s">
        <v>28</v>
      </c>
      <c r="Y52" s="15" t="s">
        <v>50</v>
      </c>
    </row>
    <row r="53" ht="56.25" customHeight="1">
      <c r="A53" s="23" t="s">
        <v>4892</v>
      </c>
      <c r="B53" s="15" t="str">
        <f>IMAGE("https://i.imgur.com/sptQCBI.png")</f>
        <v/>
      </c>
      <c r="C53" s="15" t="str">
        <f>IMAGE("https://i.imgur.com/dF72Fzr.png")</f>
        <v/>
      </c>
      <c r="D53" s="15">
        <v>592.0</v>
      </c>
      <c r="E53" s="15" t="s">
        <v>1608</v>
      </c>
      <c r="F53" s="15" t="s">
        <v>211</v>
      </c>
      <c r="G53" s="15">
        <v>13.0</v>
      </c>
      <c r="H53" s="13">
        <v>130.0</v>
      </c>
      <c r="I53" s="80" t="s">
        <v>4895</v>
      </c>
      <c r="J53" s="80" t="s">
        <v>4605</v>
      </c>
      <c r="K53" s="81" t="s">
        <v>4631</v>
      </c>
      <c r="L53" s="82">
        <v>0.7916666666666666</v>
      </c>
      <c r="M53" s="82">
        <v>0.16666666666666666</v>
      </c>
      <c r="N53" s="15" t="s">
        <v>50</v>
      </c>
      <c r="O53" s="15" t="s">
        <v>50</v>
      </c>
      <c r="P53" s="15" t="s">
        <v>50</v>
      </c>
      <c r="Q53" s="15" t="s">
        <v>50</v>
      </c>
      <c r="R53" s="15" t="s">
        <v>50</v>
      </c>
      <c r="S53" s="15" t="s">
        <v>50</v>
      </c>
      <c r="T53" s="15" t="s">
        <v>50</v>
      </c>
      <c r="U53" s="15" t="s">
        <v>50</v>
      </c>
      <c r="V53" s="15" t="s">
        <v>50</v>
      </c>
      <c r="W53" s="15" t="s">
        <v>50</v>
      </c>
      <c r="X53" s="15" t="s">
        <v>50</v>
      </c>
      <c r="Y53" s="15" t="s">
        <v>50</v>
      </c>
    </row>
    <row r="54" ht="56.25" customHeight="1">
      <c r="A54" s="23" t="s">
        <v>4899</v>
      </c>
      <c r="B54" s="15" t="str">
        <f>IMAGE("https://i.imgur.com/UAxmr7Y.png")</f>
        <v/>
      </c>
      <c r="C54" s="15" t="str">
        <f>IMAGE("https://i.imgur.com/XZcj99n.png")</f>
        <v/>
      </c>
      <c r="D54" s="15">
        <v>598.0</v>
      </c>
      <c r="E54" s="15" t="s">
        <v>82</v>
      </c>
      <c r="F54" s="15" t="s">
        <v>107</v>
      </c>
      <c r="G54" s="15">
        <v>23.0</v>
      </c>
      <c r="H54" s="13">
        <v>2400.0</v>
      </c>
      <c r="I54" s="79" t="s">
        <v>4901</v>
      </c>
      <c r="J54" s="80" t="s">
        <v>4605</v>
      </c>
      <c r="K54" s="81" t="s">
        <v>4610</v>
      </c>
      <c r="L54" s="82">
        <v>0.3333333333333333</v>
      </c>
      <c r="M54" s="82">
        <v>0.7083333333333334</v>
      </c>
      <c r="N54" s="15" t="s">
        <v>50</v>
      </c>
      <c r="O54" s="15" t="s">
        <v>50</v>
      </c>
      <c r="P54" s="15" t="s">
        <v>50</v>
      </c>
      <c r="Q54" s="15" t="s">
        <v>50</v>
      </c>
      <c r="R54" s="15" t="s">
        <v>50</v>
      </c>
      <c r="S54" s="15" t="s">
        <v>28</v>
      </c>
      <c r="T54" s="15" t="s">
        <v>28</v>
      </c>
      <c r="U54" s="15" t="s">
        <v>28</v>
      </c>
      <c r="V54" s="15" t="s">
        <v>50</v>
      </c>
      <c r="W54" s="15" t="s">
        <v>50</v>
      </c>
      <c r="X54" s="15" t="s">
        <v>50</v>
      </c>
      <c r="Y54" s="15" t="s">
        <v>50</v>
      </c>
    </row>
    <row r="55" ht="56.25" customHeight="1">
      <c r="A55" s="23" t="s">
        <v>4904</v>
      </c>
      <c r="B55" s="15" t="str">
        <f>IMAGE("https://i.imgur.com/mhmn4jm.png")</f>
        <v/>
      </c>
      <c r="C55" s="15" t="str">
        <f>IMAGE("https://i.imgur.com/KvxMUDW.png")</f>
        <v/>
      </c>
      <c r="D55" s="15">
        <v>3478.0</v>
      </c>
      <c r="E55" s="15" t="s">
        <v>82</v>
      </c>
      <c r="F55" s="15" t="s">
        <v>211</v>
      </c>
      <c r="G55" s="15">
        <v>6.0</v>
      </c>
      <c r="H55" s="13">
        <v>1000.0</v>
      </c>
      <c r="I55" s="79" t="s">
        <v>4602</v>
      </c>
      <c r="J55" s="80" t="s">
        <v>4605</v>
      </c>
      <c r="K55" s="81" t="s">
        <v>4631</v>
      </c>
      <c r="L55" s="82">
        <v>0.3333333333333333</v>
      </c>
      <c r="M55" s="82">
        <v>0.7916666666666666</v>
      </c>
      <c r="N55" s="15" t="s">
        <v>50</v>
      </c>
      <c r="O55" s="15" t="s">
        <v>50</v>
      </c>
      <c r="P55" s="15" t="s">
        <v>50</v>
      </c>
      <c r="Q55" s="15" t="s">
        <v>50</v>
      </c>
      <c r="R55" s="15" t="s">
        <v>50</v>
      </c>
      <c r="S55" s="15" t="s">
        <v>50</v>
      </c>
      <c r="T55" s="15" t="s">
        <v>50</v>
      </c>
      <c r="U55" s="15" t="s">
        <v>50</v>
      </c>
      <c r="V55" s="15" t="s">
        <v>50</v>
      </c>
      <c r="W55" s="15" t="s">
        <v>50</v>
      </c>
      <c r="X55" s="15" t="s">
        <v>50</v>
      </c>
      <c r="Y55" s="15" t="s">
        <v>50</v>
      </c>
    </row>
    <row r="56" ht="56.25" customHeight="1">
      <c r="A56" s="23" t="s">
        <v>4909</v>
      </c>
      <c r="B56" s="15" t="str">
        <f>IMAGE("https://i.imgur.com/rP4Gxz9.png")</f>
        <v/>
      </c>
      <c r="C56" s="15" t="str">
        <f>IMAGE("https://i.imgur.com/UJ5uPO3.png")</f>
        <v/>
      </c>
      <c r="D56" s="15">
        <v>610.0</v>
      </c>
      <c r="E56" s="15" t="s">
        <v>369</v>
      </c>
      <c r="F56" s="15" t="s">
        <v>112</v>
      </c>
      <c r="G56" s="15">
        <v>4.0</v>
      </c>
      <c r="H56" s="13">
        <v>2500.0</v>
      </c>
      <c r="I56" s="79" t="s">
        <v>4911</v>
      </c>
      <c r="J56" s="80" t="s">
        <v>4605</v>
      </c>
      <c r="K56" s="81" t="s">
        <v>4610</v>
      </c>
      <c r="L56" s="82">
        <v>0.16666666666666666</v>
      </c>
      <c r="M56" s="82">
        <v>0.7916666666666666</v>
      </c>
      <c r="N56" s="15" t="s">
        <v>28</v>
      </c>
      <c r="O56" s="15" t="s">
        <v>28</v>
      </c>
      <c r="P56" s="15" t="s">
        <v>28</v>
      </c>
      <c r="Q56" s="15" t="s">
        <v>28</v>
      </c>
      <c r="R56" s="15" t="s">
        <v>28</v>
      </c>
      <c r="S56" s="15" t="s">
        <v>28</v>
      </c>
      <c r="T56" s="15" t="s">
        <v>28</v>
      </c>
      <c r="U56" s="15" t="s">
        <v>28</v>
      </c>
      <c r="V56" s="15" t="s">
        <v>50</v>
      </c>
      <c r="W56" s="15" t="s">
        <v>50</v>
      </c>
      <c r="X56" s="15" t="s">
        <v>50</v>
      </c>
      <c r="Y56" s="15" t="s">
        <v>50</v>
      </c>
    </row>
    <row r="57" ht="56.25" customHeight="1">
      <c r="A57" s="23" t="s">
        <v>4912</v>
      </c>
      <c r="B57" s="15" t="str">
        <f>IMAGE("https://i.imgur.com/lRH8lWP.png")</f>
        <v/>
      </c>
      <c r="C57" s="15" t="str">
        <f>IMAGE("https://i.imgur.com/PtkSoFu.png")</f>
        <v/>
      </c>
      <c r="D57" s="15">
        <v>590.0</v>
      </c>
      <c r="E57" s="15" t="s">
        <v>99</v>
      </c>
      <c r="F57" s="15" t="s">
        <v>112</v>
      </c>
      <c r="G57" s="15">
        <v>76.0</v>
      </c>
      <c r="H57" s="13">
        <v>250.0</v>
      </c>
      <c r="I57" s="35" t="s">
        <v>4669</v>
      </c>
      <c r="J57" s="79" t="s">
        <v>4630</v>
      </c>
      <c r="K57" s="81" t="s">
        <v>4631</v>
      </c>
      <c r="L57" s="82">
        <v>0.9583333333333334</v>
      </c>
      <c r="M57" s="82">
        <v>0.6666666666666666</v>
      </c>
      <c r="N57" s="15" t="s">
        <v>28</v>
      </c>
      <c r="O57" s="15" t="s">
        <v>28</v>
      </c>
      <c r="P57" s="15" t="s">
        <v>50</v>
      </c>
      <c r="Q57" s="15" t="s">
        <v>50</v>
      </c>
      <c r="R57" s="15" t="s">
        <v>50</v>
      </c>
      <c r="S57" s="15" t="s">
        <v>50</v>
      </c>
      <c r="T57" s="15" t="s">
        <v>50</v>
      </c>
      <c r="U57" s="15" t="s">
        <v>50</v>
      </c>
      <c r="V57" s="15" t="s">
        <v>50</v>
      </c>
      <c r="W57" s="15" t="s">
        <v>50</v>
      </c>
      <c r="X57" s="15" t="s">
        <v>50</v>
      </c>
      <c r="Y57" s="15" t="s">
        <v>50</v>
      </c>
    </row>
    <row r="58" ht="56.25" customHeight="1">
      <c r="A58" s="23" t="s">
        <v>4915</v>
      </c>
      <c r="B58" s="15" t="str">
        <f>IMAGE("https://i.imgur.com/PQ8AqZK.png")</f>
        <v/>
      </c>
      <c r="C58" s="15" t="str">
        <f>IMAGE("https://i.imgur.com/3ICDyZD.png")</f>
        <v/>
      </c>
      <c r="D58" s="15">
        <v>587.0</v>
      </c>
      <c r="E58" s="15" t="s">
        <v>99</v>
      </c>
      <c r="F58" s="15" t="s">
        <v>112</v>
      </c>
      <c r="G58" s="15">
        <v>38.0</v>
      </c>
      <c r="H58" s="13">
        <v>130.0</v>
      </c>
      <c r="I58" s="79" t="s">
        <v>4711</v>
      </c>
      <c r="J58" s="79" t="s">
        <v>4630</v>
      </c>
      <c r="K58" s="81" t="s">
        <v>4631</v>
      </c>
      <c r="L58" s="82">
        <v>0.3333333333333333</v>
      </c>
      <c r="M58" s="82">
        <v>0.7916666666666666</v>
      </c>
      <c r="N58" s="15" t="s">
        <v>50</v>
      </c>
      <c r="O58" s="15" t="s">
        <v>50</v>
      </c>
      <c r="P58" s="15" t="s">
        <v>50</v>
      </c>
      <c r="Q58" s="15" t="s">
        <v>28</v>
      </c>
      <c r="R58" s="15" t="s">
        <v>28</v>
      </c>
      <c r="S58" s="15" t="s">
        <v>28</v>
      </c>
      <c r="T58" s="15" t="s">
        <v>28</v>
      </c>
      <c r="U58" s="15" t="s">
        <v>28</v>
      </c>
      <c r="V58" s="15" t="s">
        <v>28</v>
      </c>
      <c r="W58" s="15" t="s">
        <v>28</v>
      </c>
      <c r="X58" s="15" t="s">
        <v>50</v>
      </c>
      <c r="Y58" s="15" t="s">
        <v>50</v>
      </c>
    </row>
    <row r="59" ht="56.25" customHeight="1">
      <c r="A59" s="37" t="s">
        <v>4923</v>
      </c>
      <c r="B59" s="15" t="str">
        <f>IMAGE("https://i.imgur.com/O9sWl5a.png")</f>
        <v/>
      </c>
      <c r="C59" s="15" t="str">
        <f>IMAGE("https://i.imgur.com/uXDJxpf.png")</f>
        <v/>
      </c>
      <c r="D59" s="15">
        <v>586.0</v>
      </c>
      <c r="E59" s="15" t="s">
        <v>369</v>
      </c>
      <c r="F59" s="15" t="s">
        <v>107</v>
      </c>
      <c r="G59" s="15">
        <v>12.0</v>
      </c>
      <c r="H59" s="13">
        <v>4000.0</v>
      </c>
      <c r="I59" s="79" t="s">
        <v>4602</v>
      </c>
      <c r="J59" s="80" t="s">
        <v>4605</v>
      </c>
      <c r="K59" s="81" t="s">
        <v>4643</v>
      </c>
      <c r="L59" s="82">
        <v>0.3333333333333333</v>
      </c>
      <c r="M59" s="82">
        <v>0.6666666666666666</v>
      </c>
      <c r="N59" s="25" t="s">
        <v>50</v>
      </c>
      <c r="O59" s="25" t="s">
        <v>50</v>
      </c>
      <c r="P59" s="25" t="s">
        <v>50</v>
      </c>
      <c r="Q59" s="15" t="s">
        <v>28</v>
      </c>
      <c r="R59" s="15" t="s">
        <v>28</v>
      </c>
      <c r="S59" s="15" t="s">
        <v>28</v>
      </c>
      <c r="T59" s="15" t="s">
        <v>28</v>
      </c>
      <c r="U59" s="15" t="s">
        <v>28</v>
      </c>
      <c r="V59" s="15" t="s">
        <v>28</v>
      </c>
      <c r="W59" s="15" t="s">
        <v>28</v>
      </c>
      <c r="X59" s="25" t="s">
        <v>50</v>
      </c>
      <c r="Y59" s="25" t="s">
        <v>50</v>
      </c>
    </row>
    <row r="60" ht="56.25" customHeight="1">
      <c r="A60" s="23" t="s">
        <v>4927</v>
      </c>
      <c r="B60" s="15" t="str">
        <f>IMAGE("https://i.imgur.com/Oy2jRhE.png")</f>
        <v/>
      </c>
      <c r="C60" s="15" t="str">
        <f>IMAGE("https://i.imgur.com/UVQ5pm1.png")</f>
        <v/>
      </c>
      <c r="D60" s="15">
        <v>631.0</v>
      </c>
      <c r="E60" s="15" t="s">
        <v>118</v>
      </c>
      <c r="F60" s="15" t="s">
        <v>99</v>
      </c>
      <c r="G60" s="15">
        <v>58.0</v>
      </c>
      <c r="H60" s="13">
        <v>6000.0</v>
      </c>
      <c r="I60" s="79" t="s">
        <v>4635</v>
      </c>
      <c r="J60" s="79" t="s">
        <v>4630</v>
      </c>
      <c r="K60" s="81" t="s">
        <v>4643</v>
      </c>
      <c r="L60" s="82">
        <v>0.7916666666666666</v>
      </c>
      <c r="M60" s="82">
        <v>0.3333333333333333</v>
      </c>
      <c r="N60" s="15" t="s">
        <v>50</v>
      </c>
      <c r="O60" s="15" t="s">
        <v>50</v>
      </c>
      <c r="P60" s="15" t="s">
        <v>50</v>
      </c>
      <c r="Q60" s="15" t="s">
        <v>28</v>
      </c>
      <c r="R60" s="15" t="s">
        <v>28</v>
      </c>
      <c r="S60" s="15" t="s">
        <v>28</v>
      </c>
      <c r="T60" s="15" t="s">
        <v>28</v>
      </c>
      <c r="U60" s="15" t="s">
        <v>28</v>
      </c>
      <c r="V60" s="15" t="s">
        <v>28</v>
      </c>
      <c r="W60" s="15" t="s">
        <v>28</v>
      </c>
      <c r="X60" s="15" t="s">
        <v>28</v>
      </c>
      <c r="Y60" s="15" t="s">
        <v>50</v>
      </c>
    </row>
    <row r="61" ht="56.25" customHeight="1">
      <c r="A61" s="37" t="s">
        <v>4929</v>
      </c>
      <c r="B61" s="15" t="str">
        <f>IMAGE("https://i.imgur.com/CGHO2UJ.png")</f>
        <v/>
      </c>
      <c r="C61" s="15" t="str">
        <f>IMAGE("https://i.imgur.com/we2Z6pt.png")</f>
        <v/>
      </c>
      <c r="D61" s="15">
        <v>584.0</v>
      </c>
      <c r="E61" s="15" t="s">
        <v>369</v>
      </c>
      <c r="F61" s="15" t="s">
        <v>107</v>
      </c>
      <c r="G61" s="15">
        <v>11.0</v>
      </c>
      <c r="H61" s="24">
        <v>2500.0</v>
      </c>
      <c r="I61" s="79" t="s">
        <v>4602</v>
      </c>
      <c r="J61" s="80" t="s">
        <v>4605</v>
      </c>
      <c r="K61" s="81" t="s">
        <v>4610</v>
      </c>
      <c r="L61" s="82">
        <v>0.3333333333333333</v>
      </c>
      <c r="M61" s="82">
        <v>0.7083333333333334</v>
      </c>
      <c r="N61" s="15" t="s">
        <v>50</v>
      </c>
      <c r="O61" s="15" t="s">
        <v>50</v>
      </c>
      <c r="P61" s="15" t="s">
        <v>50</v>
      </c>
      <c r="Q61" s="15" t="s">
        <v>28</v>
      </c>
      <c r="R61" s="15" t="s">
        <v>28</v>
      </c>
      <c r="S61" s="15" t="s">
        <v>50</v>
      </c>
      <c r="T61" s="15" t="s">
        <v>50</v>
      </c>
      <c r="U61" s="15" t="s">
        <v>50</v>
      </c>
      <c r="V61" s="15" t="s">
        <v>28</v>
      </c>
      <c r="W61" s="15" t="s">
        <v>50</v>
      </c>
      <c r="X61" s="15" t="s">
        <v>50</v>
      </c>
      <c r="Y61" s="15" t="s">
        <v>50</v>
      </c>
    </row>
    <row r="62" ht="56.25" customHeight="1">
      <c r="A62" s="23" t="s">
        <v>4933</v>
      </c>
      <c r="B62" s="15" t="str">
        <f>IMAGE("https://i.imgur.com/hACPjv7.png")</f>
        <v/>
      </c>
      <c r="C62" s="15" t="str">
        <f>IMAGE("https://i.imgur.com/PzW8frD.png")</f>
        <v/>
      </c>
      <c r="D62" s="15">
        <v>585.0</v>
      </c>
      <c r="E62" s="15" t="s">
        <v>208</v>
      </c>
      <c r="F62" s="15" t="s">
        <v>521</v>
      </c>
      <c r="G62" s="15">
        <v>32.0</v>
      </c>
      <c r="H62" s="13">
        <v>180.0</v>
      </c>
      <c r="I62" s="79" t="s">
        <v>4642</v>
      </c>
      <c r="J62" s="80" t="s">
        <v>4605</v>
      </c>
      <c r="K62" s="81" t="s">
        <v>4631</v>
      </c>
      <c r="L62" s="82">
        <v>0.3333333333333333</v>
      </c>
      <c r="M62" s="82">
        <v>0.7916666666666666</v>
      </c>
      <c r="N62" s="15" t="s">
        <v>28</v>
      </c>
      <c r="O62" s="15" t="s">
        <v>28</v>
      </c>
      <c r="P62" s="15" t="s">
        <v>50</v>
      </c>
      <c r="Q62" s="15" t="s">
        <v>50</v>
      </c>
      <c r="R62" s="15" t="s">
        <v>28</v>
      </c>
      <c r="S62" s="15" t="s">
        <v>28</v>
      </c>
      <c r="T62" s="15" t="s">
        <v>28</v>
      </c>
      <c r="U62" s="15" t="s">
        <v>28</v>
      </c>
      <c r="V62" s="15" t="s">
        <v>28</v>
      </c>
      <c r="W62" s="15" t="s">
        <v>28</v>
      </c>
      <c r="X62" s="15" t="s">
        <v>28</v>
      </c>
      <c r="Y62" s="15" t="s">
        <v>28</v>
      </c>
    </row>
    <row r="63" ht="56.25" customHeight="1">
      <c r="A63" s="23" t="s">
        <v>4940</v>
      </c>
      <c r="B63" s="15" t="str">
        <f>IMAGE("https://i.imgur.com/FGzyLfj.png")</f>
        <v/>
      </c>
      <c r="C63" s="15" t="str">
        <f>IMAGE("https://i.imgur.com/3UZ2dhS.png")</f>
        <v/>
      </c>
      <c r="D63" s="15">
        <v>605.0</v>
      </c>
      <c r="E63" s="15" t="s">
        <v>369</v>
      </c>
      <c r="F63" s="15" t="s">
        <v>211</v>
      </c>
      <c r="G63" s="15">
        <v>18.0</v>
      </c>
      <c r="H63" s="13">
        <v>400.0</v>
      </c>
      <c r="I63" s="79" t="s">
        <v>4649</v>
      </c>
      <c r="J63" s="79" t="s">
        <v>4630</v>
      </c>
      <c r="K63" s="81" t="s">
        <v>4631</v>
      </c>
      <c r="L63" s="82">
        <v>0.3333333333333333</v>
      </c>
      <c r="M63" s="82">
        <v>0.7916666666666666</v>
      </c>
      <c r="N63" s="15" t="s">
        <v>28</v>
      </c>
      <c r="O63" s="15" t="s">
        <v>50</v>
      </c>
      <c r="P63" s="15" t="s">
        <v>50</v>
      </c>
      <c r="Q63" s="15" t="s">
        <v>50</v>
      </c>
      <c r="R63" s="15" t="s">
        <v>50</v>
      </c>
      <c r="S63" s="15" t="s">
        <v>28</v>
      </c>
      <c r="T63" s="15" t="s">
        <v>28</v>
      </c>
      <c r="U63" s="15" t="s">
        <v>28</v>
      </c>
      <c r="V63" s="15" t="s">
        <v>28</v>
      </c>
      <c r="W63" s="15" t="s">
        <v>28</v>
      </c>
      <c r="X63" s="15" t="s">
        <v>28</v>
      </c>
      <c r="Y63" s="15" t="s">
        <v>28</v>
      </c>
    </row>
    <row r="64" ht="56.25" customHeight="1">
      <c r="A64" s="23" t="s">
        <v>4942</v>
      </c>
      <c r="B64" s="15" t="str">
        <f>IMAGE("https://i.imgur.com/NjsDGuP.png")</f>
        <v/>
      </c>
      <c r="C64" s="15" t="str">
        <f>IMAGE("https://i.imgur.com/x2v1wjb.png")</f>
        <v/>
      </c>
      <c r="D64" s="15">
        <v>621.0</v>
      </c>
      <c r="E64" s="15" t="s">
        <v>99</v>
      </c>
      <c r="F64" s="15" t="s">
        <v>112</v>
      </c>
      <c r="G64" s="15">
        <v>27.0</v>
      </c>
      <c r="H64" s="13">
        <v>300.0</v>
      </c>
      <c r="I64" s="79" t="s">
        <v>4658</v>
      </c>
      <c r="J64" s="79" t="s">
        <v>4630</v>
      </c>
      <c r="K64" s="81" t="s">
        <v>4631</v>
      </c>
      <c r="L64" s="82">
        <v>0.3333333333333333</v>
      </c>
      <c r="M64" s="82">
        <v>0.7083333333333334</v>
      </c>
      <c r="N64" s="15" t="s">
        <v>50</v>
      </c>
      <c r="O64" s="15" t="s">
        <v>50</v>
      </c>
      <c r="P64" s="15" t="s">
        <v>28</v>
      </c>
      <c r="Q64" s="15" t="s">
        <v>28</v>
      </c>
      <c r="R64" s="15" t="s">
        <v>28</v>
      </c>
      <c r="S64" s="15" t="s">
        <v>28</v>
      </c>
      <c r="T64" s="15" t="s">
        <v>28</v>
      </c>
      <c r="U64" s="15" t="s">
        <v>28</v>
      </c>
      <c r="V64" s="15" t="s">
        <v>28</v>
      </c>
      <c r="W64" s="15" t="s">
        <v>28</v>
      </c>
      <c r="X64" s="15" t="s">
        <v>28</v>
      </c>
      <c r="Y64" s="15" t="s">
        <v>28</v>
      </c>
    </row>
    <row r="65" ht="56.25" customHeight="1">
      <c r="A65" s="23" t="s">
        <v>4944</v>
      </c>
      <c r="B65" s="15" t="str">
        <f>IMAGE("https://i.imgur.com/l0H0xS8.png")</f>
        <v/>
      </c>
      <c r="C65" s="15" t="str">
        <f>IMAGE("https://i.imgur.com/pDbR660.png")</f>
        <v/>
      </c>
      <c r="D65" s="15">
        <v>3487.0</v>
      </c>
      <c r="E65" s="15" t="s">
        <v>112</v>
      </c>
      <c r="F65" s="15" t="s">
        <v>99</v>
      </c>
      <c r="G65" s="15">
        <v>48.0</v>
      </c>
      <c r="H65" s="13">
        <v>3000.0</v>
      </c>
      <c r="I65" s="80" t="s">
        <v>4679</v>
      </c>
      <c r="J65" s="80" t="s">
        <v>4605</v>
      </c>
      <c r="K65" s="23" t="s">
        <v>4610</v>
      </c>
      <c r="L65" s="13" t="s">
        <v>4632</v>
      </c>
      <c r="M65" s="13" t="s">
        <v>4632</v>
      </c>
      <c r="N65" s="15" t="s">
        <v>50</v>
      </c>
      <c r="O65" s="15" t="s">
        <v>50</v>
      </c>
      <c r="P65" s="15" t="s">
        <v>50</v>
      </c>
      <c r="Q65" s="15" t="s">
        <v>28</v>
      </c>
      <c r="R65" s="15" t="s">
        <v>28</v>
      </c>
      <c r="S65" s="15" t="s">
        <v>28</v>
      </c>
      <c r="T65" s="15" t="s">
        <v>28</v>
      </c>
      <c r="U65" s="15" t="s">
        <v>28</v>
      </c>
      <c r="V65" s="15" t="s">
        <v>28</v>
      </c>
      <c r="W65" s="15" t="s">
        <v>28</v>
      </c>
      <c r="X65" s="15" t="s">
        <v>50</v>
      </c>
      <c r="Y65" s="15" t="s">
        <v>50</v>
      </c>
    </row>
    <row r="66" ht="56.25" customHeight="1">
      <c r="A66" s="23" t="s">
        <v>4947</v>
      </c>
      <c r="B66" s="15" t="str">
        <f>IMAGE("https://i.imgur.com/NrHugnM.png")</f>
        <v/>
      </c>
      <c r="C66" s="15" t="str">
        <f>IMAGE("https://i.imgur.com/R6PrShO.png")</f>
        <v/>
      </c>
      <c r="D66" s="15">
        <v>632.0</v>
      </c>
      <c r="E66" s="15" t="s">
        <v>118</v>
      </c>
      <c r="F66" s="15" t="s">
        <v>99</v>
      </c>
      <c r="G66" s="15">
        <v>55.0</v>
      </c>
      <c r="H66" s="13">
        <v>2000.0</v>
      </c>
      <c r="I66" s="80" t="s">
        <v>4635</v>
      </c>
      <c r="J66" s="80" t="s">
        <v>4630</v>
      </c>
      <c r="K66" s="23" t="s">
        <v>4631</v>
      </c>
      <c r="L66" s="24" t="s">
        <v>4632</v>
      </c>
      <c r="M66" s="24" t="s">
        <v>4632</v>
      </c>
      <c r="N66" s="25" t="s">
        <v>50</v>
      </c>
      <c r="O66" s="25" t="s">
        <v>50</v>
      </c>
      <c r="P66" s="15" t="s">
        <v>28</v>
      </c>
      <c r="Q66" s="15" t="s">
        <v>28</v>
      </c>
      <c r="R66" s="15" t="s">
        <v>28</v>
      </c>
      <c r="S66" s="15" t="s">
        <v>28</v>
      </c>
      <c r="T66" s="15" t="s">
        <v>28</v>
      </c>
      <c r="U66" s="15" t="s">
        <v>28</v>
      </c>
      <c r="V66" s="15" t="s">
        <v>28</v>
      </c>
      <c r="W66" s="15" t="s">
        <v>28</v>
      </c>
      <c r="X66" s="15" t="s">
        <v>28</v>
      </c>
      <c r="Y66" s="15" t="s">
        <v>28</v>
      </c>
    </row>
    <row r="67" ht="56.25" customHeight="1">
      <c r="A67" s="23" t="s">
        <v>4949</v>
      </c>
      <c r="B67" s="15" t="str">
        <f>IMAGE("https://i.imgur.com/WRmOGCJ.png")</f>
        <v/>
      </c>
      <c r="C67" s="15" t="str">
        <f>IMAGE("https://i.imgur.com/INYPA0T.png")</f>
        <v/>
      </c>
      <c r="D67" s="15">
        <v>639.0</v>
      </c>
      <c r="E67" s="15" t="s">
        <v>99</v>
      </c>
      <c r="F67" s="15" t="s">
        <v>1608</v>
      </c>
      <c r="G67" s="15">
        <v>52.0</v>
      </c>
      <c r="H67" s="13">
        <v>10000.0</v>
      </c>
      <c r="I67" s="79" t="s">
        <v>4635</v>
      </c>
      <c r="J67" s="79" t="s">
        <v>4630</v>
      </c>
      <c r="K67" s="81" t="s">
        <v>4643</v>
      </c>
      <c r="L67" s="82">
        <v>0.9583333333333334</v>
      </c>
      <c r="M67" s="82">
        <v>0.8333333333333334</v>
      </c>
      <c r="N67" s="15" t="s">
        <v>50</v>
      </c>
      <c r="O67" s="15" t="s">
        <v>50</v>
      </c>
      <c r="P67" s="15" t="s">
        <v>28</v>
      </c>
      <c r="Q67" s="15" t="s">
        <v>28</v>
      </c>
      <c r="R67" s="15" t="s">
        <v>28</v>
      </c>
      <c r="S67" s="15" t="s">
        <v>28</v>
      </c>
      <c r="T67" s="15" t="s">
        <v>28</v>
      </c>
      <c r="U67" s="15" t="s">
        <v>28</v>
      </c>
      <c r="V67" s="15" t="s">
        <v>28</v>
      </c>
      <c r="W67" s="15" t="s">
        <v>28</v>
      </c>
      <c r="X67" s="15" t="s">
        <v>28</v>
      </c>
      <c r="Y67" s="15" t="s">
        <v>28</v>
      </c>
    </row>
    <row r="68" ht="56.25" customHeight="1">
      <c r="A68" s="23" t="s">
        <v>4953</v>
      </c>
      <c r="B68" s="15" t="str">
        <f>IMAGE("https://i.imgur.com/xkNxv3f.png")</f>
        <v/>
      </c>
      <c r="C68" s="15" t="str">
        <f>IMAGE("https://i.imgur.com/raLYqUR.png")</f>
        <v/>
      </c>
      <c r="D68" s="15">
        <v>640.0</v>
      </c>
      <c r="E68" s="15" t="s">
        <v>99</v>
      </c>
      <c r="F68" s="15" t="s">
        <v>99</v>
      </c>
      <c r="G68" s="15">
        <v>80.0</v>
      </c>
      <c r="H68" s="13">
        <v>8000.0</v>
      </c>
      <c r="I68" s="79" t="s">
        <v>4649</v>
      </c>
      <c r="J68" s="79" t="s">
        <v>4630</v>
      </c>
      <c r="K68" s="81" t="s">
        <v>4631</v>
      </c>
      <c r="L68" s="82">
        <v>0.7916666666666666</v>
      </c>
      <c r="M68" s="82">
        <v>0.16666666666666666</v>
      </c>
      <c r="N68" s="15" t="s">
        <v>50</v>
      </c>
      <c r="O68" s="15" t="s">
        <v>50</v>
      </c>
      <c r="P68" s="15" t="s">
        <v>50</v>
      </c>
      <c r="Q68" s="15" t="s">
        <v>50</v>
      </c>
      <c r="R68" s="15" t="s">
        <v>28</v>
      </c>
      <c r="S68" s="15" t="s">
        <v>28</v>
      </c>
      <c r="T68" s="15" t="s">
        <v>28</v>
      </c>
      <c r="U68" s="15" t="s">
        <v>28</v>
      </c>
      <c r="V68" s="15" t="s">
        <v>28</v>
      </c>
      <c r="W68" s="15" t="s">
        <v>28</v>
      </c>
      <c r="X68" s="15" t="s">
        <v>50</v>
      </c>
      <c r="Y68" s="15" t="s">
        <v>50</v>
      </c>
    </row>
    <row r="69" ht="56.25" customHeight="1">
      <c r="A69" s="23" t="s">
        <v>4957</v>
      </c>
      <c r="B69" s="15" t="str">
        <f>IMAGE("https://i.imgur.com/CcYFhd2.png")</f>
        <v/>
      </c>
      <c r="C69" s="15" t="str">
        <f>IMAGE("https://i.imgur.com/uNRwciB.png")</f>
        <v/>
      </c>
      <c r="D69" s="15">
        <v>611.0</v>
      </c>
      <c r="E69" s="15" t="s">
        <v>1608</v>
      </c>
      <c r="F69" s="15" t="s">
        <v>369</v>
      </c>
      <c r="G69" s="15">
        <v>75.0</v>
      </c>
      <c r="H69" s="13">
        <v>250.0</v>
      </c>
      <c r="I69" s="80" t="s">
        <v>4958</v>
      </c>
      <c r="J69" s="80" t="s">
        <v>4959</v>
      </c>
      <c r="K69" s="23" t="s">
        <v>4631</v>
      </c>
      <c r="L69" s="13" t="s">
        <v>4632</v>
      </c>
      <c r="M69" s="13" t="s">
        <v>4632</v>
      </c>
      <c r="N69" s="15" t="s">
        <v>50</v>
      </c>
      <c r="O69" s="15" t="s">
        <v>50</v>
      </c>
      <c r="P69" s="15" t="s">
        <v>50</v>
      </c>
      <c r="Q69" s="15" t="s">
        <v>50</v>
      </c>
      <c r="R69" s="15" t="s">
        <v>50</v>
      </c>
      <c r="S69" s="15" t="s">
        <v>50</v>
      </c>
      <c r="T69" s="15" t="s">
        <v>50</v>
      </c>
      <c r="U69" s="15" t="s">
        <v>50</v>
      </c>
      <c r="V69" s="15" t="s">
        <v>50</v>
      </c>
      <c r="W69" s="15" t="s">
        <v>50</v>
      </c>
      <c r="X69" s="15" t="s">
        <v>50</v>
      </c>
      <c r="Y69" s="15" t="s">
        <v>50</v>
      </c>
    </row>
    <row r="70" ht="56.25" customHeight="1">
      <c r="A70" s="23" t="s">
        <v>4961</v>
      </c>
      <c r="B70" s="15" t="str">
        <f>IMAGE("https://i.imgur.com/VgTT2A1.png")</f>
        <v/>
      </c>
      <c r="C70" s="15" t="str">
        <f>IMAGE("https://i.imgur.com/43MnaqA.png")</f>
        <v/>
      </c>
      <c r="D70" s="15">
        <v>619.0</v>
      </c>
      <c r="E70" s="15" t="s">
        <v>211</v>
      </c>
      <c r="F70" s="15" t="s">
        <v>521</v>
      </c>
      <c r="G70" s="15">
        <v>78.0</v>
      </c>
      <c r="H70" s="13">
        <v>600.0</v>
      </c>
      <c r="I70" s="80" t="s">
        <v>4638</v>
      </c>
      <c r="J70" s="79" t="s">
        <v>4630</v>
      </c>
      <c r="K70" s="81" t="s">
        <v>4631</v>
      </c>
      <c r="L70" s="82">
        <v>0.7916666666666666</v>
      </c>
      <c r="M70" s="82">
        <v>0.3333333333333333</v>
      </c>
      <c r="N70" s="15" t="s">
        <v>50</v>
      </c>
      <c r="O70" s="15" t="s">
        <v>50</v>
      </c>
      <c r="P70" s="15" t="s">
        <v>50</v>
      </c>
      <c r="Q70" s="15" t="s">
        <v>50</v>
      </c>
      <c r="R70" s="15" t="s">
        <v>50</v>
      </c>
      <c r="S70" s="15" t="s">
        <v>50</v>
      </c>
      <c r="T70" s="15" t="s">
        <v>50</v>
      </c>
      <c r="U70" s="15" t="s">
        <v>50</v>
      </c>
      <c r="V70" s="15" t="s">
        <v>50</v>
      </c>
      <c r="W70" s="15" t="s">
        <v>50</v>
      </c>
      <c r="X70" s="15" t="s">
        <v>50</v>
      </c>
      <c r="Y70" s="15" t="s">
        <v>50</v>
      </c>
    </row>
    <row r="71" ht="56.25" customHeight="1">
      <c r="A71" s="23" t="s">
        <v>4963</v>
      </c>
      <c r="B71" s="15" t="str">
        <f>IMAGE("https://i.imgur.com/S6ywsm0.png")</f>
        <v/>
      </c>
      <c r="C71" s="15" t="str">
        <f>IMAGE("https://i.imgur.com/loGXbgv.png")</f>
        <v/>
      </c>
      <c r="D71" s="15">
        <v>608.0</v>
      </c>
      <c r="E71" s="15" t="s">
        <v>369</v>
      </c>
      <c r="F71" s="15" t="s">
        <v>211</v>
      </c>
      <c r="G71" s="15">
        <v>41.0</v>
      </c>
      <c r="H71" s="13">
        <v>120.0</v>
      </c>
      <c r="I71" s="80" t="s">
        <v>4848</v>
      </c>
      <c r="J71" s="80" t="s">
        <v>4605</v>
      </c>
      <c r="K71" s="23" t="s">
        <v>4631</v>
      </c>
      <c r="L71" s="13" t="s">
        <v>4632</v>
      </c>
      <c r="M71" s="13" t="s">
        <v>4632</v>
      </c>
      <c r="N71" s="15" t="s">
        <v>50</v>
      </c>
      <c r="O71" s="15" t="s">
        <v>50</v>
      </c>
      <c r="P71" s="15" t="s">
        <v>50</v>
      </c>
      <c r="Q71" s="15" t="s">
        <v>50</v>
      </c>
      <c r="R71" s="15" t="s">
        <v>28</v>
      </c>
      <c r="S71" s="15" t="s">
        <v>28</v>
      </c>
      <c r="T71" s="15" t="s">
        <v>28</v>
      </c>
      <c r="U71" s="15" t="s">
        <v>28</v>
      </c>
      <c r="V71" s="15" t="s">
        <v>50</v>
      </c>
      <c r="W71" s="15" t="s">
        <v>50</v>
      </c>
      <c r="X71" s="15" t="s">
        <v>50</v>
      </c>
      <c r="Y71" s="15" t="s">
        <v>50</v>
      </c>
    </row>
    <row r="72" ht="56.25" customHeight="1">
      <c r="A72" s="23" t="s">
        <v>4965</v>
      </c>
      <c r="B72" s="15" t="str">
        <f>IMAGE("https://i.imgur.com/QJo1pn8.png")</f>
        <v/>
      </c>
      <c r="C72" s="15" t="str">
        <f>IMAGE("https://i.imgur.com/nhENzuu.png")</f>
        <v/>
      </c>
      <c r="D72" s="15">
        <v>646.0</v>
      </c>
      <c r="E72" s="15" t="s">
        <v>118</v>
      </c>
      <c r="F72" s="15" t="s">
        <v>99</v>
      </c>
      <c r="G72" s="15">
        <v>79.0</v>
      </c>
      <c r="H72" s="13">
        <v>8000.0</v>
      </c>
      <c r="I72" s="79" t="s">
        <v>4649</v>
      </c>
      <c r="J72" s="79" t="s">
        <v>4630</v>
      </c>
      <c r="K72" s="81" t="s">
        <v>4631</v>
      </c>
      <c r="L72" s="82">
        <v>0.7916666666666666</v>
      </c>
      <c r="M72" s="82">
        <v>0.16666666666666666</v>
      </c>
      <c r="N72" s="15" t="s">
        <v>28</v>
      </c>
      <c r="O72" s="15" t="s">
        <v>28</v>
      </c>
      <c r="P72" s="15" t="s">
        <v>28</v>
      </c>
      <c r="Q72" s="15" t="s">
        <v>28</v>
      </c>
      <c r="R72" s="15" t="s">
        <v>50</v>
      </c>
      <c r="S72" s="15" t="s">
        <v>50</v>
      </c>
      <c r="T72" s="15" t="s">
        <v>50</v>
      </c>
      <c r="U72" s="15" t="s">
        <v>50</v>
      </c>
      <c r="V72" s="15" t="s">
        <v>50</v>
      </c>
      <c r="W72" s="15" t="s">
        <v>50</v>
      </c>
      <c r="X72" s="15" t="s">
        <v>28</v>
      </c>
      <c r="Y72" s="15" t="s">
        <v>28</v>
      </c>
    </row>
    <row r="73" ht="56.25" customHeight="1">
      <c r="A73" s="23" t="s">
        <v>4968</v>
      </c>
      <c r="B73" s="15" t="str">
        <f>IMAGE("https://i.imgur.com/xyimMAp.png")</f>
        <v/>
      </c>
      <c r="C73" s="15" t="str">
        <f>IMAGE("https://i.imgur.com/fmyMi8H.png")</f>
        <v/>
      </c>
      <c r="D73" s="15">
        <v>599.0</v>
      </c>
      <c r="E73" s="15" t="s">
        <v>369</v>
      </c>
      <c r="F73" s="15" t="s">
        <v>211</v>
      </c>
      <c r="G73" s="15">
        <v>44.0</v>
      </c>
      <c r="H73" s="13">
        <v>1500.0</v>
      </c>
      <c r="I73" s="80" t="s">
        <v>4649</v>
      </c>
      <c r="J73" s="80" t="s">
        <v>4605</v>
      </c>
      <c r="K73" s="23" t="s">
        <v>4610</v>
      </c>
      <c r="L73" s="13" t="s">
        <v>4632</v>
      </c>
      <c r="M73" s="13" t="s">
        <v>4632</v>
      </c>
      <c r="N73" s="15" t="s">
        <v>50</v>
      </c>
      <c r="O73" s="15" t="s">
        <v>50</v>
      </c>
      <c r="P73" s="15" t="s">
        <v>50</v>
      </c>
      <c r="Q73" s="15" t="s">
        <v>50</v>
      </c>
      <c r="R73" s="15" t="s">
        <v>28</v>
      </c>
      <c r="S73" s="15" t="s">
        <v>28</v>
      </c>
      <c r="T73" s="15" t="s">
        <v>28</v>
      </c>
      <c r="U73" s="15" t="s">
        <v>50</v>
      </c>
      <c r="V73" s="15" t="s">
        <v>50</v>
      </c>
      <c r="W73" s="15" t="s">
        <v>50</v>
      </c>
      <c r="X73" s="15" t="s">
        <v>50</v>
      </c>
      <c r="Y73" s="15" t="s">
        <v>50</v>
      </c>
    </row>
    <row r="74" ht="56.25" customHeight="1">
      <c r="A74" s="23" t="s">
        <v>4972</v>
      </c>
      <c r="B74" s="15" t="str">
        <f>IMAGE("https://i.imgur.com/ueqMyVH.png")</f>
        <v/>
      </c>
      <c r="C74" s="15" t="str">
        <f>IMAGE("https://i.imgur.com/GbaPYvM.png")</f>
        <v/>
      </c>
      <c r="D74" s="15">
        <v>583.0</v>
      </c>
      <c r="E74" s="15" t="s">
        <v>211</v>
      </c>
      <c r="F74" s="15" t="s">
        <v>369</v>
      </c>
      <c r="G74" s="15">
        <v>3.0</v>
      </c>
      <c r="H74" s="13">
        <v>240.0</v>
      </c>
      <c r="I74" s="79" t="s">
        <v>4602</v>
      </c>
      <c r="J74" s="80" t="s">
        <v>4605</v>
      </c>
      <c r="K74" s="81" t="s">
        <v>4631</v>
      </c>
      <c r="L74" s="82">
        <v>0.16666666666666666</v>
      </c>
      <c r="M74" s="82">
        <v>0.7916666666666666</v>
      </c>
      <c r="N74" s="15" t="s">
        <v>50</v>
      </c>
      <c r="O74" s="15" t="s">
        <v>50</v>
      </c>
      <c r="P74" s="15" t="s">
        <v>50</v>
      </c>
      <c r="Q74" s="15" t="s">
        <v>28</v>
      </c>
      <c r="R74" s="15" t="s">
        <v>28</v>
      </c>
      <c r="S74" s="15" t="s">
        <v>28</v>
      </c>
      <c r="T74" s="15" t="s">
        <v>28</v>
      </c>
      <c r="U74" s="15" t="s">
        <v>28</v>
      </c>
      <c r="V74" s="15" t="s">
        <v>50</v>
      </c>
      <c r="W74" s="15" t="s">
        <v>50</v>
      </c>
      <c r="X74" s="15" t="s">
        <v>50</v>
      </c>
      <c r="Y74" s="15" t="s">
        <v>50</v>
      </c>
    </row>
    <row r="75" ht="56.25" customHeight="1">
      <c r="A75" s="23" t="s">
        <v>4975</v>
      </c>
      <c r="B75" s="15" t="str">
        <f>IMAGE("https://i.imgur.com/mFoOmTP.png")</f>
        <v/>
      </c>
      <c r="C75" s="15" t="str">
        <f>IMAGE("https://i.imgur.com/TSR0RIl.png")</f>
        <v/>
      </c>
      <c r="D75" s="15">
        <v>650.0</v>
      </c>
      <c r="E75" s="15" t="s">
        <v>118</v>
      </c>
      <c r="F75" s="15" t="s">
        <v>99</v>
      </c>
      <c r="G75" s="15">
        <v>46.0</v>
      </c>
      <c r="H75" s="13">
        <v>450.0</v>
      </c>
      <c r="I75" s="80" t="s">
        <v>4679</v>
      </c>
      <c r="J75" s="80" t="s">
        <v>4605</v>
      </c>
      <c r="K75" s="23" t="s">
        <v>4631</v>
      </c>
      <c r="L75" s="13" t="s">
        <v>4632</v>
      </c>
      <c r="M75" s="13" t="s">
        <v>4632</v>
      </c>
      <c r="N75" s="15" t="s">
        <v>28</v>
      </c>
      <c r="O75" s="15" t="s">
        <v>28</v>
      </c>
      <c r="P75" s="15" t="s">
        <v>50</v>
      </c>
      <c r="Q75" s="15" t="s">
        <v>50</v>
      </c>
      <c r="R75" s="15" t="s">
        <v>50</v>
      </c>
      <c r="S75" s="15" t="s">
        <v>28</v>
      </c>
      <c r="T75" s="15" t="s">
        <v>28</v>
      </c>
      <c r="U75" s="15" t="s">
        <v>28</v>
      </c>
      <c r="V75" s="15" t="s">
        <v>28</v>
      </c>
      <c r="W75" s="15" t="s">
        <v>28</v>
      </c>
      <c r="X75" s="15" t="s">
        <v>50</v>
      </c>
      <c r="Y75" s="15" t="s">
        <v>50</v>
      </c>
    </row>
    <row r="76" ht="56.25" customHeight="1">
      <c r="A76" s="23" t="s">
        <v>4980</v>
      </c>
      <c r="B76" s="15" t="str">
        <f>IMAGE("https://i.imgur.com/1vMVK2Z.png")</f>
        <v/>
      </c>
      <c r="C76" s="15" t="str">
        <f>IMAGE("https://i.imgur.com/NxWtgAn.png")</f>
        <v/>
      </c>
      <c r="D76" s="15">
        <v>649.0</v>
      </c>
      <c r="E76" s="15" t="s">
        <v>99</v>
      </c>
      <c r="F76" s="15" t="s">
        <v>107</v>
      </c>
      <c r="G76" s="15">
        <v>29.0</v>
      </c>
      <c r="H76" s="13">
        <v>400.0</v>
      </c>
      <c r="I76" s="79" t="s">
        <v>4658</v>
      </c>
      <c r="J76" s="79" t="s">
        <v>4630</v>
      </c>
      <c r="K76" s="81" t="s">
        <v>4631</v>
      </c>
      <c r="L76" s="82">
        <v>0.3333333333333333</v>
      </c>
      <c r="M76" s="82">
        <v>0.7083333333333334</v>
      </c>
      <c r="N76" s="15" t="s">
        <v>28</v>
      </c>
      <c r="O76" s="15" t="s">
        <v>50</v>
      </c>
      <c r="P76" s="15" t="s">
        <v>50</v>
      </c>
      <c r="Q76" s="15" t="s">
        <v>28</v>
      </c>
      <c r="R76" s="15" t="s">
        <v>28</v>
      </c>
      <c r="S76" s="15" t="s">
        <v>28</v>
      </c>
      <c r="T76" s="15" t="s">
        <v>28</v>
      </c>
      <c r="U76" s="15" t="s">
        <v>28</v>
      </c>
      <c r="V76" s="15" t="s">
        <v>28</v>
      </c>
      <c r="W76" s="15" t="s">
        <v>28</v>
      </c>
      <c r="X76" s="15" t="s">
        <v>28</v>
      </c>
      <c r="Y76" s="15" t="s">
        <v>28</v>
      </c>
    </row>
    <row r="77" ht="56.25" customHeight="1">
      <c r="A77" s="23" t="s">
        <v>4985</v>
      </c>
      <c r="B77" s="15" t="str">
        <f>IMAGE("https://i.imgur.com/wH4pJ2F.png")</f>
        <v/>
      </c>
      <c r="C77" s="15" t="str">
        <f>IMAGE("https://i.imgur.com/hCHzRoA.png")</f>
        <v/>
      </c>
      <c r="D77" s="15">
        <v>616.0</v>
      </c>
      <c r="E77" s="15" t="s">
        <v>369</v>
      </c>
      <c r="F77" s="15" t="s">
        <v>369</v>
      </c>
      <c r="G77" s="15">
        <v>67.0</v>
      </c>
      <c r="H77" s="13">
        <v>600.0</v>
      </c>
      <c r="I77" s="35" t="s">
        <v>4987</v>
      </c>
      <c r="J77" s="80" t="s">
        <v>4630</v>
      </c>
      <c r="K77" s="23" t="s">
        <v>4610</v>
      </c>
      <c r="L77" s="13" t="s">
        <v>4632</v>
      </c>
      <c r="M77" s="13" t="s">
        <v>4632</v>
      </c>
      <c r="N77" s="15" t="s">
        <v>50</v>
      </c>
      <c r="O77" s="15" t="s">
        <v>50</v>
      </c>
      <c r="P77" s="15" t="s">
        <v>50</v>
      </c>
      <c r="Q77" s="15" t="s">
        <v>28</v>
      </c>
      <c r="R77" s="15" t="s">
        <v>28</v>
      </c>
      <c r="S77" s="15" t="s">
        <v>28</v>
      </c>
      <c r="T77" s="15" t="s">
        <v>28</v>
      </c>
      <c r="U77" s="15" t="s">
        <v>28</v>
      </c>
      <c r="V77" s="15" t="s">
        <v>28</v>
      </c>
      <c r="W77" s="15" t="s">
        <v>28</v>
      </c>
      <c r="X77" s="15" t="s">
        <v>28</v>
      </c>
      <c r="Y77" s="15" t="s">
        <v>28</v>
      </c>
    </row>
    <row r="78" ht="56.25" customHeight="1">
      <c r="A78" s="23" t="s">
        <v>4989</v>
      </c>
      <c r="B78" s="15" t="str">
        <f>IMAGE("https://i.imgur.com/kql18lQ.png")</f>
        <v/>
      </c>
      <c r="C78" s="15" t="str">
        <f>IMAGE("https://i.imgur.com/3q5OZDi.png")</f>
        <v/>
      </c>
      <c r="D78" s="15">
        <v>630.0</v>
      </c>
      <c r="E78" s="15" t="s">
        <v>118</v>
      </c>
      <c r="F78" s="15" t="s">
        <v>211</v>
      </c>
      <c r="G78" s="15">
        <v>66.0</v>
      </c>
      <c r="H78" s="13">
        <v>600.0</v>
      </c>
      <c r="I78" s="80" t="s">
        <v>4635</v>
      </c>
      <c r="J78" s="80" t="s">
        <v>4630</v>
      </c>
      <c r="K78" s="23" t="s">
        <v>4610</v>
      </c>
      <c r="L78" s="13" t="s">
        <v>4991</v>
      </c>
      <c r="M78" s="13" t="s">
        <v>4747</v>
      </c>
      <c r="N78" s="15" t="s">
        <v>50</v>
      </c>
      <c r="O78" s="15" t="s">
        <v>50</v>
      </c>
      <c r="P78" s="15" t="s">
        <v>50</v>
      </c>
      <c r="Q78" s="15" t="s">
        <v>50</v>
      </c>
      <c r="R78" s="15" t="s">
        <v>50</v>
      </c>
      <c r="S78" s="15" t="s">
        <v>28</v>
      </c>
      <c r="T78" s="15" t="s">
        <v>28</v>
      </c>
      <c r="U78" s="15" t="s">
        <v>28</v>
      </c>
      <c r="V78" s="15" t="s">
        <v>28</v>
      </c>
      <c r="W78" s="15" t="s">
        <v>28</v>
      </c>
      <c r="X78" s="15" t="s">
        <v>28</v>
      </c>
      <c r="Y78" s="15" t="s">
        <v>50</v>
      </c>
    </row>
    <row r="79" ht="56.25" customHeight="1">
      <c r="A79" s="23" t="s">
        <v>4994</v>
      </c>
      <c r="B79" s="15" t="str">
        <f>IMAGE("https://i.imgur.com/rWsiB1B.png")</f>
        <v/>
      </c>
      <c r="C79" s="15" t="str">
        <f>IMAGE("https://i.imgur.com/y4aBz6y.png")</f>
        <v/>
      </c>
      <c r="D79" s="15">
        <v>643.0</v>
      </c>
      <c r="E79" s="15" t="s">
        <v>211</v>
      </c>
      <c r="F79" s="15" t="s">
        <v>521</v>
      </c>
      <c r="G79" s="15">
        <v>25.0</v>
      </c>
      <c r="H79" s="13">
        <v>2500.0</v>
      </c>
      <c r="I79" s="80" t="s">
        <v>4995</v>
      </c>
      <c r="J79" s="80" t="s">
        <v>4630</v>
      </c>
      <c r="K79" s="23" t="s">
        <v>4631</v>
      </c>
      <c r="L79" s="13" t="s">
        <v>4632</v>
      </c>
      <c r="M79" s="13" t="s">
        <v>4632</v>
      </c>
      <c r="N79" s="15" t="s">
        <v>50</v>
      </c>
      <c r="O79" s="15" t="s">
        <v>50</v>
      </c>
      <c r="P79" s="15" t="s">
        <v>50</v>
      </c>
      <c r="Q79" s="15" t="s">
        <v>50</v>
      </c>
      <c r="R79" s="15" t="s">
        <v>50</v>
      </c>
      <c r="S79" s="15" t="s">
        <v>50</v>
      </c>
      <c r="T79" s="15" t="s">
        <v>50</v>
      </c>
      <c r="U79" s="15" t="s">
        <v>50</v>
      </c>
      <c r="V79" s="15" t="s">
        <v>50</v>
      </c>
      <c r="W79" s="15" t="s">
        <v>50</v>
      </c>
      <c r="X79" s="15" t="s">
        <v>50</v>
      </c>
      <c r="Y79" s="15" t="s">
        <v>50</v>
      </c>
    </row>
    <row r="80" ht="56.25" customHeight="1">
      <c r="A80" s="23" t="s">
        <v>4996</v>
      </c>
      <c r="B80" s="15" t="str">
        <f>IMAGE("https://i.imgur.com/fNhh6wF.png")</f>
        <v/>
      </c>
      <c r="C80" s="15" t="str">
        <f>IMAGE("https://i.imgur.com/IkhTqJ3.png")</f>
        <v/>
      </c>
      <c r="D80" s="15">
        <v>591.0</v>
      </c>
      <c r="E80" s="15" t="s">
        <v>1608</v>
      </c>
      <c r="F80" s="15" t="s">
        <v>112</v>
      </c>
      <c r="G80" s="15">
        <v>71.0</v>
      </c>
      <c r="H80" s="13">
        <v>200.0</v>
      </c>
      <c r="I80" s="35" t="s">
        <v>4999</v>
      </c>
      <c r="J80" s="80" t="s">
        <v>4630</v>
      </c>
      <c r="K80" s="23" t="s">
        <v>4631</v>
      </c>
      <c r="L80" s="13" t="s">
        <v>4632</v>
      </c>
      <c r="M80" s="13" t="s">
        <v>4632</v>
      </c>
      <c r="N80" s="15" t="s">
        <v>50</v>
      </c>
      <c r="O80" s="15" t="s">
        <v>50</v>
      </c>
      <c r="P80" s="15" t="s">
        <v>50</v>
      </c>
      <c r="Q80" s="15" t="s">
        <v>50</v>
      </c>
      <c r="R80" s="15" t="s">
        <v>50</v>
      </c>
      <c r="S80" s="15" t="s">
        <v>50</v>
      </c>
      <c r="T80" s="15" t="s">
        <v>50</v>
      </c>
      <c r="U80" s="15" t="s">
        <v>50</v>
      </c>
      <c r="V80" s="15" t="s">
        <v>50</v>
      </c>
      <c r="W80" s="15" t="s">
        <v>50</v>
      </c>
      <c r="X80" s="15" t="s">
        <v>50</v>
      </c>
      <c r="Y80" s="15" t="s">
        <v>50</v>
      </c>
    </row>
    <row r="81" ht="56.25" customHeight="1">
      <c r="A81" s="23" t="s">
        <v>5002</v>
      </c>
      <c r="B81" s="15" t="str">
        <f>IMAGE("https://i.imgur.com/kgs4VO3.png")</f>
        <v/>
      </c>
      <c r="C81" s="15" t="str">
        <f>IMAGE("https://i.imgur.com/EUzUPeb.png")</f>
        <v/>
      </c>
      <c r="D81" s="15">
        <v>625.0</v>
      </c>
      <c r="E81" s="15" t="s">
        <v>211</v>
      </c>
      <c r="F81" s="15" t="s">
        <v>112</v>
      </c>
      <c r="G81" s="15">
        <v>2.0</v>
      </c>
      <c r="H81" s="13">
        <v>160.0</v>
      </c>
      <c r="I81" s="79" t="s">
        <v>4602</v>
      </c>
      <c r="J81" s="80" t="s">
        <v>4605</v>
      </c>
      <c r="K81" s="81" t="s">
        <v>4631</v>
      </c>
      <c r="L81" s="82">
        <v>0.16666666666666666</v>
      </c>
      <c r="M81" s="82">
        <v>0.7916666666666666</v>
      </c>
      <c r="N81" s="15" t="s">
        <v>28</v>
      </c>
      <c r="O81" s="15" t="s">
        <v>28</v>
      </c>
      <c r="P81" s="15" t="s">
        <v>50</v>
      </c>
      <c r="Q81" s="15" t="s">
        <v>50</v>
      </c>
      <c r="R81" s="15" t="s">
        <v>28</v>
      </c>
      <c r="S81" s="15" t="s">
        <v>28</v>
      </c>
      <c r="T81" s="15" t="s">
        <v>28</v>
      </c>
      <c r="U81" s="15" t="s">
        <v>28</v>
      </c>
      <c r="V81" s="15" t="s">
        <v>50</v>
      </c>
      <c r="W81" s="15" t="s">
        <v>50</v>
      </c>
      <c r="X81" s="15" t="s">
        <v>50</v>
      </c>
      <c r="Y81" s="15" t="s">
        <v>50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29"/>
    <col customWidth="1" min="2" max="3" width="10.86"/>
    <col customWidth="1" min="4" max="4" width="8.14"/>
    <col customWidth="1" min="5" max="6" width="9.43"/>
    <col customWidth="1" min="7" max="7" width="9.86"/>
    <col customWidth="1" min="8" max="8" width="5.14"/>
    <col customWidth="1" min="9" max="9" width="8.14"/>
    <col customWidth="1" min="10" max="10" width="6.29"/>
    <col customWidth="1" min="11" max="11" width="12.14"/>
    <col customWidth="1" min="12" max="12" width="12.71"/>
    <col customWidth="1" min="13" max="13" width="10.57"/>
    <col customWidth="1" min="14" max="14" width="17.43"/>
    <col customWidth="1" min="15" max="15" width="10.57"/>
    <col customWidth="1" min="16" max="16" width="9.71"/>
    <col customWidth="1" min="17" max="28" width="3.71"/>
  </cols>
  <sheetData>
    <row r="1" ht="42.75" customHeight="1">
      <c r="A1" s="85" t="s">
        <v>0</v>
      </c>
      <c r="B1" s="54" t="s">
        <v>1</v>
      </c>
      <c r="C1" s="55" t="s">
        <v>4575</v>
      </c>
      <c r="D1" s="7" t="s">
        <v>8</v>
      </c>
      <c r="E1" s="7" t="s">
        <v>1602</v>
      </c>
      <c r="F1" s="7" t="s">
        <v>1603</v>
      </c>
      <c r="G1" s="7" t="s">
        <v>1406</v>
      </c>
      <c r="H1" s="7" t="s">
        <v>12</v>
      </c>
      <c r="I1" s="55" t="s">
        <v>4576</v>
      </c>
      <c r="J1" s="70" t="s">
        <v>7</v>
      </c>
      <c r="K1" s="70" t="s">
        <v>4577</v>
      </c>
      <c r="L1" s="55" t="s">
        <v>5214</v>
      </c>
      <c r="M1" s="3" t="s">
        <v>4581</v>
      </c>
      <c r="N1" s="7" t="s">
        <v>5215</v>
      </c>
      <c r="O1" s="70" t="s">
        <v>4582</v>
      </c>
      <c r="P1" s="70" t="s">
        <v>4583</v>
      </c>
      <c r="Q1" s="55" t="s">
        <v>4584</v>
      </c>
      <c r="R1" s="55" t="s">
        <v>4585</v>
      </c>
      <c r="S1" s="55" t="s">
        <v>4587</v>
      </c>
      <c r="T1" s="55" t="s">
        <v>4589</v>
      </c>
      <c r="U1" s="55" t="s">
        <v>4590</v>
      </c>
      <c r="V1" s="55" t="s">
        <v>4591</v>
      </c>
      <c r="W1" s="55" t="s">
        <v>4592</v>
      </c>
      <c r="X1" s="55" t="s">
        <v>4593</v>
      </c>
      <c r="Y1" s="55" t="s">
        <v>4594</v>
      </c>
      <c r="Z1" s="55" t="s">
        <v>4595</v>
      </c>
      <c r="AA1" s="55" t="s">
        <v>4596</v>
      </c>
      <c r="AB1" s="55" t="s">
        <v>4597</v>
      </c>
    </row>
    <row r="2" ht="56.25" customHeight="1">
      <c r="A2" s="86" t="s">
        <v>5216</v>
      </c>
      <c r="B2" s="87" t="str">
        <f>IMAGE("https://i.imgur.com/zEICzZj.png")</f>
        <v/>
      </c>
      <c r="C2" s="32" t="str">
        <f>image("https://i.imgur.com/R9SIKjx.png")</f>
        <v/>
      </c>
      <c r="D2" s="15">
        <v>4201.0</v>
      </c>
      <c r="E2" s="15" t="s">
        <v>112</v>
      </c>
      <c r="F2" s="15" t="s">
        <v>208</v>
      </c>
      <c r="G2" s="15" t="s">
        <v>41</v>
      </c>
      <c r="H2" s="15" t="s">
        <v>38</v>
      </c>
      <c r="I2" s="32">
        <v>56.0</v>
      </c>
      <c r="J2" s="72">
        <v>200.0</v>
      </c>
      <c r="K2" s="72" t="s">
        <v>84</v>
      </c>
      <c r="L2" s="23" t="s">
        <v>5217</v>
      </c>
      <c r="M2" s="81" t="s">
        <v>4631</v>
      </c>
      <c r="N2" s="81" t="s">
        <v>40</v>
      </c>
      <c r="O2" s="88">
        <v>0.16666666666666666</v>
      </c>
      <c r="P2" s="88">
        <v>0.875</v>
      </c>
      <c r="Q2" s="32" t="s">
        <v>50</v>
      </c>
      <c r="R2" s="32" t="s">
        <v>50</v>
      </c>
      <c r="S2" s="32" t="s">
        <v>50</v>
      </c>
      <c r="T2" s="32" t="s">
        <v>50</v>
      </c>
      <c r="U2" s="32" t="s">
        <v>50</v>
      </c>
      <c r="V2" s="32" t="s">
        <v>50</v>
      </c>
      <c r="W2" s="32" t="s">
        <v>50</v>
      </c>
      <c r="X2" s="32" t="s">
        <v>50</v>
      </c>
      <c r="Y2" s="32" t="s">
        <v>50</v>
      </c>
      <c r="Z2" s="32" t="s">
        <v>50</v>
      </c>
      <c r="AA2" s="32" t="s">
        <v>50</v>
      </c>
      <c r="AB2" s="32" t="s">
        <v>50</v>
      </c>
    </row>
    <row r="3" ht="56.25" customHeight="1">
      <c r="A3" s="86" t="s">
        <v>5218</v>
      </c>
      <c r="B3" s="87" t="str">
        <f>IMAGE("https://i.imgur.com/dQh34A6.png")</f>
        <v/>
      </c>
      <c r="C3" s="32" t="str">
        <f>image("https://i.imgur.com/a4zWy7u.png")</f>
        <v/>
      </c>
      <c r="D3" s="15">
        <v>2247.0</v>
      </c>
      <c r="E3" s="15" t="s">
        <v>211</v>
      </c>
      <c r="F3" s="15" t="s">
        <v>99</v>
      </c>
      <c r="G3" s="15" t="s">
        <v>186</v>
      </c>
      <c r="H3" s="15" t="s">
        <v>38</v>
      </c>
      <c r="I3" s="32">
        <v>36.0</v>
      </c>
      <c r="J3" s="72">
        <v>3000.0</v>
      </c>
      <c r="K3" s="72" t="s">
        <v>5220</v>
      </c>
      <c r="L3" s="23" t="s">
        <v>5217</v>
      </c>
      <c r="M3" s="81" t="s">
        <v>4610</v>
      </c>
      <c r="N3" s="81" t="s">
        <v>40</v>
      </c>
      <c r="O3" s="88">
        <v>0.6666666666666666</v>
      </c>
      <c r="P3" s="88">
        <v>0.375</v>
      </c>
      <c r="Q3" s="32" t="s">
        <v>28</v>
      </c>
      <c r="R3" s="32" t="s">
        <v>28</v>
      </c>
      <c r="S3" s="32" t="s">
        <v>28</v>
      </c>
      <c r="T3" s="32" t="s">
        <v>28</v>
      </c>
      <c r="U3" s="32" t="s">
        <v>50</v>
      </c>
      <c r="V3" s="32" t="s">
        <v>50</v>
      </c>
      <c r="W3" s="32" t="s">
        <v>50</v>
      </c>
      <c r="X3" s="32" t="s">
        <v>50</v>
      </c>
      <c r="Y3" s="32" t="s">
        <v>50</v>
      </c>
      <c r="Z3" s="32" t="s">
        <v>50</v>
      </c>
      <c r="AA3" s="32" t="s">
        <v>28</v>
      </c>
      <c r="AB3" s="32" t="s">
        <v>28</v>
      </c>
    </row>
    <row r="4" ht="56.25" customHeight="1">
      <c r="A4" s="89" t="s">
        <v>5221</v>
      </c>
      <c r="B4" s="87" t="str">
        <f>IMAGE("https://i.imgur.com/lPlNtUw.png")</f>
        <v/>
      </c>
      <c r="C4" s="32" t="str">
        <f>image("https://i.imgur.com/BNB76s9.png")</f>
        <v/>
      </c>
      <c r="D4" s="15">
        <v>2253.0</v>
      </c>
      <c r="E4" s="15" t="s">
        <v>99</v>
      </c>
      <c r="F4" s="15" t="s">
        <v>112</v>
      </c>
      <c r="G4" s="15" t="s">
        <v>41</v>
      </c>
      <c r="H4" s="15" t="s">
        <v>1748</v>
      </c>
      <c r="I4" s="32">
        <v>44.0</v>
      </c>
      <c r="J4" s="72">
        <v>10000.0</v>
      </c>
      <c r="K4" s="72" t="s">
        <v>5220</v>
      </c>
      <c r="L4" s="23" t="s">
        <v>5222</v>
      </c>
      <c r="M4" s="81" t="s">
        <v>4643</v>
      </c>
      <c r="N4" s="81" t="s">
        <v>53</v>
      </c>
      <c r="O4" s="88">
        <v>0.6666666666666666</v>
      </c>
      <c r="P4" s="88">
        <v>0.375</v>
      </c>
      <c r="Q4" s="32" t="s">
        <v>28</v>
      </c>
      <c r="R4" s="32" t="s">
        <v>28</v>
      </c>
      <c r="S4" s="32" t="s">
        <v>28</v>
      </c>
      <c r="T4" s="32" t="s">
        <v>28</v>
      </c>
      <c r="U4" s="32" t="s">
        <v>28</v>
      </c>
      <c r="V4" s="32" t="s">
        <v>50</v>
      </c>
      <c r="W4" s="32" t="s">
        <v>50</v>
      </c>
      <c r="X4" s="32" t="s">
        <v>50</v>
      </c>
      <c r="Y4" s="32" t="s">
        <v>50</v>
      </c>
      <c r="Z4" s="32" t="s">
        <v>28</v>
      </c>
      <c r="AA4" s="32" t="s">
        <v>28</v>
      </c>
      <c r="AB4" s="32" t="s">
        <v>28</v>
      </c>
    </row>
    <row r="5" ht="56.25" customHeight="1">
      <c r="A5" s="86" t="s">
        <v>5223</v>
      </c>
      <c r="B5" s="87" t="str">
        <f>IMAGE("https://i.imgur.com/dim59Ai.png")</f>
        <v/>
      </c>
      <c r="C5" s="32" t="str">
        <f>image("https://i.imgur.com/8NxlhEr.png")</f>
        <v/>
      </c>
      <c r="D5" s="15">
        <v>2250.0</v>
      </c>
      <c r="E5" s="15" t="s">
        <v>211</v>
      </c>
      <c r="F5" s="15" t="s">
        <v>99</v>
      </c>
      <c r="G5" s="15" t="s">
        <v>186</v>
      </c>
      <c r="H5" s="15" t="s">
        <v>130</v>
      </c>
      <c r="I5" s="32">
        <v>41.0</v>
      </c>
      <c r="J5" s="72">
        <v>10000.0</v>
      </c>
      <c r="K5" s="72" t="s">
        <v>5220</v>
      </c>
      <c r="L5" s="23" t="s">
        <v>5224</v>
      </c>
      <c r="M5" s="81" t="s">
        <v>4643</v>
      </c>
      <c r="N5" s="81" t="s">
        <v>40</v>
      </c>
      <c r="O5" s="88">
        <v>0.6666666666666666</v>
      </c>
      <c r="P5" s="88">
        <v>0.375</v>
      </c>
      <c r="Q5" s="32" t="s">
        <v>28</v>
      </c>
      <c r="R5" s="71" t="s">
        <v>28</v>
      </c>
      <c r="S5" s="32" t="s">
        <v>28</v>
      </c>
      <c r="T5" s="32" t="s">
        <v>28</v>
      </c>
      <c r="U5" s="32" t="s">
        <v>28</v>
      </c>
      <c r="V5" s="32" t="s">
        <v>50</v>
      </c>
      <c r="W5" s="32" t="s">
        <v>50</v>
      </c>
      <c r="X5" s="32" t="s">
        <v>50</v>
      </c>
      <c r="Y5" s="32" t="s">
        <v>50</v>
      </c>
      <c r="Z5" s="32" t="s">
        <v>28</v>
      </c>
      <c r="AA5" s="32" t="s">
        <v>28</v>
      </c>
      <c r="AB5" s="32" t="s">
        <v>28</v>
      </c>
    </row>
    <row r="6" ht="56.25" customHeight="1">
      <c r="A6" s="86" t="s">
        <v>5225</v>
      </c>
      <c r="B6" s="87" t="str">
        <f>IMAGE("https://i.imgur.com/j3F10on.png")</f>
        <v/>
      </c>
      <c r="C6" s="32" t="str">
        <f>image("https://i.imgur.com/SbDg94Z.png")</f>
        <v/>
      </c>
      <c r="D6" s="15">
        <v>2265.0</v>
      </c>
      <c r="E6" s="15" t="s">
        <v>82</v>
      </c>
      <c r="F6" s="15" t="s">
        <v>99</v>
      </c>
      <c r="G6" s="15" t="s">
        <v>186</v>
      </c>
      <c r="H6" s="15" t="s">
        <v>38</v>
      </c>
      <c r="I6" s="32">
        <v>58.0</v>
      </c>
      <c r="J6" s="72">
        <v>5000.0</v>
      </c>
      <c r="K6" s="72" t="s">
        <v>84</v>
      </c>
      <c r="L6" s="23" t="s">
        <v>5227</v>
      </c>
      <c r="M6" s="23" t="s">
        <v>4610</v>
      </c>
      <c r="N6" s="23" t="s">
        <v>40</v>
      </c>
      <c r="O6" s="72" t="s">
        <v>4632</v>
      </c>
      <c r="P6" s="72" t="s">
        <v>4632</v>
      </c>
      <c r="Q6" s="32" t="s">
        <v>28</v>
      </c>
      <c r="R6" s="32" t="s">
        <v>28</v>
      </c>
      <c r="S6" s="32" t="s">
        <v>50</v>
      </c>
      <c r="T6" s="32" t="s">
        <v>50</v>
      </c>
      <c r="U6" s="32" t="s">
        <v>50</v>
      </c>
      <c r="V6" s="32" t="s">
        <v>50</v>
      </c>
      <c r="W6" s="32" t="s">
        <v>50</v>
      </c>
      <c r="X6" s="32" t="s">
        <v>50</v>
      </c>
      <c r="Y6" s="32" t="s">
        <v>50</v>
      </c>
      <c r="Z6" s="32" t="s">
        <v>50</v>
      </c>
      <c r="AA6" s="32" t="s">
        <v>50</v>
      </c>
      <c r="AB6" s="32" t="s">
        <v>28</v>
      </c>
    </row>
    <row r="7" ht="56.25" customHeight="1">
      <c r="A7" s="86" t="s">
        <v>5228</v>
      </c>
      <c r="B7" s="87" t="str">
        <f>IMAGE("https://i.imgur.com/UrND87z.png")</f>
        <v/>
      </c>
      <c r="C7" s="32" t="str">
        <f>image("https://i.imgur.com/rOYpkZ3.png")</f>
        <v/>
      </c>
      <c r="D7" s="15">
        <v>4204.0</v>
      </c>
      <c r="E7" s="15" t="s">
        <v>99</v>
      </c>
      <c r="F7" s="15" t="s">
        <v>99</v>
      </c>
      <c r="G7" s="15" t="s">
        <v>186</v>
      </c>
      <c r="H7" s="15" t="s">
        <v>38</v>
      </c>
      <c r="I7" s="32">
        <v>79.0</v>
      </c>
      <c r="J7" s="72">
        <v>15000.0</v>
      </c>
      <c r="K7" s="72" t="s">
        <v>84</v>
      </c>
      <c r="L7" s="23" t="s">
        <v>5217</v>
      </c>
      <c r="M7" s="81" t="s">
        <v>4697</v>
      </c>
      <c r="N7" s="81" t="s">
        <v>40</v>
      </c>
      <c r="O7" s="88">
        <v>0.875</v>
      </c>
      <c r="P7" s="88">
        <v>0.16666666666666666</v>
      </c>
      <c r="Q7" s="32" t="s">
        <v>50</v>
      </c>
      <c r="R7" s="32" t="s">
        <v>50</v>
      </c>
      <c r="S7" s="32" t="s">
        <v>50</v>
      </c>
      <c r="T7" s="32" t="s">
        <v>50</v>
      </c>
      <c r="U7" s="32" t="s">
        <v>50</v>
      </c>
      <c r="V7" s="32" t="s">
        <v>50</v>
      </c>
      <c r="W7" s="32" t="s">
        <v>50</v>
      </c>
      <c r="X7" s="32" t="s">
        <v>50</v>
      </c>
      <c r="Y7" s="32" t="s">
        <v>50</v>
      </c>
      <c r="Z7" s="32" t="s">
        <v>50</v>
      </c>
      <c r="AA7" s="32" t="s">
        <v>50</v>
      </c>
      <c r="AB7" s="32" t="s">
        <v>50</v>
      </c>
    </row>
    <row r="8" ht="56.25" customHeight="1">
      <c r="A8" s="86" t="s">
        <v>5229</v>
      </c>
      <c r="B8" s="87" t="str">
        <f>IMAGE("https://i.imgur.com/xkWsC8R.png")</f>
        <v/>
      </c>
      <c r="C8" s="32" t="str">
        <f>image("https://i.imgur.com/gk6EkfS.png")</f>
        <v/>
      </c>
      <c r="D8" s="15">
        <v>4191.0</v>
      </c>
      <c r="E8" s="15" t="s">
        <v>1614</v>
      </c>
      <c r="F8" s="15" t="s">
        <v>99</v>
      </c>
      <c r="G8" s="15" t="s">
        <v>186</v>
      </c>
      <c r="H8" s="15" t="s">
        <v>38</v>
      </c>
      <c r="I8" s="32">
        <v>37.0</v>
      </c>
      <c r="J8" s="94">
        <v>2500.0</v>
      </c>
      <c r="K8" s="72" t="s">
        <v>5220</v>
      </c>
      <c r="L8" s="23" t="s">
        <v>5217</v>
      </c>
      <c r="M8" s="81" t="s">
        <v>4610</v>
      </c>
      <c r="N8" s="81" t="s">
        <v>40</v>
      </c>
      <c r="O8" s="88">
        <v>0.375</v>
      </c>
      <c r="P8" s="88">
        <v>0.6666666666666666</v>
      </c>
      <c r="Q8" s="32" t="s">
        <v>28</v>
      </c>
      <c r="R8" s="32" t="s">
        <v>28</v>
      </c>
      <c r="S8" s="32" t="s">
        <v>28</v>
      </c>
      <c r="T8" s="32" t="s">
        <v>28</v>
      </c>
      <c r="U8" s="32" t="s">
        <v>50</v>
      </c>
      <c r="V8" s="32" t="s">
        <v>50</v>
      </c>
      <c r="W8" s="32" t="s">
        <v>50</v>
      </c>
      <c r="X8" s="32" t="s">
        <v>50</v>
      </c>
      <c r="Y8" s="32" t="s">
        <v>50</v>
      </c>
      <c r="Z8" s="32" t="s">
        <v>50</v>
      </c>
      <c r="AA8" s="32" t="s">
        <v>28</v>
      </c>
      <c r="AB8" s="32" t="s">
        <v>28</v>
      </c>
    </row>
    <row r="9" ht="56.25" customHeight="1">
      <c r="A9" s="86" t="s">
        <v>5231</v>
      </c>
      <c r="B9" s="87" t="str">
        <f>IMAGE("https://i.imgur.com/5kPcE5G.png")</f>
        <v/>
      </c>
      <c r="C9" s="32" t="str">
        <f>image("https://i.imgur.com/jqEuXh1.png")</f>
        <v/>
      </c>
      <c r="D9" s="15">
        <v>2215.0</v>
      </c>
      <c r="E9" s="15" t="s">
        <v>1614</v>
      </c>
      <c r="F9" s="15" t="s">
        <v>112</v>
      </c>
      <c r="G9" s="15" t="s">
        <v>41</v>
      </c>
      <c r="H9" s="15" t="s">
        <v>38</v>
      </c>
      <c r="I9" s="32">
        <v>1.0</v>
      </c>
      <c r="J9" s="72">
        <v>900.0</v>
      </c>
      <c r="K9" s="72" t="s">
        <v>5220</v>
      </c>
      <c r="L9" s="23" t="s">
        <v>5232</v>
      </c>
      <c r="M9" s="23" t="s">
        <v>4631</v>
      </c>
      <c r="N9" s="23" t="s">
        <v>40</v>
      </c>
      <c r="O9" s="72" t="s">
        <v>4632</v>
      </c>
      <c r="P9" s="72" t="s">
        <v>4632</v>
      </c>
      <c r="Q9" s="32" t="s">
        <v>50</v>
      </c>
      <c r="R9" s="32" t="s">
        <v>50</v>
      </c>
      <c r="S9" s="32" t="s">
        <v>50</v>
      </c>
      <c r="T9" s="32" t="s">
        <v>28</v>
      </c>
      <c r="U9" s="32" t="s">
        <v>28</v>
      </c>
      <c r="V9" s="32" t="s">
        <v>28</v>
      </c>
      <c r="W9" s="32" t="s">
        <v>28</v>
      </c>
      <c r="X9" s="32" t="s">
        <v>28</v>
      </c>
      <c r="Y9" s="32" t="s">
        <v>28</v>
      </c>
      <c r="Z9" s="32" t="s">
        <v>28</v>
      </c>
      <c r="AA9" s="32" t="s">
        <v>50</v>
      </c>
      <c r="AB9" s="32" t="s">
        <v>50</v>
      </c>
    </row>
    <row r="10" ht="56.25" customHeight="1">
      <c r="A10" s="86" t="s">
        <v>5233</v>
      </c>
      <c r="B10" s="87" t="str">
        <f>IMAGE("https://i.imgur.com/UiZq65j.png")</f>
        <v/>
      </c>
      <c r="C10" s="32" t="str">
        <f>image("https://i.imgur.com/zLBnnl7.png")</f>
        <v/>
      </c>
      <c r="D10" s="15">
        <v>2234.0</v>
      </c>
      <c r="E10" s="15" t="s">
        <v>369</v>
      </c>
      <c r="F10" s="15" t="s">
        <v>99</v>
      </c>
      <c r="G10" s="15" t="s">
        <v>186</v>
      </c>
      <c r="H10" s="15" t="s">
        <v>38</v>
      </c>
      <c r="I10" s="32">
        <v>22.0</v>
      </c>
      <c r="J10" s="72">
        <v>400.0</v>
      </c>
      <c r="K10" s="72" t="s">
        <v>5220</v>
      </c>
      <c r="L10" s="23" t="s">
        <v>5224</v>
      </c>
      <c r="M10" s="23" t="s">
        <v>4631</v>
      </c>
      <c r="N10" s="23" t="s">
        <v>40</v>
      </c>
      <c r="O10" s="72" t="s">
        <v>4632</v>
      </c>
      <c r="P10" s="72" t="s">
        <v>4632</v>
      </c>
      <c r="Q10" s="32" t="s">
        <v>50</v>
      </c>
      <c r="R10" s="32" t="s">
        <v>50</v>
      </c>
      <c r="S10" s="32" t="s">
        <v>50</v>
      </c>
      <c r="T10" s="32" t="s">
        <v>50</v>
      </c>
      <c r="U10" s="32" t="s">
        <v>50</v>
      </c>
      <c r="V10" s="32" t="s">
        <v>50</v>
      </c>
      <c r="W10" s="32" t="s">
        <v>50</v>
      </c>
      <c r="X10" s="32" t="s">
        <v>50</v>
      </c>
      <c r="Y10" s="32" t="s">
        <v>50</v>
      </c>
      <c r="Z10" s="32" t="s">
        <v>50</v>
      </c>
      <c r="AA10" s="32" t="s">
        <v>50</v>
      </c>
      <c r="AB10" s="32" t="s">
        <v>50</v>
      </c>
    </row>
    <row r="11" ht="56.25" customHeight="1">
      <c r="A11" s="86" t="s">
        <v>5234</v>
      </c>
      <c r="B11" s="87" t="str">
        <f>IMAGE("https://i.imgur.com/hHQizMa.png")</f>
        <v/>
      </c>
      <c r="C11" s="32" t="str">
        <f>image("https://i.imgur.com/0cH305w.png")</f>
        <v/>
      </c>
      <c r="D11" s="15">
        <v>2262.0</v>
      </c>
      <c r="E11" s="15" t="s">
        <v>1608</v>
      </c>
      <c r="F11" s="15" t="s">
        <v>99</v>
      </c>
      <c r="G11" s="15" t="s">
        <v>186</v>
      </c>
      <c r="H11" s="15" t="s">
        <v>38</v>
      </c>
      <c r="I11" s="32">
        <v>54.0</v>
      </c>
      <c r="J11" s="72">
        <v>5000.0</v>
      </c>
      <c r="K11" s="72" t="s">
        <v>84</v>
      </c>
      <c r="L11" s="23" t="s">
        <v>5227</v>
      </c>
      <c r="M11" s="81" t="s">
        <v>4610</v>
      </c>
      <c r="N11" s="81" t="s">
        <v>40</v>
      </c>
      <c r="O11" s="88">
        <v>0.875</v>
      </c>
      <c r="P11" s="88">
        <v>0.20833333333333334</v>
      </c>
      <c r="Q11" s="32" t="s">
        <v>50</v>
      </c>
      <c r="R11" s="32" t="s">
        <v>50</v>
      </c>
      <c r="S11" s="32" t="s">
        <v>28</v>
      </c>
      <c r="T11" s="32" t="s">
        <v>28</v>
      </c>
      <c r="U11" s="32" t="s">
        <v>28</v>
      </c>
      <c r="V11" s="32" t="s">
        <v>28</v>
      </c>
      <c r="W11" s="32" t="s">
        <v>28</v>
      </c>
      <c r="X11" s="32" t="s">
        <v>28</v>
      </c>
      <c r="Y11" s="32" t="s">
        <v>28</v>
      </c>
      <c r="Z11" s="32" t="s">
        <v>28</v>
      </c>
      <c r="AA11" s="32" t="s">
        <v>50</v>
      </c>
      <c r="AB11" s="32" t="s">
        <v>50</v>
      </c>
    </row>
    <row r="12" ht="56.25" customHeight="1">
      <c r="A12" s="86" t="s">
        <v>5235</v>
      </c>
      <c r="B12" s="87" t="str">
        <f>IMAGE("https://i.imgur.com/Qp7mSMV.png")</f>
        <v/>
      </c>
      <c r="C12" s="32" t="str">
        <f>image("https://i.imgur.com/u7SJfvr.png")</f>
        <v/>
      </c>
      <c r="D12" s="15">
        <v>2275.0</v>
      </c>
      <c r="E12" s="15" t="s">
        <v>112</v>
      </c>
      <c r="F12" s="15" t="s">
        <v>99</v>
      </c>
      <c r="G12" s="15" t="s">
        <v>186</v>
      </c>
      <c r="H12" s="15" t="s">
        <v>130</v>
      </c>
      <c r="I12" s="32">
        <v>67.0</v>
      </c>
      <c r="J12" s="72">
        <v>10000.0</v>
      </c>
      <c r="K12" s="72" t="s">
        <v>5237</v>
      </c>
      <c r="L12" s="23" t="s">
        <v>5222</v>
      </c>
      <c r="M12" s="23" t="s">
        <v>4643</v>
      </c>
      <c r="N12" s="23" t="s">
        <v>53</v>
      </c>
      <c r="O12" s="72" t="s">
        <v>4632</v>
      </c>
      <c r="P12" s="72" t="s">
        <v>4632</v>
      </c>
      <c r="Q12" s="32" t="s">
        <v>50</v>
      </c>
      <c r="R12" s="32" t="s">
        <v>50</v>
      </c>
      <c r="S12" s="32" t="s">
        <v>50</v>
      </c>
      <c r="T12" s="32" t="s">
        <v>50</v>
      </c>
      <c r="U12" s="32" t="s">
        <v>28</v>
      </c>
      <c r="V12" s="32" t="s">
        <v>28</v>
      </c>
      <c r="W12" s="32" t="s">
        <v>50</v>
      </c>
      <c r="X12" s="32" t="s">
        <v>50</v>
      </c>
      <c r="Y12" s="32" t="s">
        <v>50</v>
      </c>
      <c r="Z12" s="32" t="s">
        <v>28</v>
      </c>
      <c r="AA12" s="32" t="s">
        <v>50</v>
      </c>
      <c r="AB12" s="32" t="s">
        <v>50</v>
      </c>
    </row>
    <row r="13" ht="56.25" customHeight="1">
      <c r="A13" s="86" t="s">
        <v>5238</v>
      </c>
      <c r="B13" s="87" t="str">
        <f>IMAGE("https://i.imgur.com/eWMRFaI.png")</f>
        <v/>
      </c>
      <c r="C13" s="32" t="str">
        <f>image("https://i.imgur.com/jeJfVQp.png")</f>
        <v/>
      </c>
      <c r="D13" s="15">
        <v>2232.0</v>
      </c>
      <c r="E13" s="15" t="s">
        <v>112</v>
      </c>
      <c r="F13" s="15" t="s">
        <v>99</v>
      </c>
      <c r="G13" s="15" t="s">
        <v>41</v>
      </c>
      <c r="H13" s="15" t="s">
        <v>38</v>
      </c>
      <c r="I13" s="32">
        <v>20.0</v>
      </c>
      <c r="J13" s="72">
        <v>180.0</v>
      </c>
      <c r="K13" s="72" t="s">
        <v>5220</v>
      </c>
      <c r="L13" s="23" t="s">
        <v>5217</v>
      </c>
      <c r="M13" s="81" t="s">
        <v>4631</v>
      </c>
      <c r="N13" s="81" t="s">
        <v>40</v>
      </c>
      <c r="O13" s="88">
        <v>0.375</v>
      </c>
      <c r="P13" s="88">
        <v>0.6666666666666666</v>
      </c>
      <c r="Q13" s="32" t="s">
        <v>50</v>
      </c>
      <c r="R13" s="32" t="s">
        <v>50</v>
      </c>
      <c r="S13" s="32" t="s">
        <v>50</v>
      </c>
      <c r="T13" s="32" t="s">
        <v>50</v>
      </c>
      <c r="U13" s="32" t="s">
        <v>50</v>
      </c>
      <c r="V13" s="32" t="s">
        <v>50</v>
      </c>
      <c r="W13" s="32" t="s">
        <v>50</v>
      </c>
      <c r="X13" s="32" t="s">
        <v>50</v>
      </c>
      <c r="Y13" s="32" t="s">
        <v>50</v>
      </c>
      <c r="Z13" s="32" t="s">
        <v>50</v>
      </c>
      <c r="AA13" s="32" t="s">
        <v>50</v>
      </c>
      <c r="AB13" s="32" t="s">
        <v>50</v>
      </c>
    </row>
    <row r="14" ht="56.25" customHeight="1">
      <c r="A14" s="86" t="s">
        <v>5239</v>
      </c>
      <c r="B14" s="87" t="str">
        <f>IMAGE("https://i.imgur.com/0JvzKTY.png")</f>
        <v/>
      </c>
      <c r="C14" s="32" t="str">
        <f>image("https://i.imgur.com/62bQr68.png")</f>
        <v/>
      </c>
      <c r="D14" s="15">
        <v>2259.0</v>
      </c>
      <c r="E14" s="15" t="s">
        <v>211</v>
      </c>
      <c r="F14" s="15" t="s">
        <v>99</v>
      </c>
      <c r="G14" s="15" t="s">
        <v>186</v>
      </c>
      <c r="H14" s="15" t="s">
        <v>38</v>
      </c>
      <c r="I14" s="32">
        <v>51.0</v>
      </c>
      <c r="J14" s="72">
        <v>1000.0</v>
      </c>
      <c r="K14" s="72" t="s">
        <v>84</v>
      </c>
      <c r="L14" s="23" t="s">
        <v>5217</v>
      </c>
      <c r="M14" s="23" t="s">
        <v>4631</v>
      </c>
      <c r="N14" s="23" t="s">
        <v>40</v>
      </c>
      <c r="O14" s="72" t="s">
        <v>4632</v>
      </c>
      <c r="P14" s="72" t="s">
        <v>4632</v>
      </c>
      <c r="Q14" s="32" t="s">
        <v>28</v>
      </c>
      <c r="R14" s="32" t="s">
        <v>28</v>
      </c>
      <c r="S14" s="32" t="s">
        <v>28</v>
      </c>
      <c r="T14" s="32" t="s">
        <v>50</v>
      </c>
      <c r="U14" s="32" t="s">
        <v>50</v>
      </c>
      <c r="V14" s="32" t="s">
        <v>50</v>
      </c>
      <c r="W14" s="32" t="s">
        <v>50</v>
      </c>
      <c r="X14" s="32" t="s">
        <v>50</v>
      </c>
      <c r="Y14" s="32" t="s">
        <v>50</v>
      </c>
      <c r="Z14" s="32" t="s">
        <v>28</v>
      </c>
      <c r="AA14" s="32" t="s">
        <v>28</v>
      </c>
      <c r="AB14" s="32" t="s">
        <v>28</v>
      </c>
    </row>
    <row r="15" ht="56.25" customHeight="1">
      <c r="A15" s="86" t="s">
        <v>5240</v>
      </c>
      <c r="B15" s="87" t="str">
        <f>IMAGE("https://i.imgur.com/RaAEvYR.png")</f>
        <v/>
      </c>
      <c r="C15" s="32" t="str">
        <f>image("https://i.imgur.com/o4EUd8f.png")</f>
        <v/>
      </c>
      <c r="D15" s="15">
        <v>2219.0</v>
      </c>
      <c r="E15" s="15" t="s">
        <v>94</v>
      </c>
      <c r="F15" s="15" t="s">
        <v>99</v>
      </c>
      <c r="G15" s="15" t="s">
        <v>186</v>
      </c>
      <c r="H15" s="15" t="s">
        <v>38</v>
      </c>
      <c r="I15" s="32">
        <v>5.0</v>
      </c>
      <c r="J15" s="72">
        <v>300.0</v>
      </c>
      <c r="K15" s="72" t="s">
        <v>5242</v>
      </c>
      <c r="L15" s="23" t="s">
        <v>5224</v>
      </c>
      <c r="M15" s="23" t="s">
        <v>4631</v>
      </c>
      <c r="N15" s="23" t="s">
        <v>40</v>
      </c>
      <c r="O15" s="72" t="s">
        <v>4632</v>
      </c>
      <c r="P15" s="72" t="s">
        <v>4632</v>
      </c>
      <c r="Q15" s="32" t="s">
        <v>50</v>
      </c>
      <c r="R15" s="32" t="s">
        <v>50</v>
      </c>
      <c r="S15" s="32" t="s">
        <v>50</v>
      </c>
      <c r="T15" s="32" t="s">
        <v>50</v>
      </c>
      <c r="U15" s="32" t="s">
        <v>50</v>
      </c>
      <c r="V15" s="32" t="s">
        <v>50</v>
      </c>
      <c r="W15" s="32" t="s">
        <v>50</v>
      </c>
      <c r="X15" s="32" t="s">
        <v>50</v>
      </c>
      <c r="Y15" s="32" t="s">
        <v>50</v>
      </c>
      <c r="Z15" s="32" t="s">
        <v>50</v>
      </c>
      <c r="AA15" s="32" t="s">
        <v>50</v>
      </c>
      <c r="AB15" s="32" t="s">
        <v>50</v>
      </c>
    </row>
    <row r="16" ht="56.25" customHeight="1">
      <c r="A16" s="86" t="s">
        <v>5243</v>
      </c>
      <c r="B16" s="87" t="str">
        <f>IMAGE("https://i.imgur.com/aLIWoTl.png")</f>
        <v/>
      </c>
      <c r="C16" s="32" t="str">
        <f>image("https://i.imgur.com/oL096TO.png")</f>
        <v/>
      </c>
      <c r="D16" s="15">
        <v>2229.0</v>
      </c>
      <c r="E16" s="15" t="s">
        <v>99</v>
      </c>
      <c r="F16" s="15" t="s">
        <v>99</v>
      </c>
      <c r="G16" s="15" t="s">
        <v>186</v>
      </c>
      <c r="H16" s="15" t="s">
        <v>38</v>
      </c>
      <c r="I16" s="32">
        <v>18.0</v>
      </c>
      <c r="J16" s="72">
        <v>800.0</v>
      </c>
      <c r="K16" s="72" t="s">
        <v>5242</v>
      </c>
      <c r="L16" s="23" t="s">
        <v>5224</v>
      </c>
      <c r="M16" s="81" t="s">
        <v>4631</v>
      </c>
      <c r="N16" s="81" t="s">
        <v>40</v>
      </c>
      <c r="O16" s="88">
        <v>0.6666666666666666</v>
      </c>
      <c r="P16" s="88">
        <v>0.375</v>
      </c>
      <c r="Q16" s="32" t="s">
        <v>28</v>
      </c>
      <c r="R16" s="32" t="s">
        <v>28</v>
      </c>
      <c r="S16" s="32" t="s">
        <v>28</v>
      </c>
      <c r="T16" s="32" t="s">
        <v>28</v>
      </c>
      <c r="U16" s="32" t="s">
        <v>50</v>
      </c>
      <c r="V16" s="32" t="s">
        <v>50</v>
      </c>
      <c r="W16" s="32" t="s">
        <v>50</v>
      </c>
      <c r="X16" s="32" t="s">
        <v>50</v>
      </c>
      <c r="Y16" s="32" t="s">
        <v>50</v>
      </c>
      <c r="Z16" s="32" t="s">
        <v>50</v>
      </c>
      <c r="AA16" s="32" t="s">
        <v>28</v>
      </c>
      <c r="AB16" s="32" t="s">
        <v>28</v>
      </c>
    </row>
    <row r="17" ht="56.25" customHeight="1">
      <c r="A17" s="86" t="s">
        <v>5244</v>
      </c>
      <c r="B17" s="87" t="str">
        <f>IMAGE("https://i.imgur.com/9MclSeV.png")</f>
        <v/>
      </c>
      <c r="C17" s="32" t="str">
        <f>image("https://i.imgur.com/NRB7x3s.png")</f>
        <v/>
      </c>
      <c r="D17" s="15">
        <v>2239.0</v>
      </c>
      <c r="E17" s="15" t="s">
        <v>118</v>
      </c>
      <c r="F17" s="15" t="s">
        <v>99</v>
      </c>
      <c r="G17" s="15" t="s">
        <v>186</v>
      </c>
      <c r="H17" s="15" t="s">
        <v>38</v>
      </c>
      <c r="I17" s="32">
        <v>28.0</v>
      </c>
      <c r="J17" s="72">
        <v>3800.0</v>
      </c>
      <c r="K17" s="72" t="s">
        <v>5246</v>
      </c>
      <c r="L17" s="23" t="s">
        <v>5227</v>
      </c>
      <c r="M17" s="81" t="s">
        <v>4610</v>
      </c>
      <c r="N17" s="81" t="s">
        <v>40</v>
      </c>
      <c r="O17" s="88">
        <v>0.6666666666666666</v>
      </c>
      <c r="P17" s="88">
        <v>0.375</v>
      </c>
      <c r="Q17" s="32" t="s">
        <v>28</v>
      </c>
      <c r="R17" s="32" t="s">
        <v>28</v>
      </c>
      <c r="S17" s="32" t="s">
        <v>50</v>
      </c>
      <c r="T17" s="32" t="s">
        <v>50</v>
      </c>
      <c r="U17" s="32" t="s">
        <v>50</v>
      </c>
      <c r="V17" s="32" t="s">
        <v>50</v>
      </c>
      <c r="W17" s="32" t="s">
        <v>28</v>
      </c>
      <c r="X17" s="32" t="s">
        <v>28</v>
      </c>
      <c r="Y17" s="32" t="s">
        <v>50</v>
      </c>
      <c r="Z17" s="32" t="s">
        <v>50</v>
      </c>
      <c r="AA17" s="32" t="s">
        <v>50</v>
      </c>
      <c r="AB17" s="32" t="s">
        <v>28</v>
      </c>
    </row>
    <row r="18" ht="56.25" customHeight="1">
      <c r="A18" s="86" t="s">
        <v>5247</v>
      </c>
      <c r="B18" s="87" t="str">
        <f>IMAGE("https://i.imgur.com/iH9LRo5.png")</f>
        <v/>
      </c>
      <c r="C18" s="32" t="str">
        <f>image("https://i.imgur.com/mybracc.png")</f>
        <v/>
      </c>
      <c r="D18" s="15">
        <v>2238.0</v>
      </c>
      <c r="E18" s="15" t="s">
        <v>118</v>
      </c>
      <c r="F18" s="15" t="s">
        <v>99</v>
      </c>
      <c r="G18" s="15" t="s">
        <v>186</v>
      </c>
      <c r="H18" s="15" t="s">
        <v>38</v>
      </c>
      <c r="I18" s="32">
        <v>27.0</v>
      </c>
      <c r="J18" s="72">
        <v>1000.0</v>
      </c>
      <c r="K18" s="72" t="s">
        <v>5246</v>
      </c>
      <c r="L18" s="23" t="s">
        <v>5227</v>
      </c>
      <c r="M18" s="81" t="s">
        <v>4631</v>
      </c>
      <c r="N18" s="81" t="s">
        <v>40</v>
      </c>
      <c r="O18" s="88">
        <v>0.6666666666666666</v>
      </c>
      <c r="P18" s="88">
        <v>0.375</v>
      </c>
      <c r="Q18" s="32" t="s">
        <v>28</v>
      </c>
      <c r="R18" s="32" t="s">
        <v>28</v>
      </c>
      <c r="S18" s="32" t="s">
        <v>50</v>
      </c>
      <c r="T18" s="32" t="s">
        <v>50</v>
      </c>
      <c r="U18" s="32" t="s">
        <v>50</v>
      </c>
      <c r="V18" s="32" t="s">
        <v>50</v>
      </c>
      <c r="W18" s="32" t="s">
        <v>28</v>
      </c>
      <c r="X18" s="32" t="s">
        <v>28</v>
      </c>
      <c r="Y18" s="32" t="s">
        <v>50</v>
      </c>
      <c r="Z18" s="32" t="s">
        <v>50</v>
      </c>
      <c r="AA18" s="32" t="s">
        <v>50</v>
      </c>
      <c r="AB18" s="32" t="s">
        <v>28</v>
      </c>
    </row>
    <row r="19" ht="56.25" customHeight="1">
      <c r="A19" s="86" t="s">
        <v>5249</v>
      </c>
      <c r="B19" s="87" t="str">
        <f>IMAGE("https://i.imgur.com/Cyc7wRe.png")</f>
        <v/>
      </c>
      <c r="C19" s="32" t="str">
        <f>image("https://i.imgur.com/A2GrXfJ.png")</f>
        <v/>
      </c>
      <c r="D19" s="15">
        <v>2257.0</v>
      </c>
      <c r="E19" s="15" t="s">
        <v>521</v>
      </c>
      <c r="F19" s="15" t="s">
        <v>99</v>
      </c>
      <c r="G19" s="15" t="s">
        <v>186</v>
      </c>
      <c r="H19" s="15" t="s">
        <v>38</v>
      </c>
      <c r="I19" s="32">
        <v>49.0</v>
      </c>
      <c r="J19" s="72">
        <v>650.0</v>
      </c>
      <c r="K19" s="72" t="s">
        <v>84</v>
      </c>
      <c r="L19" s="23" t="s">
        <v>5232</v>
      </c>
      <c r="M19" s="23" t="s">
        <v>4631</v>
      </c>
      <c r="N19" s="23" t="s">
        <v>40</v>
      </c>
      <c r="O19" s="72" t="s">
        <v>4632</v>
      </c>
      <c r="P19" s="72" t="s">
        <v>4632</v>
      </c>
      <c r="Q19" s="32" t="s">
        <v>28</v>
      </c>
      <c r="R19" s="32" t="s">
        <v>28</v>
      </c>
      <c r="S19" s="32" t="s">
        <v>28</v>
      </c>
      <c r="T19" s="32" t="s">
        <v>50</v>
      </c>
      <c r="U19" s="32" t="s">
        <v>50</v>
      </c>
      <c r="V19" s="32" t="s">
        <v>50</v>
      </c>
      <c r="W19" s="32" t="s">
        <v>50</v>
      </c>
      <c r="X19" s="32" t="s">
        <v>50</v>
      </c>
      <c r="Y19" s="32" t="s">
        <v>50</v>
      </c>
      <c r="Z19" s="32" t="s">
        <v>28</v>
      </c>
      <c r="AA19" s="32" t="s">
        <v>28</v>
      </c>
      <c r="AB19" s="32" t="s">
        <v>28</v>
      </c>
    </row>
    <row r="20" ht="56.25" customHeight="1">
      <c r="A20" s="89" t="s">
        <v>5250</v>
      </c>
      <c r="B20" s="87" t="str">
        <f>IMAGE("https://i.imgur.com/ver2Adw.png")</f>
        <v/>
      </c>
      <c r="C20" s="32" t="str">
        <f>image("https://i.imgur.com/JeIIUjr.png")</f>
        <v/>
      </c>
      <c r="D20" s="15">
        <v>2284.0</v>
      </c>
      <c r="E20" s="15" t="s">
        <v>99</v>
      </c>
      <c r="F20" s="15" t="s">
        <v>99</v>
      </c>
      <c r="G20" s="15" t="s">
        <v>186</v>
      </c>
      <c r="H20" s="15" t="s">
        <v>130</v>
      </c>
      <c r="I20" s="32">
        <v>80.0</v>
      </c>
      <c r="J20" s="72">
        <v>15000.0</v>
      </c>
      <c r="K20" s="72" t="s">
        <v>5251</v>
      </c>
      <c r="L20" s="23" t="s">
        <v>5222</v>
      </c>
      <c r="M20" s="23" t="s">
        <v>4697</v>
      </c>
      <c r="N20" s="23" t="s">
        <v>53</v>
      </c>
      <c r="O20" s="72" t="s">
        <v>4632</v>
      </c>
      <c r="P20" s="72" t="s">
        <v>4632</v>
      </c>
      <c r="Q20" s="32" t="s">
        <v>50</v>
      </c>
      <c r="R20" s="32" t="s">
        <v>50</v>
      </c>
      <c r="S20" s="32" t="s">
        <v>50</v>
      </c>
      <c r="T20" s="32" t="s">
        <v>50</v>
      </c>
      <c r="U20" s="32" t="s">
        <v>50</v>
      </c>
      <c r="V20" s="32" t="s">
        <v>50</v>
      </c>
      <c r="W20" s="32" t="s">
        <v>50</v>
      </c>
      <c r="X20" s="32" t="s">
        <v>50</v>
      </c>
      <c r="Y20" s="32" t="s">
        <v>50</v>
      </c>
      <c r="Z20" s="32" t="s">
        <v>50</v>
      </c>
      <c r="AA20" s="32" t="s">
        <v>50</v>
      </c>
      <c r="AB20" s="32" t="s">
        <v>50</v>
      </c>
    </row>
    <row r="21" ht="56.25" customHeight="1">
      <c r="A21" s="86" t="s">
        <v>5252</v>
      </c>
      <c r="B21" s="87" t="str">
        <f>IMAGE("https://i.imgur.com/0CBQNoz.png")</f>
        <v/>
      </c>
      <c r="C21" s="32" t="str">
        <f>image("https://i.imgur.com/U7Yc9Iw.png")</f>
        <v/>
      </c>
      <c r="D21" s="15">
        <v>2223.0</v>
      </c>
      <c r="E21" s="15" t="s">
        <v>208</v>
      </c>
      <c r="F21" s="15" t="s">
        <v>99</v>
      </c>
      <c r="G21" s="15" t="s">
        <v>186</v>
      </c>
      <c r="H21" s="15" t="s">
        <v>38</v>
      </c>
      <c r="I21" s="32">
        <v>11.0</v>
      </c>
      <c r="J21" s="72">
        <v>200.0</v>
      </c>
      <c r="K21" s="72" t="s">
        <v>5242</v>
      </c>
      <c r="L21" s="23" t="s">
        <v>5217</v>
      </c>
      <c r="M21" s="23" t="s">
        <v>4631</v>
      </c>
      <c r="N21" s="23" t="s">
        <v>40</v>
      </c>
      <c r="O21" s="72" t="s">
        <v>4632</v>
      </c>
      <c r="P21" s="72" t="s">
        <v>4632</v>
      </c>
      <c r="Q21" s="32" t="s">
        <v>28</v>
      </c>
      <c r="R21" s="32" t="s">
        <v>28</v>
      </c>
      <c r="S21" s="32" t="s">
        <v>28</v>
      </c>
      <c r="T21" s="32" t="s">
        <v>50</v>
      </c>
      <c r="U21" s="32" t="s">
        <v>50</v>
      </c>
      <c r="V21" s="32" t="s">
        <v>50</v>
      </c>
      <c r="W21" s="32" t="s">
        <v>50</v>
      </c>
      <c r="X21" s="32" t="s">
        <v>50</v>
      </c>
      <c r="Y21" s="32" t="s">
        <v>50</v>
      </c>
      <c r="Z21" s="32" t="s">
        <v>28</v>
      </c>
      <c r="AA21" s="32" t="s">
        <v>28</v>
      </c>
      <c r="AB21" s="32" t="s">
        <v>28</v>
      </c>
    </row>
    <row r="22" ht="56.25" customHeight="1">
      <c r="A22" s="86" t="s">
        <v>5254</v>
      </c>
      <c r="B22" s="87" t="str">
        <f>IMAGE("https://i.imgur.com/vm9H7bJ.png")</f>
        <v/>
      </c>
      <c r="C22" s="32" t="str">
        <f>image("https://i.imgur.com/ufiWC7t.png")</f>
        <v/>
      </c>
      <c r="D22" s="15">
        <v>328.0</v>
      </c>
      <c r="E22" s="15" t="s">
        <v>118</v>
      </c>
      <c r="F22" s="15" t="s">
        <v>99</v>
      </c>
      <c r="G22" s="15" t="s">
        <v>186</v>
      </c>
      <c r="H22" s="15" t="s">
        <v>38</v>
      </c>
      <c r="I22" s="32">
        <v>3.0</v>
      </c>
      <c r="J22" s="72">
        <v>160.0</v>
      </c>
      <c r="K22" s="72" t="s">
        <v>5220</v>
      </c>
      <c r="L22" s="23" t="s">
        <v>5217</v>
      </c>
      <c r="M22" s="23" t="s">
        <v>4631</v>
      </c>
      <c r="N22" s="23" t="s">
        <v>40</v>
      </c>
      <c r="O22" s="72" t="s">
        <v>4632</v>
      </c>
      <c r="P22" s="72" t="s">
        <v>4632</v>
      </c>
      <c r="Q22" s="32" t="s">
        <v>50</v>
      </c>
      <c r="R22" s="32" t="s">
        <v>50</v>
      </c>
      <c r="S22" s="32" t="s">
        <v>50</v>
      </c>
      <c r="T22" s="32" t="s">
        <v>50</v>
      </c>
      <c r="U22" s="32" t="s">
        <v>50</v>
      </c>
      <c r="V22" s="32" t="s">
        <v>50</v>
      </c>
      <c r="W22" s="32" t="s">
        <v>50</v>
      </c>
      <c r="X22" s="32" t="s">
        <v>50</v>
      </c>
      <c r="Y22" s="32" t="s">
        <v>50</v>
      </c>
      <c r="Z22" s="32" t="s">
        <v>50</v>
      </c>
      <c r="AA22" s="32" t="s">
        <v>50</v>
      </c>
      <c r="AB22" s="32" t="s">
        <v>50</v>
      </c>
    </row>
    <row r="23" ht="56.25" customHeight="1">
      <c r="A23" s="86" t="s">
        <v>5255</v>
      </c>
      <c r="B23" s="87" t="str">
        <f>IMAGE("https://i.imgur.com/tLLN871.png")</f>
        <v/>
      </c>
      <c r="C23" s="32" t="str">
        <f>image("https://i.imgur.com/MyznrlR.png")</f>
        <v/>
      </c>
      <c r="D23" s="15">
        <v>2268.0</v>
      </c>
      <c r="E23" s="15" t="s">
        <v>118</v>
      </c>
      <c r="F23" s="15" t="s">
        <v>99</v>
      </c>
      <c r="G23" s="15" t="s">
        <v>186</v>
      </c>
      <c r="H23" s="15" t="s">
        <v>38</v>
      </c>
      <c r="I23" s="32">
        <v>61.0</v>
      </c>
      <c r="J23" s="72">
        <v>300.0</v>
      </c>
      <c r="K23" s="72" t="s">
        <v>84</v>
      </c>
      <c r="L23" s="23" t="s">
        <v>5227</v>
      </c>
      <c r="M23" s="23" t="s">
        <v>4631</v>
      </c>
      <c r="N23" s="23" t="s">
        <v>40</v>
      </c>
      <c r="O23" s="72" t="s">
        <v>4632</v>
      </c>
      <c r="P23" s="72" t="s">
        <v>4632</v>
      </c>
      <c r="Q23" s="32" t="s">
        <v>50</v>
      </c>
      <c r="R23" s="32" t="s">
        <v>50</v>
      </c>
      <c r="S23" s="32" t="s">
        <v>50</v>
      </c>
      <c r="T23" s="32" t="s">
        <v>50</v>
      </c>
      <c r="U23" s="32" t="s">
        <v>28</v>
      </c>
      <c r="V23" s="32" t="s">
        <v>28</v>
      </c>
      <c r="W23" s="32" t="s">
        <v>28</v>
      </c>
      <c r="X23" s="32" t="s">
        <v>28</v>
      </c>
      <c r="Y23" s="32" t="s">
        <v>28</v>
      </c>
      <c r="Z23" s="32" t="s">
        <v>50</v>
      </c>
      <c r="AA23" s="32" t="s">
        <v>50</v>
      </c>
      <c r="AB23" s="32" t="s">
        <v>50</v>
      </c>
    </row>
    <row r="24" ht="56.25" customHeight="1">
      <c r="A24" s="86" t="s">
        <v>5256</v>
      </c>
      <c r="B24" s="87" t="str">
        <f>IMAGE("https://imgur.com/9FGVRxJ.png")</f>
        <v/>
      </c>
      <c r="C24" s="32" t="str">
        <f>image("https://i.imgur.com/37fMB7M.png")</f>
        <v/>
      </c>
      <c r="D24" s="15">
        <v>2217.0</v>
      </c>
      <c r="E24" s="15" t="s">
        <v>118</v>
      </c>
      <c r="F24" s="15" t="s">
        <v>99</v>
      </c>
      <c r="G24" s="15" t="s">
        <v>186</v>
      </c>
      <c r="H24" s="15" t="s">
        <v>38</v>
      </c>
      <c r="I24" s="32">
        <v>4.0</v>
      </c>
      <c r="J24" s="72">
        <v>240.0</v>
      </c>
      <c r="K24" s="72" t="s">
        <v>5220</v>
      </c>
      <c r="L24" s="23" t="s">
        <v>5227</v>
      </c>
      <c r="M24" s="81" t="s">
        <v>4631</v>
      </c>
      <c r="N24" s="81" t="s">
        <v>40</v>
      </c>
      <c r="O24" s="88">
        <v>0.6666666666666666</v>
      </c>
      <c r="P24" s="88">
        <v>0.375</v>
      </c>
      <c r="Q24" s="32" t="s">
        <v>50</v>
      </c>
      <c r="R24" s="32" t="s">
        <v>50</v>
      </c>
      <c r="S24" s="32" t="s">
        <v>50</v>
      </c>
      <c r="T24" s="32" t="s">
        <v>50</v>
      </c>
      <c r="U24" s="32" t="s">
        <v>50</v>
      </c>
      <c r="V24" s="32" t="s">
        <v>50</v>
      </c>
      <c r="W24" s="32" t="s">
        <v>50</v>
      </c>
      <c r="X24" s="32" t="s">
        <v>50</v>
      </c>
      <c r="Y24" s="32" t="s">
        <v>50</v>
      </c>
      <c r="Z24" s="32" t="s">
        <v>50</v>
      </c>
      <c r="AA24" s="32" t="s">
        <v>50</v>
      </c>
      <c r="AB24" s="32" t="s">
        <v>50</v>
      </c>
    </row>
    <row r="25" ht="56.25" customHeight="1">
      <c r="A25" s="86" t="s">
        <v>5258</v>
      </c>
      <c r="B25" s="87" t="str">
        <f>IMAGE("https://i.imgur.com/eqKLRy7.png")</f>
        <v/>
      </c>
      <c r="C25" s="32" t="str">
        <f>image("https://i.imgur.com/ZcF4zSw.png")</f>
        <v/>
      </c>
      <c r="D25" s="15">
        <v>2251.0</v>
      </c>
      <c r="E25" s="15" t="s">
        <v>211</v>
      </c>
      <c r="F25" s="15" t="s">
        <v>99</v>
      </c>
      <c r="G25" s="15" t="s">
        <v>186</v>
      </c>
      <c r="H25" s="15" t="s">
        <v>130</v>
      </c>
      <c r="I25" s="32">
        <v>42.0</v>
      </c>
      <c r="J25" s="72">
        <v>15000.0</v>
      </c>
      <c r="K25" s="72" t="s">
        <v>5220</v>
      </c>
      <c r="L25" s="23" t="s">
        <v>5259</v>
      </c>
      <c r="M25" s="81" t="s">
        <v>4697</v>
      </c>
      <c r="N25" s="81" t="s">
        <v>40</v>
      </c>
      <c r="O25" s="88">
        <v>0.16666666666666666</v>
      </c>
      <c r="P25" s="88">
        <v>0.875</v>
      </c>
      <c r="Q25" s="32" t="s">
        <v>28</v>
      </c>
      <c r="R25" s="32" t="s">
        <v>28</v>
      </c>
      <c r="S25" s="32" t="s">
        <v>28</v>
      </c>
      <c r="T25" s="32" t="s">
        <v>28</v>
      </c>
      <c r="U25" s="32" t="s">
        <v>28</v>
      </c>
      <c r="V25" s="32" t="s">
        <v>50</v>
      </c>
      <c r="W25" s="32" t="s">
        <v>50</v>
      </c>
      <c r="X25" s="32" t="s">
        <v>50</v>
      </c>
      <c r="Y25" s="32" t="s">
        <v>50</v>
      </c>
      <c r="Z25" s="32" t="s">
        <v>28</v>
      </c>
      <c r="AA25" s="32" t="s">
        <v>28</v>
      </c>
      <c r="AB25" s="32" t="s">
        <v>28</v>
      </c>
    </row>
    <row r="26" ht="56.25" customHeight="1">
      <c r="A26" s="86" t="s">
        <v>5260</v>
      </c>
      <c r="B26" s="87" t="str">
        <f>IMAGE("https://i.imgur.com/kLXlrsU.png")</f>
        <v/>
      </c>
      <c r="C26" s="32" t="str">
        <f>image("https://i.imgur.com/AI1SS5M.png")</f>
        <v/>
      </c>
      <c r="D26" s="15">
        <v>2273.0</v>
      </c>
      <c r="E26" s="15" t="s">
        <v>99</v>
      </c>
      <c r="F26" s="15" t="s">
        <v>99</v>
      </c>
      <c r="G26" s="15" t="s">
        <v>365</v>
      </c>
      <c r="H26" s="15" t="s">
        <v>130</v>
      </c>
      <c r="I26" s="32">
        <v>77.0</v>
      </c>
      <c r="J26" s="72">
        <v>2500.0</v>
      </c>
      <c r="K26" s="72" t="s">
        <v>84</v>
      </c>
      <c r="L26" s="23" t="s">
        <v>5224</v>
      </c>
      <c r="M26" s="81" t="s">
        <v>4610</v>
      </c>
      <c r="N26" s="81" t="s">
        <v>40</v>
      </c>
      <c r="O26" s="88">
        <v>0.6666666666666666</v>
      </c>
      <c r="P26" s="88">
        <v>0.375</v>
      </c>
      <c r="Q26" s="32" t="s">
        <v>50</v>
      </c>
      <c r="R26" s="32" t="s">
        <v>50</v>
      </c>
      <c r="S26" s="32" t="s">
        <v>50</v>
      </c>
      <c r="T26" s="32" t="s">
        <v>28</v>
      </c>
      <c r="U26" s="32" t="s">
        <v>28</v>
      </c>
      <c r="V26" s="32" t="s">
        <v>28</v>
      </c>
      <c r="W26" s="32" t="s">
        <v>28</v>
      </c>
      <c r="X26" s="32" t="s">
        <v>28</v>
      </c>
      <c r="Y26" s="32" t="s">
        <v>28</v>
      </c>
      <c r="Z26" s="32" t="s">
        <v>28</v>
      </c>
      <c r="AA26" s="32" t="s">
        <v>50</v>
      </c>
      <c r="AB26" s="32" t="s">
        <v>50</v>
      </c>
    </row>
    <row r="27" ht="56.25" customHeight="1">
      <c r="A27" s="86" t="s">
        <v>5261</v>
      </c>
      <c r="B27" s="87" t="str">
        <f>IMAGE("https://i.imgur.com/j7kZT4I.png")</f>
        <v/>
      </c>
      <c r="C27" s="32" t="str">
        <f>image("https://i.imgur.com/3uOEYnt.png")</f>
        <v/>
      </c>
      <c r="D27" s="15">
        <v>2227.0</v>
      </c>
      <c r="E27" s="15" t="s">
        <v>118</v>
      </c>
      <c r="F27" s="15" t="s">
        <v>99</v>
      </c>
      <c r="G27" s="15" t="s">
        <v>186</v>
      </c>
      <c r="H27" s="15" t="s">
        <v>38</v>
      </c>
      <c r="I27" s="32">
        <v>16.0</v>
      </c>
      <c r="J27" s="72">
        <v>400.0</v>
      </c>
      <c r="K27" s="72" t="s">
        <v>5220</v>
      </c>
      <c r="L27" s="23" t="s">
        <v>5217</v>
      </c>
      <c r="M27" s="81" t="s">
        <v>4631</v>
      </c>
      <c r="N27" s="81" t="s">
        <v>40</v>
      </c>
      <c r="O27" s="88">
        <v>0.6666666666666666</v>
      </c>
      <c r="P27" s="88">
        <v>0.375</v>
      </c>
      <c r="Q27" s="32" t="s">
        <v>50</v>
      </c>
      <c r="R27" s="32" t="s">
        <v>50</v>
      </c>
      <c r="S27" s="32" t="s">
        <v>50</v>
      </c>
      <c r="T27" s="32" t="s">
        <v>50</v>
      </c>
      <c r="U27" s="32" t="s">
        <v>50</v>
      </c>
      <c r="V27" s="32" t="s">
        <v>50</v>
      </c>
      <c r="W27" s="32" t="s">
        <v>50</v>
      </c>
      <c r="X27" s="32" t="s">
        <v>50</v>
      </c>
      <c r="Y27" s="32" t="s">
        <v>50</v>
      </c>
      <c r="Z27" s="32" t="s">
        <v>50</v>
      </c>
      <c r="AA27" s="32" t="s">
        <v>50</v>
      </c>
      <c r="AB27" s="32" t="s">
        <v>50</v>
      </c>
    </row>
    <row r="28" ht="56.25" customHeight="1">
      <c r="A28" s="86" t="s">
        <v>5263</v>
      </c>
      <c r="B28" s="87" t="str">
        <f>IMAGE("https://i.imgur.com/4s4OcoK.png")</f>
        <v/>
      </c>
      <c r="C28" s="32" t="str">
        <f>image("https://i.imgur.com/NwcGwTr.png")</f>
        <v/>
      </c>
      <c r="D28" s="15">
        <v>2226.0</v>
      </c>
      <c r="E28" s="15" t="s">
        <v>369</v>
      </c>
      <c r="F28" s="15" t="s">
        <v>99</v>
      </c>
      <c r="G28" s="15" t="s">
        <v>186</v>
      </c>
      <c r="H28" s="15" t="s">
        <v>38</v>
      </c>
      <c r="I28" s="32">
        <v>15.0</v>
      </c>
      <c r="J28" s="72">
        <v>120.0</v>
      </c>
      <c r="K28" s="72" t="s">
        <v>5242</v>
      </c>
      <c r="L28" s="23" t="s">
        <v>5217</v>
      </c>
      <c r="M28" s="23" t="s">
        <v>4631</v>
      </c>
      <c r="N28" s="23" t="s">
        <v>40</v>
      </c>
      <c r="O28" s="72" t="s">
        <v>4632</v>
      </c>
      <c r="P28" s="72" t="s">
        <v>4632</v>
      </c>
      <c r="Q28" s="32" t="s">
        <v>28</v>
      </c>
      <c r="R28" s="32" t="s">
        <v>28</v>
      </c>
      <c r="S28" s="32" t="s">
        <v>28</v>
      </c>
      <c r="T28" s="32" t="s">
        <v>28</v>
      </c>
      <c r="U28" s="32" t="s">
        <v>50</v>
      </c>
      <c r="V28" s="32" t="s">
        <v>50</v>
      </c>
      <c r="W28" s="32" t="s">
        <v>50</v>
      </c>
      <c r="X28" s="32" t="s">
        <v>50</v>
      </c>
      <c r="Y28" s="32" t="s">
        <v>28</v>
      </c>
      <c r="Z28" s="32" t="s">
        <v>28</v>
      </c>
      <c r="AA28" s="32" t="s">
        <v>28</v>
      </c>
      <c r="AB28" s="32" t="s">
        <v>28</v>
      </c>
    </row>
    <row r="29" ht="56.25" customHeight="1">
      <c r="A29" s="86" t="s">
        <v>5264</v>
      </c>
      <c r="B29" s="87" t="str">
        <f>IMAGE("https://i.imgur.com/YF5N0YS.png")</f>
        <v/>
      </c>
      <c r="C29" s="32" t="str">
        <f>image("https://i.imgur.com/odaeBOs.png")</f>
        <v/>
      </c>
      <c r="D29" s="15">
        <v>2252.0</v>
      </c>
      <c r="E29" s="15" t="s">
        <v>118</v>
      </c>
      <c r="F29" s="15" t="s">
        <v>99</v>
      </c>
      <c r="G29" s="15" t="s">
        <v>186</v>
      </c>
      <c r="H29" s="15" t="s">
        <v>130</v>
      </c>
      <c r="I29" s="32">
        <v>43.0</v>
      </c>
      <c r="J29" s="72">
        <v>6000.0</v>
      </c>
      <c r="K29" s="72" t="s">
        <v>5242</v>
      </c>
      <c r="L29" s="23" t="s">
        <v>5259</v>
      </c>
      <c r="M29" s="81" t="s">
        <v>4643</v>
      </c>
      <c r="N29" s="81" t="s">
        <v>40</v>
      </c>
      <c r="O29" s="88">
        <v>0.6666666666666666</v>
      </c>
      <c r="P29" s="88">
        <v>0.375</v>
      </c>
      <c r="Q29" s="32" t="s">
        <v>28</v>
      </c>
      <c r="R29" s="32" t="s">
        <v>28</v>
      </c>
      <c r="S29" s="32" t="s">
        <v>28</v>
      </c>
      <c r="T29" s="32" t="s">
        <v>28</v>
      </c>
      <c r="U29" s="32" t="s">
        <v>28</v>
      </c>
      <c r="V29" s="32" t="s">
        <v>50</v>
      </c>
      <c r="W29" s="32" t="s">
        <v>50</v>
      </c>
      <c r="X29" s="32" t="s">
        <v>50</v>
      </c>
      <c r="Y29" s="32" t="s">
        <v>50</v>
      </c>
      <c r="Z29" s="32" t="s">
        <v>28</v>
      </c>
      <c r="AA29" s="32" t="s">
        <v>28</v>
      </c>
      <c r="AB29" s="32" t="s">
        <v>28</v>
      </c>
    </row>
    <row r="30" ht="56.25" customHeight="1">
      <c r="A30" s="86" t="s">
        <v>5266</v>
      </c>
      <c r="B30" s="87" t="str">
        <f>IMAGE("https://i.imgur.com/iwMiVDi.png")</f>
        <v/>
      </c>
      <c r="C30" s="32" t="str">
        <f>image("https://i.imgur.com/H4wlm0G.png")</f>
        <v/>
      </c>
      <c r="D30" s="15">
        <v>2231.0</v>
      </c>
      <c r="E30" s="15" t="s">
        <v>99</v>
      </c>
      <c r="F30" s="15" t="s">
        <v>99</v>
      </c>
      <c r="G30" s="15" t="s">
        <v>186</v>
      </c>
      <c r="H30" s="15" t="s">
        <v>130</v>
      </c>
      <c r="I30" s="32">
        <v>19.0</v>
      </c>
      <c r="J30" s="72">
        <v>5500.0</v>
      </c>
      <c r="K30" s="72" t="s">
        <v>5242</v>
      </c>
      <c r="L30" s="23" t="s">
        <v>5224</v>
      </c>
      <c r="M30" s="81" t="s">
        <v>4643</v>
      </c>
      <c r="N30" s="81" t="s">
        <v>40</v>
      </c>
      <c r="O30" s="88">
        <v>0.375</v>
      </c>
      <c r="P30" s="88">
        <v>0.6666666666666666</v>
      </c>
      <c r="Q30" s="32" t="s">
        <v>28</v>
      </c>
      <c r="R30" s="32" t="s">
        <v>28</v>
      </c>
      <c r="S30" s="32" t="s">
        <v>28</v>
      </c>
      <c r="T30" s="32" t="s">
        <v>28</v>
      </c>
      <c r="U30" s="32" t="s">
        <v>28</v>
      </c>
      <c r="V30" s="32" t="s">
        <v>50</v>
      </c>
      <c r="W30" s="32" t="s">
        <v>50</v>
      </c>
      <c r="X30" s="32" t="s">
        <v>50</v>
      </c>
      <c r="Y30" s="32" t="s">
        <v>28</v>
      </c>
      <c r="Z30" s="32" t="s">
        <v>28</v>
      </c>
      <c r="AA30" s="32" t="s">
        <v>28</v>
      </c>
      <c r="AB30" s="32" t="s">
        <v>28</v>
      </c>
    </row>
    <row r="31" ht="56.25" customHeight="1">
      <c r="A31" s="86" t="s">
        <v>5267</v>
      </c>
      <c r="B31" s="87" t="str">
        <f>IMAGE("https://i.imgur.com/QQTaTjS.png")</f>
        <v/>
      </c>
      <c r="C31" s="32" t="str">
        <f>image("https://i.imgur.com/OfQO5iq.png")</f>
        <v/>
      </c>
      <c r="D31" s="15">
        <v>2276.0</v>
      </c>
      <c r="E31" s="15" t="s">
        <v>99</v>
      </c>
      <c r="F31" s="15" t="s">
        <v>99</v>
      </c>
      <c r="G31" s="15" t="s">
        <v>186</v>
      </c>
      <c r="H31" s="15" t="s">
        <v>130</v>
      </c>
      <c r="I31" s="32">
        <v>68.0</v>
      </c>
      <c r="J31" s="72">
        <v>4500.0</v>
      </c>
      <c r="K31" s="72" t="s">
        <v>5237</v>
      </c>
      <c r="L31" s="23" t="s">
        <v>5259</v>
      </c>
      <c r="M31" s="23" t="s">
        <v>4610</v>
      </c>
      <c r="N31" s="23" t="s">
        <v>40</v>
      </c>
      <c r="O31" s="72" t="s">
        <v>4632</v>
      </c>
      <c r="P31" s="72" t="s">
        <v>4632</v>
      </c>
      <c r="Q31" s="32" t="s">
        <v>28</v>
      </c>
      <c r="R31" s="32" t="s">
        <v>28</v>
      </c>
      <c r="S31" s="32" t="s">
        <v>28</v>
      </c>
      <c r="T31" s="32" t="s">
        <v>28</v>
      </c>
      <c r="U31" s="32" t="s">
        <v>50</v>
      </c>
      <c r="V31" s="32" t="s">
        <v>50</v>
      </c>
      <c r="W31" s="32" t="s">
        <v>50</v>
      </c>
      <c r="X31" s="32" t="s">
        <v>50</v>
      </c>
      <c r="Y31" s="32" t="s">
        <v>50</v>
      </c>
      <c r="Z31" s="32" t="s">
        <v>50</v>
      </c>
      <c r="AA31" s="32" t="s">
        <v>28</v>
      </c>
      <c r="AB31" s="32" t="s">
        <v>28</v>
      </c>
    </row>
    <row r="32" ht="56.25" customHeight="1">
      <c r="A32" s="86" t="s">
        <v>5269</v>
      </c>
      <c r="B32" s="87" t="str">
        <f>IMAGE("https://i.imgur.com/WprLFOn.png")</f>
        <v/>
      </c>
      <c r="C32" s="32" t="str">
        <f>image("https://i.imgur.com/cqHgvxj.png")</f>
        <v/>
      </c>
      <c r="D32" s="15">
        <v>4193.0</v>
      </c>
      <c r="E32" s="15" t="s">
        <v>118</v>
      </c>
      <c r="F32" s="15" t="s">
        <v>99</v>
      </c>
      <c r="G32" s="15" t="s">
        <v>186</v>
      </c>
      <c r="H32" s="15" t="s">
        <v>38</v>
      </c>
      <c r="I32" s="32">
        <v>29.0</v>
      </c>
      <c r="J32" s="72">
        <v>15000.0</v>
      </c>
      <c r="K32" s="72" t="s">
        <v>5246</v>
      </c>
      <c r="L32" s="23" t="s">
        <v>5227</v>
      </c>
      <c r="M32" s="81" t="s">
        <v>4697</v>
      </c>
      <c r="N32" s="81" t="s">
        <v>40</v>
      </c>
      <c r="O32" s="88">
        <v>0.6666666666666666</v>
      </c>
      <c r="P32" s="88">
        <v>0.375</v>
      </c>
      <c r="Q32" s="32" t="s">
        <v>28</v>
      </c>
      <c r="R32" s="32" t="s">
        <v>28</v>
      </c>
      <c r="S32" s="32" t="s">
        <v>50</v>
      </c>
      <c r="T32" s="32" t="s">
        <v>50</v>
      </c>
      <c r="U32" s="32" t="s">
        <v>50</v>
      </c>
      <c r="V32" s="32" t="s">
        <v>28</v>
      </c>
      <c r="W32" s="32" t="s">
        <v>28</v>
      </c>
      <c r="X32" s="32" t="s">
        <v>28</v>
      </c>
      <c r="Y32" s="32" t="s">
        <v>50</v>
      </c>
      <c r="Z32" s="32" t="s">
        <v>50</v>
      </c>
      <c r="AA32" s="32" t="s">
        <v>50</v>
      </c>
      <c r="AB32" s="32" t="s">
        <v>28</v>
      </c>
    </row>
    <row r="33" ht="56.25" customHeight="1">
      <c r="A33" s="86" t="s">
        <v>5270</v>
      </c>
      <c r="B33" s="87" t="str">
        <f>IMAGE("https://i.imgur.com/i0rqPYo.png")</f>
        <v/>
      </c>
      <c r="C33" s="32" t="str">
        <f>image("https://i.imgur.com/ebOW14X.png")</f>
        <v/>
      </c>
      <c r="D33" s="15">
        <v>329.0</v>
      </c>
      <c r="E33" s="15" t="s">
        <v>208</v>
      </c>
      <c r="F33" s="15" t="s">
        <v>1614</v>
      </c>
      <c r="G33" s="15" t="s">
        <v>41</v>
      </c>
      <c r="H33" s="15" t="s">
        <v>38</v>
      </c>
      <c r="I33" s="32">
        <v>7.0</v>
      </c>
      <c r="J33" s="72">
        <v>1300.0</v>
      </c>
      <c r="K33" s="72" t="s">
        <v>5242</v>
      </c>
      <c r="L33" s="23" t="s">
        <v>5232</v>
      </c>
      <c r="M33" s="23" t="s">
        <v>4631</v>
      </c>
      <c r="N33" s="23" t="s">
        <v>40</v>
      </c>
      <c r="O33" s="72" t="s">
        <v>4632</v>
      </c>
      <c r="P33" s="72" t="s">
        <v>4632</v>
      </c>
      <c r="Q33" s="32" t="s">
        <v>50</v>
      </c>
      <c r="R33" s="32" t="s">
        <v>50</v>
      </c>
      <c r="S33" s="32" t="s">
        <v>50</v>
      </c>
      <c r="T33" s="32" t="s">
        <v>50</v>
      </c>
      <c r="U33" s="32" t="s">
        <v>50</v>
      </c>
      <c r="V33" s="32" t="s">
        <v>50</v>
      </c>
      <c r="W33" s="32" t="s">
        <v>50</v>
      </c>
      <c r="X33" s="32" t="s">
        <v>50</v>
      </c>
      <c r="Y33" s="32" t="s">
        <v>50</v>
      </c>
      <c r="Z33" s="32" t="s">
        <v>50</v>
      </c>
      <c r="AA33" s="32" t="s">
        <v>50</v>
      </c>
      <c r="AB33" s="32" t="s">
        <v>50</v>
      </c>
    </row>
    <row r="34" ht="56.25" customHeight="1">
      <c r="A34" s="86" t="s">
        <v>5272</v>
      </c>
      <c r="B34" s="87" t="str">
        <f>IMAGE("https://i.imgur.com/ryN4VnR.png")</f>
        <v/>
      </c>
      <c r="C34" s="32" t="str">
        <f>image("https://i.imgur.com/JJWoW97.png")</f>
        <v/>
      </c>
      <c r="D34" s="15">
        <v>2280.0</v>
      </c>
      <c r="E34" s="15" t="s">
        <v>112</v>
      </c>
      <c r="F34" s="15" t="s">
        <v>112</v>
      </c>
      <c r="G34" s="15" t="s">
        <v>41</v>
      </c>
      <c r="H34" s="15" t="s">
        <v>1748</v>
      </c>
      <c r="I34" s="32">
        <v>74.0</v>
      </c>
      <c r="J34" s="72">
        <v>15000.0</v>
      </c>
      <c r="K34" s="72" t="s">
        <v>84</v>
      </c>
      <c r="L34" s="23" t="s">
        <v>5273</v>
      </c>
      <c r="M34" s="81" t="s">
        <v>4643</v>
      </c>
      <c r="N34" s="81" t="s">
        <v>53</v>
      </c>
      <c r="O34" s="88">
        <v>0.6666666666666666</v>
      </c>
      <c r="P34" s="88">
        <v>0.375</v>
      </c>
      <c r="Q34" s="32" t="s">
        <v>28</v>
      </c>
      <c r="R34" s="32" t="s">
        <v>28</v>
      </c>
      <c r="S34" s="32" t="s">
        <v>28</v>
      </c>
      <c r="T34" s="32" t="s">
        <v>28</v>
      </c>
      <c r="U34" s="32" t="s">
        <v>28</v>
      </c>
      <c r="V34" s="32" t="s">
        <v>50</v>
      </c>
      <c r="W34" s="32" t="s">
        <v>50</v>
      </c>
      <c r="X34" s="32" t="s">
        <v>50</v>
      </c>
      <c r="Y34" s="32" t="s">
        <v>50</v>
      </c>
      <c r="Z34" s="32" t="s">
        <v>28</v>
      </c>
      <c r="AA34" s="32" t="s">
        <v>28</v>
      </c>
      <c r="AB34" s="32" t="s">
        <v>28</v>
      </c>
    </row>
    <row r="35" ht="56.25" customHeight="1">
      <c r="A35" s="86" t="s">
        <v>5274</v>
      </c>
      <c r="B35" s="87" t="str">
        <f>IMAGE("https://i.imgur.com/ySTFt4E.png")</f>
        <v/>
      </c>
      <c r="C35" s="32" t="str">
        <f>image("https://i.imgur.com/hKlOSx0.png")</f>
        <v/>
      </c>
      <c r="D35" s="15">
        <v>2245.0</v>
      </c>
      <c r="E35" s="15" t="s">
        <v>112</v>
      </c>
      <c r="F35" s="15" t="s">
        <v>99</v>
      </c>
      <c r="G35" s="15" t="s">
        <v>186</v>
      </c>
      <c r="H35" s="15" t="s">
        <v>38</v>
      </c>
      <c r="I35" s="32">
        <v>34.0</v>
      </c>
      <c r="J35" s="72">
        <v>1300.0</v>
      </c>
      <c r="K35" s="72" t="s">
        <v>5220</v>
      </c>
      <c r="L35" s="23" t="s">
        <v>5232</v>
      </c>
      <c r="M35" s="81" t="s">
        <v>4631</v>
      </c>
      <c r="N35" s="81" t="s">
        <v>40</v>
      </c>
      <c r="O35" s="88">
        <v>0.375</v>
      </c>
      <c r="P35" s="88">
        <v>0.6666666666666666</v>
      </c>
      <c r="Q35" s="32" t="s">
        <v>28</v>
      </c>
      <c r="R35" s="32" t="s">
        <v>28</v>
      </c>
      <c r="S35" s="32" t="s">
        <v>28</v>
      </c>
      <c r="T35" s="32" t="s">
        <v>50</v>
      </c>
      <c r="U35" s="32" t="s">
        <v>50</v>
      </c>
      <c r="V35" s="32" t="s">
        <v>50</v>
      </c>
      <c r="W35" s="32" t="s">
        <v>50</v>
      </c>
      <c r="X35" s="32" t="s">
        <v>50</v>
      </c>
      <c r="Y35" s="32" t="s">
        <v>50</v>
      </c>
      <c r="Z35" s="32" t="s">
        <v>50</v>
      </c>
      <c r="AA35" s="32" t="s">
        <v>50</v>
      </c>
      <c r="AB35" s="32" t="s">
        <v>28</v>
      </c>
    </row>
    <row r="36" ht="56.25" customHeight="1">
      <c r="A36" s="86" t="s">
        <v>5276</v>
      </c>
      <c r="B36" s="87" t="str">
        <f>IMAGE("https://i.imgur.com/QrrFojq.png")</f>
        <v/>
      </c>
      <c r="C36" s="32" t="str">
        <f>image("https://i.imgur.com/46toGXG.png")</f>
        <v/>
      </c>
      <c r="D36" s="15">
        <v>2279.0</v>
      </c>
      <c r="E36" s="15" t="s">
        <v>99</v>
      </c>
      <c r="F36" s="15" t="s">
        <v>99</v>
      </c>
      <c r="G36" s="15" t="s">
        <v>186</v>
      </c>
      <c r="H36" s="15" t="s">
        <v>130</v>
      </c>
      <c r="I36" s="32">
        <v>73.0</v>
      </c>
      <c r="J36" s="72">
        <v>8000.0</v>
      </c>
      <c r="K36" s="72" t="s">
        <v>84</v>
      </c>
      <c r="L36" s="23" t="s">
        <v>5273</v>
      </c>
      <c r="M36" s="81" t="s">
        <v>4610</v>
      </c>
      <c r="N36" s="81" t="s">
        <v>53</v>
      </c>
      <c r="O36" s="88">
        <v>0.6666666666666666</v>
      </c>
      <c r="P36" s="88">
        <v>0.375</v>
      </c>
      <c r="Q36" s="32" t="s">
        <v>28</v>
      </c>
      <c r="R36" s="32" t="s">
        <v>28</v>
      </c>
      <c r="S36" s="32" t="s">
        <v>28</v>
      </c>
      <c r="T36" s="32" t="s">
        <v>28</v>
      </c>
      <c r="U36" s="32" t="s">
        <v>28</v>
      </c>
      <c r="V36" s="32" t="s">
        <v>50</v>
      </c>
      <c r="W36" s="32" t="s">
        <v>50</v>
      </c>
      <c r="X36" s="32" t="s">
        <v>50</v>
      </c>
      <c r="Y36" s="32" t="s">
        <v>50</v>
      </c>
      <c r="Z36" s="32" t="s">
        <v>28</v>
      </c>
      <c r="AA36" s="32" t="s">
        <v>28</v>
      </c>
      <c r="AB36" s="32" t="s">
        <v>28</v>
      </c>
    </row>
    <row r="37" ht="56.25" customHeight="1">
      <c r="A37" s="86" t="s">
        <v>5277</v>
      </c>
      <c r="B37" s="87" t="str">
        <f>IMAGE("https://i.imgur.com/rgUkuSd.png")</f>
        <v/>
      </c>
      <c r="C37" s="32" t="str">
        <f>image("https://i.imgur.com/MrULDeb.png")</f>
        <v/>
      </c>
      <c r="D37" s="15">
        <v>2264.0</v>
      </c>
      <c r="E37" s="15" t="s">
        <v>112</v>
      </c>
      <c r="F37" s="15" t="s">
        <v>99</v>
      </c>
      <c r="G37" s="15" t="s">
        <v>186</v>
      </c>
      <c r="H37" s="15" t="s">
        <v>38</v>
      </c>
      <c r="I37" s="32">
        <v>57.0</v>
      </c>
      <c r="J37" s="72">
        <v>150.0</v>
      </c>
      <c r="K37" s="72" t="s">
        <v>84</v>
      </c>
      <c r="L37" s="23" t="s">
        <v>5217</v>
      </c>
      <c r="M37" s="23" t="s">
        <v>4631</v>
      </c>
      <c r="N37" s="23" t="s">
        <v>40</v>
      </c>
      <c r="O37" s="72" t="s">
        <v>4632</v>
      </c>
      <c r="P37" s="72" t="s">
        <v>4632</v>
      </c>
      <c r="Q37" s="32" t="s">
        <v>50</v>
      </c>
      <c r="R37" s="32" t="s">
        <v>50</v>
      </c>
      <c r="S37" s="32" t="s">
        <v>50</v>
      </c>
      <c r="T37" s="32" t="s">
        <v>50</v>
      </c>
      <c r="U37" s="32" t="s">
        <v>50</v>
      </c>
      <c r="V37" s="32" t="s">
        <v>50</v>
      </c>
      <c r="W37" s="32" t="s">
        <v>50</v>
      </c>
      <c r="X37" s="32" t="s">
        <v>50</v>
      </c>
      <c r="Y37" s="32" t="s">
        <v>50</v>
      </c>
      <c r="Z37" s="32" t="s">
        <v>50</v>
      </c>
      <c r="AA37" s="32" t="s">
        <v>50</v>
      </c>
      <c r="AB37" s="32" t="s">
        <v>50</v>
      </c>
    </row>
    <row r="38" ht="56.25" customHeight="1">
      <c r="A38" s="86" t="s">
        <v>5278</v>
      </c>
      <c r="B38" s="87" t="str">
        <f>IMAGE("https://i.imgur.com/1fuh8wL.png")</f>
        <v/>
      </c>
      <c r="C38" s="32" t="str">
        <f>image("https://i.imgur.com/25IVJIl.png")</f>
        <v/>
      </c>
      <c r="D38" s="15">
        <v>2222.0</v>
      </c>
      <c r="E38" s="15" t="s">
        <v>211</v>
      </c>
      <c r="F38" s="15" t="s">
        <v>99</v>
      </c>
      <c r="G38" s="15" t="s">
        <v>186</v>
      </c>
      <c r="H38" s="15" t="s">
        <v>38</v>
      </c>
      <c r="I38" s="32">
        <v>10.0</v>
      </c>
      <c r="J38" s="72">
        <v>300.0</v>
      </c>
      <c r="K38" s="72" t="s">
        <v>5242</v>
      </c>
      <c r="L38" s="23" t="s">
        <v>5232</v>
      </c>
      <c r="M38" s="23" t="s">
        <v>4631</v>
      </c>
      <c r="N38" s="23" t="s">
        <v>40</v>
      </c>
      <c r="O38" s="72" t="s">
        <v>4632</v>
      </c>
      <c r="P38" s="72" t="s">
        <v>4632</v>
      </c>
      <c r="Q38" s="32" t="s">
        <v>28</v>
      </c>
      <c r="R38" s="32" t="s">
        <v>28</v>
      </c>
      <c r="S38" s="32" t="s">
        <v>28</v>
      </c>
      <c r="T38" s="32" t="s">
        <v>50</v>
      </c>
      <c r="U38" s="32" t="s">
        <v>50</v>
      </c>
      <c r="V38" s="32" t="s">
        <v>50</v>
      </c>
      <c r="W38" s="32" t="s">
        <v>50</v>
      </c>
      <c r="X38" s="32" t="s">
        <v>50</v>
      </c>
      <c r="Y38" s="32" t="s">
        <v>28</v>
      </c>
      <c r="Z38" s="32" t="s">
        <v>28</v>
      </c>
      <c r="AA38" s="32" t="s">
        <v>28</v>
      </c>
      <c r="AB38" s="32" t="s">
        <v>28</v>
      </c>
    </row>
    <row r="39" ht="56.25" customHeight="1">
      <c r="A39" s="86" t="s">
        <v>5280</v>
      </c>
      <c r="B39" s="87" t="str">
        <f>IMAGE("https://i.imgur.com/HEad8gc.png")</f>
        <v/>
      </c>
      <c r="C39" s="32" t="str">
        <f>image("https://i.imgur.com/Tl4gC2u.png")</f>
        <v/>
      </c>
      <c r="D39" s="15">
        <v>2243.0</v>
      </c>
      <c r="E39" s="15" t="s">
        <v>94</v>
      </c>
      <c r="F39" s="15" t="s">
        <v>99</v>
      </c>
      <c r="G39" s="15" t="s">
        <v>186</v>
      </c>
      <c r="H39" s="15" t="s">
        <v>130</v>
      </c>
      <c r="I39" s="32">
        <v>32.0</v>
      </c>
      <c r="J39" s="72">
        <v>1800.0</v>
      </c>
      <c r="K39" s="72" t="s">
        <v>5281</v>
      </c>
      <c r="L39" s="23" t="s">
        <v>5259</v>
      </c>
      <c r="M39" s="23" t="s">
        <v>4610</v>
      </c>
      <c r="N39" s="23" t="s">
        <v>40</v>
      </c>
      <c r="O39" s="72" t="s">
        <v>4632</v>
      </c>
      <c r="P39" s="72" t="s">
        <v>4632</v>
      </c>
      <c r="Q39" s="32" t="s">
        <v>28</v>
      </c>
      <c r="R39" s="32" t="s">
        <v>28</v>
      </c>
      <c r="S39" s="32" t="s">
        <v>28</v>
      </c>
      <c r="T39" s="32" t="s">
        <v>28</v>
      </c>
      <c r="U39" s="32" t="s">
        <v>28</v>
      </c>
      <c r="V39" s="32" t="s">
        <v>28</v>
      </c>
      <c r="W39" s="32" t="s">
        <v>28</v>
      </c>
      <c r="X39" s="32" t="s">
        <v>28</v>
      </c>
      <c r="Y39" s="32" t="s">
        <v>50</v>
      </c>
      <c r="Z39" s="32" t="s">
        <v>28</v>
      </c>
      <c r="AA39" s="32" t="s">
        <v>28</v>
      </c>
      <c r="AB39" s="32" t="s">
        <v>28</v>
      </c>
    </row>
    <row r="40" ht="56.25" customHeight="1">
      <c r="A40" s="86" t="s">
        <v>5282</v>
      </c>
      <c r="B40" s="87" t="str">
        <f>IMAGE("https://i.imgur.com/7adR6xk.png")</f>
        <v/>
      </c>
      <c r="C40" s="32" t="str">
        <f>image("https://i.imgur.com/jSf3ooG.png")</f>
        <v/>
      </c>
      <c r="D40" s="15">
        <v>2220.0</v>
      </c>
      <c r="E40" s="15" t="s">
        <v>208</v>
      </c>
      <c r="F40" s="15" t="s">
        <v>82</v>
      </c>
      <c r="G40" s="15" t="s">
        <v>186</v>
      </c>
      <c r="H40" s="15" t="s">
        <v>38</v>
      </c>
      <c r="I40" s="32">
        <v>6.0</v>
      </c>
      <c r="J40" s="72">
        <v>4000.0</v>
      </c>
      <c r="K40" s="72" t="s">
        <v>5242</v>
      </c>
      <c r="L40" s="23" t="s">
        <v>5224</v>
      </c>
      <c r="M40" s="81" t="s">
        <v>4610</v>
      </c>
      <c r="N40" s="81" t="s">
        <v>40</v>
      </c>
      <c r="O40" s="88">
        <v>0.6666666666666666</v>
      </c>
      <c r="P40" s="88">
        <v>0.375</v>
      </c>
      <c r="Q40" s="32" t="s">
        <v>50</v>
      </c>
      <c r="R40" s="32" t="s">
        <v>50</v>
      </c>
      <c r="S40" s="32" t="s">
        <v>50</v>
      </c>
      <c r="T40" s="32" t="s">
        <v>50</v>
      </c>
      <c r="U40" s="32" t="s">
        <v>50</v>
      </c>
      <c r="V40" s="32" t="s">
        <v>50</v>
      </c>
      <c r="W40" s="32" t="s">
        <v>50</v>
      </c>
      <c r="X40" s="32" t="s">
        <v>50</v>
      </c>
      <c r="Y40" s="32" t="s">
        <v>50</v>
      </c>
      <c r="Z40" s="32" t="s">
        <v>50</v>
      </c>
      <c r="AA40" s="32" t="s">
        <v>50</v>
      </c>
      <c r="AB40" s="32" t="s">
        <v>50</v>
      </c>
    </row>
    <row r="41" ht="56.25" customHeight="1">
      <c r="A41" s="86" t="s">
        <v>5283</v>
      </c>
      <c r="B41" s="87" t="str">
        <f>IMAGE("https://i.imgur.com/9N8uM7V.png")</f>
        <v/>
      </c>
      <c r="C41" s="32" t="str">
        <f>image("https://i.imgur.com/OQX56zF.png")</f>
        <v/>
      </c>
      <c r="D41" s="15">
        <v>2228.0</v>
      </c>
      <c r="E41" s="15" t="s">
        <v>118</v>
      </c>
      <c r="F41" s="15" t="s">
        <v>112</v>
      </c>
      <c r="G41" s="15" t="s">
        <v>41</v>
      </c>
      <c r="H41" s="15" t="s">
        <v>38</v>
      </c>
      <c r="I41" s="32">
        <v>17.0</v>
      </c>
      <c r="J41" s="72">
        <v>400.0</v>
      </c>
      <c r="K41" s="72" t="s">
        <v>5220</v>
      </c>
      <c r="L41" s="23" t="s">
        <v>5217</v>
      </c>
      <c r="M41" s="23" t="s">
        <v>4631</v>
      </c>
      <c r="N41" s="23" t="s">
        <v>40</v>
      </c>
      <c r="O41" s="72" t="s">
        <v>4632</v>
      </c>
      <c r="P41" s="72" t="s">
        <v>4632</v>
      </c>
      <c r="Q41" s="32" t="s">
        <v>28</v>
      </c>
      <c r="R41" s="32" t="s">
        <v>28</v>
      </c>
      <c r="S41" s="32" t="s">
        <v>50</v>
      </c>
      <c r="T41" s="32" t="s">
        <v>50</v>
      </c>
      <c r="U41" s="32" t="s">
        <v>50</v>
      </c>
      <c r="V41" s="32" t="s">
        <v>28</v>
      </c>
      <c r="W41" s="32" t="s">
        <v>28</v>
      </c>
      <c r="X41" s="32" t="s">
        <v>28</v>
      </c>
      <c r="Y41" s="32" t="s">
        <v>28</v>
      </c>
      <c r="Z41" s="32" t="s">
        <v>28</v>
      </c>
      <c r="AA41" s="32" t="s">
        <v>28</v>
      </c>
      <c r="AB41" s="32" t="s">
        <v>28</v>
      </c>
    </row>
    <row r="42" ht="56.25" customHeight="1">
      <c r="A42" s="89" t="s">
        <v>5285</v>
      </c>
      <c r="B42" s="87" t="str">
        <f>IMAGE("https://i.imgur.com/asWlBCU.png")</f>
        <v/>
      </c>
      <c r="C42" s="32" t="str">
        <f>image("https://i.imgur.com/XIhGXxh.png")</f>
        <v/>
      </c>
      <c r="D42" s="15">
        <v>4202.0</v>
      </c>
      <c r="E42" s="15" t="s">
        <v>211</v>
      </c>
      <c r="F42" s="15" t="s">
        <v>99</v>
      </c>
      <c r="G42" s="15" t="s">
        <v>186</v>
      </c>
      <c r="H42" s="15" t="s">
        <v>130</v>
      </c>
      <c r="I42" s="32">
        <v>69.0</v>
      </c>
      <c r="J42" s="72">
        <v>6000.0</v>
      </c>
      <c r="K42" s="72" t="s">
        <v>5237</v>
      </c>
      <c r="L42" s="23" t="s">
        <v>5259</v>
      </c>
      <c r="M42" s="23" t="s">
        <v>4643</v>
      </c>
      <c r="N42" s="23" t="s">
        <v>53</v>
      </c>
      <c r="O42" s="72" t="s">
        <v>4632</v>
      </c>
      <c r="P42" s="72" t="s">
        <v>4632</v>
      </c>
      <c r="Q42" s="32" t="s">
        <v>28</v>
      </c>
      <c r="R42" s="32" t="s">
        <v>28</v>
      </c>
      <c r="S42" s="32" t="s">
        <v>28</v>
      </c>
      <c r="T42" s="32" t="s">
        <v>28</v>
      </c>
      <c r="U42" s="32" t="s">
        <v>50</v>
      </c>
      <c r="V42" s="32" t="s">
        <v>50</v>
      </c>
      <c r="W42" s="32" t="s">
        <v>50</v>
      </c>
      <c r="X42" s="32" t="s">
        <v>50</v>
      </c>
      <c r="Y42" s="32" t="s">
        <v>50</v>
      </c>
      <c r="Z42" s="32" t="s">
        <v>50</v>
      </c>
      <c r="AA42" s="32" t="s">
        <v>28</v>
      </c>
      <c r="AB42" s="32" t="s">
        <v>28</v>
      </c>
    </row>
    <row r="43" ht="56.25" customHeight="1">
      <c r="A43" s="86" t="s">
        <v>5286</v>
      </c>
      <c r="B43" s="87" t="str">
        <f>IMAGE("https://i.imgur.com/gwHZbVk.png")</f>
        <v/>
      </c>
      <c r="C43" s="32" t="str">
        <f>image("https://i.imgur.com/TDfDna9.png")</f>
        <v/>
      </c>
      <c r="D43" s="15">
        <v>2244.0</v>
      </c>
      <c r="E43" s="15" t="s">
        <v>99</v>
      </c>
      <c r="F43" s="15" t="s">
        <v>112</v>
      </c>
      <c r="G43" s="15" t="s">
        <v>41</v>
      </c>
      <c r="H43" s="15" t="s">
        <v>38</v>
      </c>
      <c r="I43" s="32">
        <v>33.0</v>
      </c>
      <c r="J43" s="72">
        <v>2000.0</v>
      </c>
      <c r="K43" s="72" t="s">
        <v>5220</v>
      </c>
      <c r="L43" s="23" t="s">
        <v>5217</v>
      </c>
      <c r="M43" s="81" t="s">
        <v>4610</v>
      </c>
      <c r="N43" s="81" t="s">
        <v>40</v>
      </c>
      <c r="O43" s="88">
        <v>0.6666666666666666</v>
      </c>
      <c r="P43" s="88">
        <v>0.375</v>
      </c>
      <c r="Q43" s="32" t="s">
        <v>28</v>
      </c>
      <c r="R43" s="32" t="s">
        <v>28</v>
      </c>
      <c r="S43" s="32" t="s">
        <v>28</v>
      </c>
      <c r="T43" s="32" t="s">
        <v>28</v>
      </c>
      <c r="U43" s="32" t="s">
        <v>28</v>
      </c>
      <c r="V43" s="32" t="s">
        <v>28</v>
      </c>
      <c r="W43" s="32" t="s">
        <v>28</v>
      </c>
      <c r="X43" s="32" t="s">
        <v>28</v>
      </c>
      <c r="Y43" s="32" t="s">
        <v>50</v>
      </c>
      <c r="Z43" s="32" t="s">
        <v>50</v>
      </c>
      <c r="AA43" s="32" t="s">
        <v>50</v>
      </c>
      <c r="AB43" s="32" t="s">
        <v>28</v>
      </c>
    </row>
    <row r="44" ht="56.25" customHeight="1">
      <c r="A44" s="86" t="s">
        <v>5288</v>
      </c>
      <c r="B44" s="87" t="str">
        <f>IMAGE("https://i.imgur.com/C0Mw5Qd.png")</f>
        <v/>
      </c>
      <c r="C44" s="32" t="str">
        <f>image("https://i.imgur.com/ba0QvHf.png")</f>
        <v/>
      </c>
      <c r="D44" s="15">
        <v>2271.0</v>
      </c>
      <c r="E44" s="15" t="s">
        <v>118</v>
      </c>
      <c r="F44" s="15" t="s">
        <v>99</v>
      </c>
      <c r="G44" s="15" t="s">
        <v>186</v>
      </c>
      <c r="H44" s="15" t="s">
        <v>130</v>
      </c>
      <c r="I44" s="32">
        <v>64.0</v>
      </c>
      <c r="J44" s="72">
        <v>2000.0</v>
      </c>
      <c r="K44" s="72" t="s">
        <v>84</v>
      </c>
      <c r="L44" s="23" t="s">
        <v>5289</v>
      </c>
      <c r="M44" s="23" t="s">
        <v>4610</v>
      </c>
      <c r="N44" s="23" t="s">
        <v>40</v>
      </c>
      <c r="O44" s="72" t="s">
        <v>4632</v>
      </c>
      <c r="P44" s="72" t="s">
        <v>4632</v>
      </c>
      <c r="Q44" s="32" t="s">
        <v>28</v>
      </c>
      <c r="R44" s="32" t="s">
        <v>28</v>
      </c>
      <c r="S44" s="32" t="s">
        <v>28</v>
      </c>
      <c r="T44" s="32" t="s">
        <v>28</v>
      </c>
      <c r="U44" s="32" t="s">
        <v>28</v>
      </c>
      <c r="V44" s="32" t="s">
        <v>28</v>
      </c>
      <c r="W44" s="32" t="s">
        <v>28</v>
      </c>
      <c r="X44" s="32" t="s">
        <v>50</v>
      </c>
      <c r="Y44" s="32" t="s">
        <v>50</v>
      </c>
      <c r="Z44" s="32" t="s">
        <v>50</v>
      </c>
      <c r="AA44" s="32" t="s">
        <v>28</v>
      </c>
      <c r="AB44" s="32" t="s">
        <v>28</v>
      </c>
    </row>
    <row r="45" ht="56.25" customHeight="1">
      <c r="A45" s="86" t="s">
        <v>5290</v>
      </c>
      <c r="B45" s="87" t="str">
        <f>IMAGE("https://i.imgur.com/Bg6ymWx.png")</f>
        <v/>
      </c>
      <c r="C45" s="32" t="str">
        <f>image("https://i.imgur.com/jT8NZEu.png")</f>
        <v/>
      </c>
      <c r="D45" s="15">
        <v>2260.0</v>
      </c>
      <c r="E45" s="15" t="s">
        <v>1614</v>
      </c>
      <c r="F45" s="15" t="s">
        <v>99</v>
      </c>
      <c r="G45" s="15" t="s">
        <v>186</v>
      </c>
      <c r="H45" s="15" t="s">
        <v>130</v>
      </c>
      <c r="I45" s="32">
        <v>52.0</v>
      </c>
      <c r="J45" s="72">
        <v>10000.0</v>
      </c>
      <c r="K45" s="72" t="s">
        <v>84</v>
      </c>
      <c r="L45" s="23" t="s">
        <v>5222</v>
      </c>
      <c r="M45" s="81" t="s">
        <v>4643</v>
      </c>
      <c r="N45" s="81" t="s">
        <v>53</v>
      </c>
      <c r="O45" s="88">
        <v>0.16666666666666666</v>
      </c>
      <c r="P45" s="88">
        <v>0.875</v>
      </c>
      <c r="Q45" s="32" t="s">
        <v>28</v>
      </c>
      <c r="R45" s="32" t="s">
        <v>28</v>
      </c>
      <c r="S45" s="32" t="s">
        <v>28</v>
      </c>
      <c r="T45" s="32" t="s">
        <v>28</v>
      </c>
      <c r="U45" s="32" t="s">
        <v>28</v>
      </c>
      <c r="V45" s="71" t="s">
        <v>28</v>
      </c>
      <c r="W45" s="32" t="s">
        <v>50</v>
      </c>
      <c r="X45" s="32" t="s">
        <v>50</v>
      </c>
      <c r="Y45" s="32" t="s">
        <v>28</v>
      </c>
      <c r="Z45" s="32" t="s">
        <v>28</v>
      </c>
      <c r="AA45" s="32" t="s">
        <v>28</v>
      </c>
      <c r="AB45" s="32" t="s">
        <v>28</v>
      </c>
    </row>
    <row r="46" ht="56.25" customHeight="1">
      <c r="A46" s="86" t="s">
        <v>5291</v>
      </c>
      <c r="B46" s="87" t="str">
        <f>IMAGE("https://i.imgur.com/EdKzQJn.png")</f>
        <v/>
      </c>
      <c r="C46" s="32" t="str">
        <f>image("https://i.imgur.com/oDF4fSq.png")</f>
        <v/>
      </c>
      <c r="D46" s="15">
        <v>2248.0</v>
      </c>
      <c r="E46" s="15" t="s">
        <v>1614</v>
      </c>
      <c r="F46" s="15" t="s">
        <v>99</v>
      </c>
      <c r="G46" s="15" t="s">
        <v>186</v>
      </c>
      <c r="H46" s="15" t="s">
        <v>38</v>
      </c>
      <c r="I46" s="32">
        <v>38.0</v>
      </c>
      <c r="J46" s="72">
        <v>500.0</v>
      </c>
      <c r="K46" s="72" t="s">
        <v>5220</v>
      </c>
      <c r="L46" s="23" t="s">
        <v>5232</v>
      </c>
      <c r="M46" s="81" t="s">
        <v>4631</v>
      </c>
      <c r="N46" s="81" t="s">
        <v>40</v>
      </c>
      <c r="O46" s="88">
        <v>0.375</v>
      </c>
      <c r="P46" s="88">
        <v>0.6666666666666666</v>
      </c>
      <c r="Q46" s="32" t="s">
        <v>28</v>
      </c>
      <c r="R46" s="32" t="s">
        <v>28</v>
      </c>
      <c r="S46" s="32" t="s">
        <v>28</v>
      </c>
      <c r="T46" s="32" t="s">
        <v>50</v>
      </c>
      <c r="U46" s="32" t="s">
        <v>50</v>
      </c>
      <c r="V46" s="32" t="s">
        <v>50</v>
      </c>
      <c r="W46" s="32" t="s">
        <v>50</v>
      </c>
      <c r="X46" s="32" t="s">
        <v>50</v>
      </c>
      <c r="Y46" s="32" t="s">
        <v>50</v>
      </c>
      <c r="Z46" s="32" t="s">
        <v>50</v>
      </c>
      <c r="AA46" s="32" t="s">
        <v>50</v>
      </c>
      <c r="AB46" s="32" t="s">
        <v>28</v>
      </c>
    </row>
    <row r="47" ht="56.25" customHeight="1">
      <c r="A47" s="86" t="s">
        <v>5293</v>
      </c>
      <c r="B47" s="87" t="str">
        <f>IMAGE("https://i.imgur.com/Ls7SOLb.png")</f>
        <v/>
      </c>
      <c r="C47" s="32" t="str">
        <f>image("https://i.imgur.com/VeIDc7d.png")</f>
        <v/>
      </c>
      <c r="D47" s="15">
        <v>2246.0</v>
      </c>
      <c r="E47" s="15" t="s">
        <v>118</v>
      </c>
      <c r="F47" s="15" t="s">
        <v>112</v>
      </c>
      <c r="G47" s="15" t="s">
        <v>41</v>
      </c>
      <c r="H47" s="15" t="s">
        <v>38</v>
      </c>
      <c r="I47" s="32">
        <v>35.0</v>
      </c>
      <c r="J47" s="72">
        <v>1500.0</v>
      </c>
      <c r="K47" s="72" t="s">
        <v>5220</v>
      </c>
      <c r="L47" s="23" t="s">
        <v>5232</v>
      </c>
      <c r="M47" s="81" t="s">
        <v>4610</v>
      </c>
      <c r="N47" s="81" t="s">
        <v>40</v>
      </c>
      <c r="O47" s="88">
        <v>0.375</v>
      </c>
      <c r="P47" s="88">
        <v>0.6666666666666666</v>
      </c>
      <c r="Q47" s="32" t="s">
        <v>28</v>
      </c>
      <c r="R47" s="32" t="s">
        <v>28</v>
      </c>
      <c r="S47" s="32" t="s">
        <v>28</v>
      </c>
      <c r="T47" s="32" t="s">
        <v>28</v>
      </c>
      <c r="U47" s="32" t="s">
        <v>50</v>
      </c>
      <c r="V47" s="32" t="s">
        <v>50</v>
      </c>
      <c r="W47" s="32" t="s">
        <v>50</v>
      </c>
      <c r="X47" s="32" t="s">
        <v>50</v>
      </c>
      <c r="Y47" s="32" t="s">
        <v>50</v>
      </c>
      <c r="Z47" s="32" t="s">
        <v>28</v>
      </c>
      <c r="AA47" s="32" t="s">
        <v>28</v>
      </c>
      <c r="AB47" s="32" t="s">
        <v>28</v>
      </c>
    </row>
    <row r="48" ht="56.25" customHeight="1">
      <c r="A48" s="86" t="s">
        <v>5294</v>
      </c>
      <c r="B48" s="87" t="str">
        <f>IMAGE("https://i.imgur.com/8yMwTtM.png")</f>
        <v/>
      </c>
      <c r="C48" s="32" t="str">
        <f>image("https://i.imgur.com/cydwrUe.png")</f>
        <v/>
      </c>
      <c r="D48" s="15">
        <v>2283.0</v>
      </c>
      <c r="E48" s="15" t="s">
        <v>208</v>
      </c>
      <c r="F48" s="15" t="s">
        <v>112</v>
      </c>
      <c r="G48" s="15" t="s">
        <v>41</v>
      </c>
      <c r="H48" s="15" t="s">
        <v>1748</v>
      </c>
      <c r="I48" s="32">
        <v>78.0</v>
      </c>
      <c r="J48" s="72">
        <v>9000.0</v>
      </c>
      <c r="K48" s="72" t="s">
        <v>84</v>
      </c>
      <c r="L48" s="23" t="s">
        <v>5222</v>
      </c>
      <c r="M48" s="23" t="s">
        <v>4643</v>
      </c>
      <c r="N48" s="23" t="s">
        <v>53</v>
      </c>
      <c r="O48" s="72" t="s">
        <v>4632</v>
      </c>
      <c r="P48" s="72" t="s">
        <v>4632</v>
      </c>
      <c r="Q48" s="32" t="s">
        <v>50</v>
      </c>
      <c r="R48" s="32" t="s">
        <v>50</v>
      </c>
      <c r="S48" s="32" t="s">
        <v>50</v>
      </c>
      <c r="T48" s="32" t="s">
        <v>50</v>
      </c>
      <c r="U48" s="32" t="s">
        <v>50</v>
      </c>
      <c r="V48" s="32" t="s">
        <v>28</v>
      </c>
      <c r="W48" s="32" t="s">
        <v>28</v>
      </c>
      <c r="X48" s="32" t="s">
        <v>28</v>
      </c>
      <c r="Y48" s="32" t="s">
        <v>28</v>
      </c>
      <c r="Z48" s="32" t="s">
        <v>28</v>
      </c>
      <c r="AA48" s="32" t="s">
        <v>28</v>
      </c>
      <c r="AB48" s="32" t="s">
        <v>50</v>
      </c>
    </row>
    <row r="49" ht="56.25" customHeight="1">
      <c r="A49" s="86" t="s">
        <v>5295</v>
      </c>
      <c r="B49" s="87" t="str">
        <f>IMAGE("https://i.imgur.com/iEoMmrB.png")</f>
        <v/>
      </c>
      <c r="C49" s="32" t="str">
        <f>image("https://i.imgur.com/hycHFiV.png")</f>
        <v/>
      </c>
      <c r="D49" s="15">
        <v>2278.0</v>
      </c>
      <c r="E49" s="15" t="s">
        <v>112</v>
      </c>
      <c r="F49" s="15" t="s">
        <v>521</v>
      </c>
      <c r="G49" s="15" t="s">
        <v>41</v>
      </c>
      <c r="H49" s="15" t="s">
        <v>106</v>
      </c>
      <c r="I49" s="32">
        <v>70.0</v>
      </c>
      <c r="J49" s="72">
        <v>4000.0</v>
      </c>
      <c r="K49" s="72" t="s">
        <v>84</v>
      </c>
      <c r="L49" s="23" t="s">
        <v>5273</v>
      </c>
      <c r="M49" s="81" t="s">
        <v>4610</v>
      </c>
      <c r="N49" s="81" t="s">
        <v>53</v>
      </c>
      <c r="O49" s="88">
        <v>0.16666666666666666</v>
      </c>
      <c r="P49" s="88">
        <v>0.875</v>
      </c>
      <c r="Q49" s="32" t="s">
        <v>28</v>
      </c>
      <c r="R49" s="32" t="s">
        <v>28</v>
      </c>
      <c r="S49" s="32" t="s">
        <v>28</v>
      </c>
      <c r="T49" s="32" t="s">
        <v>28</v>
      </c>
      <c r="U49" s="32" t="s">
        <v>28</v>
      </c>
      <c r="V49" s="32" t="s">
        <v>28</v>
      </c>
      <c r="W49" s="32" t="s">
        <v>50</v>
      </c>
      <c r="X49" s="32" t="s">
        <v>50</v>
      </c>
      <c r="Y49" s="32" t="s">
        <v>50</v>
      </c>
      <c r="Z49" s="32" t="s">
        <v>28</v>
      </c>
      <c r="AA49" s="32" t="s">
        <v>28</v>
      </c>
      <c r="AB49" s="32" t="s">
        <v>28</v>
      </c>
    </row>
    <row r="50" ht="56.25" customHeight="1">
      <c r="A50" s="86" t="s">
        <v>5296</v>
      </c>
      <c r="B50" s="87" t="str">
        <f>IMAGE("https://i.imgur.com/Pe5N5i1.png")</f>
        <v/>
      </c>
      <c r="C50" s="32" t="str">
        <f>image("https://i.imgur.com/m2j6NuZ.png")</f>
        <v/>
      </c>
      <c r="D50" s="15">
        <v>2269.0</v>
      </c>
      <c r="E50" s="15" t="s">
        <v>1608</v>
      </c>
      <c r="F50" s="15" t="s">
        <v>99</v>
      </c>
      <c r="G50" s="15" t="s">
        <v>186</v>
      </c>
      <c r="H50" s="15" t="s">
        <v>130</v>
      </c>
      <c r="I50" s="32">
        <v>62.0</v>
      </c>
      <c r="J50" s="72">
        <v>800.0</v>
      </c>
      <c r="K50" s="72" t="s">
        <v>84</v>
      </c>
      <c r="L50" s="23" t="s">
        <v>5259</v>
      </c>
      <c r="M50" s="23" t="s">
        <v>4631</v>
      </c>
      <c r="N50" s="23" t="s">
        <v>40</v>
      </c>
      <c r="O50" s="72" t="s">
        <v>4632</v>
      </c>
      <c r="P50" s="72" t="s">
        <v>4632</v>
      </c>
      <c r="Q50" s="32" t="s">
        <v>50</v>
      </c>
      <c r="R50" s="32" t="s">
        <v>50</v>
      </c>
      <c r="S50" s="32" t="s">
        <v>50</v>
      </c>
      <c r="T50" s="32" t="s">
        <v>50</v>
      </c>
      <c r="U50" s="32" t="s">
        <v>50</v>
      </c>
      <c r="V50" s="32" t="s">
        <v>50</v>
      </c>
      <c r="W50" s="32" t="s">
        <v>50</v>
      </c>
      <c r="X50" s="32" t="s">
        <v>50</v>
      </c>
      <c r="Y50" s="32" t="s">
        <v>50</v>
      </c>
      <c r="Z50" s="32" t="s">
        <v>50</v>
      </c>
      <c r="AA50" s="32" t="s">
        <v>50</v>
      </c>
      <c r="AB50" s="32" t="s">
        <v>50</v>
      </c>
    </row>
    <row r="51" ht="56.25" customHeight="1">
      <c r="A51" s="86" t="s">
        <v>5298</v>
      </c>
      <c r="B51" s="87" t="str">
        <f>IMAGE("https://i.imgur.com/2GwVD8t.png")</f>
        <v/>
      </c>
      <c r="C51" s="32" t="str">
        <f>image("https://i.imgur.com/FVsFmJL.png")</f>
        <v/>
      </c>
      <c r="D51" s="15">
        <v>2216.0</v>
      </c>
      <c r="E51" s="15" t="s">
        <v>112</v>
      </c>
      <c r="F51" s="15" t="s">
        <v>112</v>
      </c>
      <c r="G51" s="15" t="s">
        <v>41</v>
      </c>
      <c r="H51" s="15" t="s">
        <v>38</v>
      </c>
      <c r="I51" s="32">
        <v>2.0</v>
      </c>
      <c r="J51" s="72">
        <v>200.0</v>
      </c>
      <c r="K51" s="72" t="s">
        <v>5220</v>
      </c>
      <c r="L51" s="23" t="s">
        <v>5232</v>
      </c>
      <c r="M51" s="81" t="s">
        <v>4631</v>
      </c>
      <c r="N51" s="81" t="s">
        <v>40</v>
      </c>
      <c r="O51" s="88">
        <v>0.375</v>
      </c>
      <c r="P51" s="88">
        <v>0.6666666666666666</v>
      </c>
      <c r="Q51" s="32" t="s">
        <v>50</v>
      </c>
      <c r="R51" s="32" t="s">
        <v>50</v>
      </c>
      <c r="S51" s="32" t="s">
        <v>50</v>
      </c>
      <c r="T51" s="32" t="s">
        <v>50</v>
      </c>
      <c r="U51" s="32" t="s">
        <v>50</v>
      </c>
      <c r="V51" s="32" t="s">
        <v>50</v>
      </c>
      <c r="W51" s="32" t="s">
        <v>50</v>
      </c>
      <c r="X51" s="32" t="s">
        <v>50</v>
      </c>
      <c r="Y51" s="32" t="s">
        <v>50</v>
      </c>
      <c r="Z51" s="32" t="s">
        <v>50</v>
      </c>
      <c r="AA51" s="32" t="s">
        <v>50</v>
      </c>
      <c r="AB51" s="32" t="s">
        <v>50</v>
      </c>
    </row>
    <row r="52" ht="56.25" customHeight="1">
      <c r="A52" s="86" t="s">
        <v>5299</v>
      </c>
      <c r="B52" s="87" t="str">
        <f>IMAGE("https://i.imgur.com/mJiEPNy.png")</f>
        <v/>
      </c>
      <c r="C52" s="32" t="str">
        <f>image("https://i.imgur.com/L7exjhu.png")</f>
        <v/>
      </c>
      <c r="D52" s="15">
        <v>2235.0</v>
      </c>
      <c r="E52" s="15" t="s">
        <v>369</v>
      </c>
      <c r="F52" s="15" t="s">
        <v>99</v>
      </c>
      <c r="G52" s="15" t="s">
        <v>186</v>
      </c>
      <c r="H52" s="15" t="s">
        <v>130</v>
      </c>
      <c r="I52" s="32">
        <v>24.0</v>
      </c>
      <c r="J52" s="72">
        <v>1800.0</v>
      </c>
      <c r="K52" s="72" t="s">
        <v>5220</v>
      </c>
      <c r="L52" s="23" t="s">
        <v>5259</v>
      </c>
      <c r="M52" s="23" t="s">
        <v>4610</v>
      </c>
      <c r="N52" s="23" t="s">
        <v>40</v>
      </c>
      <c r="O52" s="72" t="s">
        <v>4632</v>
      </c>
      <c r="P52" s="72" t="s">
        <v>4632</v>
      </c>
      <c r="Q52" s="32" t="s">
        <v>28</v>
      </c>
      <c r="R52" s="32" t="s">
        <v>28</v>
      </c>
      <c r="S52" s="32" t="s">
        <v>28</v>
      </c>
      <c r="T52" s="32" t="s">
        <v>28</v>
      </c>
      <c r="U52" s="32" t="s">
        <v>28</v>
      </c>
      <c r="V52" s="32" t="s">
        <v>28</v>
      </c>
      <c r="W52" s="32" t="s">
        <v>28</v>
      </c>
      <c r="X52" s="32" t="s">
        <v>28</v>
      </c>
      <c r="Y52" s="32" t="s">
        <v>50</v>
      </c>
      <c r="Z52" s="32" t="s">
        <v>50</v>
      </c>
      <c r="AA52" s="32" t="s">
        <v>50</v>
      </c>
      <c r="AB52" s="32" t="s">
        <v>50</v>
      </c>
    </row>
    <row r="53" ht="56.25" customHeight="1">
      <c r="A53" s="86" t="s">
        <v>5300</v>
      </c>
      <c r="B53" s="87" t="str">
        <f>IMAGE("https://i.imgur.com/CaDI8vj.png")</f>
        <v/>
      </c>
      <c r="C53" s="32" t="str">
        <f>image("https://i.imgur.com/m17nBc9.png")</f>
        <v/>
      </c>
      <c r="D53" s="15">
        <v>2249.0</v>
      </c>
      <c r="E53" s="15" t="s">
        <v>369</v>
      </c>
      <c r="F53" s="15" t="s">
        <v>99</v>
      </c>
      <c r="G53" s="15" t="s">
        <v>186</v>
      </c>
      <c r="H53" s="15" t="s">
        <v>38</v>
      </c>
      <c r="I53" s="32">
        <v>40.0</v>
      </c>
      <c r="J53" s="72">
        <v>2500.0</v>
      </c>
      <c r="K53" s="72" t="s">
        <v>5220</v>
      </c>
      <c r="L53" s="23" t="s">
        <v>5217</v>
      </c>
      <c r="M53" s="23" t="s">
        <v>4610</v>
      </c>
      <c r="N53" s="23" t="s">
        <v>40</v>
      </c>
      <c r="O53" s="72" t="s">
        <v>5301</v>
      </c>
      <c r="P53" s="72" t="s">
        <v>5302</v>
      </c>
      <c r="Q53" s="32" t="s">
        <v>28</v>
      </c>
      <c r="R53" s="32" t="s">
        <v>28</v>
      </c>
      <c r="S53" s="32" t="s">
        <v>28</v>
      </c>
      <c r="T53" s="32" t="s">
        <v>28</v>
      </c>
      <c r="U53" s="32" t="s">
        <v>28</v>
      </c>
      <c r="V53" s="32" t="s">
        <v>50</v>
      </c>
      <c r="W53" s="32" t="s">
        <v>50</v>
      </c>
      <c r="X53" s="32" t="s">
        <v>50</v>
      </c>
      <c r="Y53" s="32" t="s">
        <v>50</v>
      </c>
      <c r="Z53" s="32" t="s">
        <v>28</v>
      </c>
      <c r="AA53" s="32" t="s">
        <v>28</v>
      </c>
      <c r="AB53" s="32" t="s">
        <v>28</v>
      </c>
    </row>
    <row r="54" ht="56.25" customHeight="1">
      <c r="A54" s="86" t="s">
        <v>5303</v>
      </c>
      <c r="B54" s="87" t="str">
        <f>IMAGE("https://i.imgur.com/JIHYVZV.png")</f>
        <v/>
      </c>
      <c r="C54" s="32" t="str">
        <f>image("https://i.imgur.com/HOMo8lf.png")</f>
        <v/>
      </c>
      <c r="D54" s="15">
        <v>2236.0</v>
      </c>
      <c r="E54" s="15" t="s">
        <v>521</v>
      </c>
      <c r="F54" s="15" t="s">
        <v>112</v>
      </c>
      <c r="G54" s="15" t="s">
        <v>41</v>
      </c>
      <c r="H54" s="15" t="s">
        <v>38</v>
      </c>
      <c r="I54" s="32">
        <v>25.0</v>
      </c>
      <c r="J54" s="72">
        <v>400.0</v>
      </c>
      <c r="K54" s="72" t="s">
        <v>5220</v>
      </c>
      <c r="L54" s="23" t="s">
        <v>5217</v>
      </c>
      <c r="M54" s="23" t="s">
        <v>4631</v>
      </c>
      <c r="N54" s="23" t="s">
        <v>40</v>
      </c>
      <c r="O54" s="72" t="s">
        <v>4632</v>
      </c>
      <c r="P54" s="72" t="s">
        <v>4632</v>
      </c>
      <c r="Q54" s="32" t="s">
        <v>50</v>
      </c>
      <c r="R54" s="32" t="s">
        <v>50</v>
      </c>
      <c r="S54" s="32" t="s">
        <v>28</v>
      </c>
      <c r="T54" s="32" t="s">
        <v>28</v>
      </c>
      <c r="U54" s="32" t="s">
        <v>28</v>
      </c>
      <c r="V54" s="32" t="s">
        <v>28</v>
      </c>
      <c r="W54" s="32" t="s">
        <v>28</v>
      </c>
      <c r="X54" s="32" t="s">
        <v>28</v>
      </c>
      <c r="Y54" s="32" t="s">
        <v>28</v>
      </c>
      <c r="Z54" s="32" t="s">
        <v>28</v>
      </c>
      <c r="AA54" s="32" t="s">
        <v>28</v>
      </c>
      <c r="AB54" s="32" t="s">
        <v>50</v>
      </c>
    </row>
    <row r="55" ht="56.25" customHeight="1">
      <c r="A55" s="89" t="s">
        <v>5305</v>
      </c>
      <c r="B55" s="87" t="str">
        <f>IMAGE("https://i.imgur.com/SuMt6KR.png")</f>
        <v/>
      </c>
      <c r="C55" s="32" t="str">
        <f>image("https://i.imgur.com/huuj4YN.png")</f>
        <v/>
      </c>
      <c r="D55" s="15">
        <v>2221.0</v>
      </c>
      <c r="E55" s="15" t="s">
        <v>99</v>
      </c>
      <c r="F55" s="15" t="s">
        <v>1614</v>
      </c>
      <c r="G55" s="15" t="s">
        <v>41</v>
      </c>
      <c r="H55" s="15" t="s">
        <v>38</v>
      </c>
      <c r="I55" s="32">
        <v>8.0</v>
      </c>
      <c r="J55" s="72">
        <v>1300.0</v>
      </c>
      <c r="K55" s="72" t="s">
        <v>5242</v>
      </c>
      <c r="L55" s="23" t="s">
        <v>5232</v>
      </c>
      <c r="M55" s="81" t="s">
        <v>4631</v>
      </c>
      <c r="N55" s="81" t="s">
        <v>40</v>
      </c>
      <c r="O55" s="88">
        <v>0.375</v>
      </c>
      <c r="P55" s="88">
        <v>0.6666666666666666</v>
      </c>
      <c r="Q55" s="32" t="s">
        <v>50</v>
      </c>
      <c r="R55" s="32" t="s">
        <v>50</v>
      </c>
      <c r="S55" s="32" t="s">
        <v>50</v>
      </c>
      <c r="T55" s="32" t="s">
        <v>50</v>
      </c>
      <c r="U55" s="32" t="s">
        <v>50</v>
      </c>
      <c r="V55" s="32" t="s">
        <v>50</v>
      </c>
      <c r="W55" s="32" t="s">
        <v>50</v>
      </c>
      <c r="X55" s="32" t="s">
        <v>50</v>
      </c>
      <c r="Y55" s="32" t="s">
        <v>50</v>
      </c>
      <c r="Z55" s="32" t="s">
        <v>50</v>
      </c>
      <c r="AA55" s="32" t="s">
        <v>50</v>
      </c>
      <c r="AB55" s="32" t="s">
        <v>50</v>
      </c>
    </row>
    <row r="56" ht="56.25" customHeight="1">
      <c r="A56" s="86" t="s">
        <v>5306</v>
      </c>
      <c r="B56" s="87" t="str">
        <f>IMAGE("https://i.imgur.com/8vBKuTy.png")</f>
        <v/>
      </c>
      <c r="C56" s="32" t="str">
        <f>image("https://i.imgur.com/KklWRYd.png")</f>
        <v/>
      </c>
      <c r="D56" s="15">
        <v>2263.0</v>
      </c>
      <c r="E56" s="15" t="s">
        <v>1608</v>
      </c>
      <c r="F56" s="15" t="s">
        <v>99</v>
      </c>
      <c r="G56" s="15" t="s">
        <v>186</v>
      </c>
      <c r="H56" s="15" t="s">
        <v>38</v>
      </c>
      <c r="I56" s="32">
        <v>55.0</v>
      </c>
      <c r="J56" s="72">
        <v>250.0</v>
      </c>
      <c r="K56" s="72" t="s">
        <v>84</v>
      </c>
      <c r="L56" s="23" t="s">
        <v>5227</v>
      </c>
      <c r="M56" s="23" t="s">
        <v>4631</v>
      </c>
      <c r="N56" s="23" t="s">
        <v>40</v>
      </c>
      <c r="O56" s="72" t="s">
        <v>4632</v>
      </c>
      <c r="P56" s="72" t="s">
        <v>4632</v>
      </c>
      <c r="Q56" s="32" t="s">
        <v>28</v>
      </c>
      <c r="R56" s="32" t="s">
        <v>28</v>
      </c>
      <c r="S56" s="32" t="s">
        <v>28</v>
      </c>
      <c r="T56" s="32" t="s">
        <v>28</v>
      </c>
      <c r="U56" s="32" t="s">
        <v>28</v>
      </c>
      <c r="V56" s="32" t="s">
        <v>28</v>
      </c>
      <c r="W56" s="32" t="s">
        <v>50</v>
      </c>
      <c r="X56" s="32" t="s">
        <v>50</v>
      </c>
      <c r="Y56" s="32" t="s">
        <v>50</v>
      </c>
      <c r="Z56" s="32" t="s">
        <v>28</v>
      </c>
      <c r="AA56" s="32" t="s">
        <v>28</v>
      </c>
      <c r="AB56" s="32" t="s">
        <v>28</v>
      </c>
    </row>
    <row r="57" ht="56.25" customHeight="1">
      <c r="A57" s="86" t="s">
        <v>5307</v>
      </c>
      <c r="B57" s="87" t="str">
        <f>IMAGE("https://i.imgur.com/CNCQWsy.png")</f>
        <v/>
      </c>
      <c r="C57" s="32" t="str">
        <f>image("https://i.imgur.com/rCCCZW5.png")</f>
        <v/>
      </c>
      <c r="D57" s="15">
        <v>4194.0</v>
      </c>
      <c r="E57" s="15" t="s">
        <v>521</v>
      </c>
      <c r="F57" s="15" t="s">
        <v>99</v>
      </c>
      <c r="G57" s="15" t="s">
        <v>186</v>
      </c>
      <c r="H57" s="15" t="s">
        <v>38</v>
      </c>
      <c r="I57" s="32">
        <v>39.0</v>
      </c>
      <c r="J57" s="72">
        <v>800.0</v>
      </c>
      <c r="K57" s="72" t="s">
        <v>5220</v>
      </c>
      <c r="L57" s="23" t="s">
        <v>5232</v>
      </c>
      <c r="M57" s="81" t="s">
        <v>4631</v>
      </c>
      <c r="N57" s="81" t="s">
        <v>40</v>
      </c>
      <c r="O57" s="88">
        <v>0.375</v>
      </c>
      <c r="P57" s="88">
        <v>0.6666666666666666</v>
      </c>
      <c r="Q57" s="32" t="s">
        <v>28</v>
      </c>
      <c r="R57" s="32" t="s">
        <v>28</v>
      </c>
      <c r="S57" s="32" t="s">
        <v>28</v>
      </c>
      <c r="T57" s="32" t="s">
        <v>28</v>
      </c>
      <c r="U57" s="32" t="s">
        <v>50</v>
      </c>
      <c r="V57" s="32" t="s">
        <v>50</v>
      </c>
      <c r="W57" s="32" t="s">
        <v>50</v>
      </c>
      <c r="X57" s="32" t="s">
        <v>50</v>
      </c>
      <c r="Y57" s="32" t="s">
        <v>50</v>
      </c>
      <c r="Z57" s="32" t="s">
        <v>50</v>
      </c>
      <c r="AA57" s="32" t="s">
        <v>28</v>
      </c>
      <c r="AB57" s="32" t="s">
        <v>28</v>
      </c>
    </row>
    <row r="58" ht="56.25" customHeight="1">
      <c r="A58" s="86" t="s">
        <v>5308</v>
      </c>
      <c r="B58" s="87" t="str">
        <f>IMAGE("https://i.imgur.com/WrnLwb9.png")</f>
        <v/>
      </c>
      <c r="C58" s="32" t="str">
        <f>image("https://i.imgur.com/BFyMvEp.png")</f>
        <v/>
      </c>
      <c r="D58" s="15">
        <v>5254.0</v>
      </c>
      <c r="E58" s="15" t="s">
        <v>208</v>
      </c>
      <c r="F58" s="15" t="s">
        <v>99</v>
      </c>
      <c r="G58" s="15" t="s">
        <v>41</v>
      </c>
      <c r="H58" s="15" t="s">
        <v>38</v>
      </c>
      <c r="I58" s="32">
        <v>9.0</v>
      </c>
      <c r="J58" s="72">
        <v>4500.0</v>
      </c>
      <c r="K58" s="72" t="s">
        <v>5242</v>
      </c>
      <c r="L58" s="23" t="s">
        <v>5217</v>
      </c>
      <c r="M58" s="81" t="s">
        <v>4610</v>
      </c>
      <c r="N58" s="81" t="s">
        <v>40</v>
      </c>
      <c r="O58" s="88">
        <v>0.375</v>
      </c>
      <c r="P58" s="88">
        <v>0.6666666666666666</v>
      </c>
      <c r="Q58" s="32" t="s">
        <v>50</v>
      </c>
      <c r="R58" s="32" t="s">
        <v>50</v>
      </c>
      <c r="S58" s="32" t="s">
        <v>50</v>
      </c>
      <c r="T58" s="32" t="s">
        <v>50</v>
      </c>
      <c r="U58" s="32" t="s">
        <v>50</v>
      </c>
      <c r="V58" s="32" t="s">
        <v>50</v>
      </c>
      <c r="W58" s="32" t="s">
        <v>50</v>
      </c>
      <c r="X58" s="32" t="s">
        <v>50</v>
      </c>
      <c r="Y58" s="32" t="s">
        <v>50</v>
      </c>
      <c r="Z58" s="32" t="s">
        <v>50</v>
      </c>
      <c r="AA58" s="32" t="s">
        <v>50</v>
      </c>
      <c r="AB58" s="32" t="s">
        <v>50</v>
      </c>
    </row>
    <row r="59" ht="56.25" customHeight="1">
      <c r="A59" s="86" t="s">
        <v>5309</v>
      </c>
      <c r="B59" s="87" t="str">
        <f>IMAGE("https://i.imgur.com/wNgX65X.png")</f>
        <v/>
      </c>
      <c r="C59" s="32" t="str">
        <f>image("https://i.imgur.com/9yfz34P.png")</f>
        <v/>
      </c>
      <c r="D59" s="15">
        <v>2277.0</v>
      </c>
      <c r="E59" s="15" t="s">
        <v>118</v>
      </c>
      <c r="F59" s="15" t="s">
        <v>99</v>
      </c>
      <c r="G59" s="15" t="s">
        <v>186</v>
      </c>
      <c r="H59" s="15" t="s">
        <v>130</v>
      </c>
      <c r="I59" s="32">
        <v>71.0</v>
      </c>
      <c r="J59" s="72">
        <v>3000.0</v>
      </c>
      <c r="K59" s="72" t="s">
        <v>84</v>
      </c>
      <c r="L59" s="23" t="s">
        <v>5259</v>
      </c>
      <c r="M59" s="81" t="s">
        <v>4610</v>
      </c>
      <c r="N59" s="81" t="s">
        <v>40</v>
      </c>
      <c r="O59" s="88">
        <v>0.16666666666666666</v>
      </c>
      <c r="P59" s="88">
        <v>0.875</v>
      </c>
      <c r="Q59" s="32" t="s">
        <v>28</v>
      </c>
      <c r="R59" s="32" t="s">
        <v>28</v>
      </c>
      <c r="S59" s="32" t="s">
        <v>28</v>
      </c>
      <c r="T59" s="32" t="s">
        <v>28</v>
      </c>
      <c r="U59" s="32" t="s">
        <v>28</v>
      </c>
      <c r="V59" s="32" t="s">
        <v>28</v>
      </c>
      <c r="W59" s="32" t="s">
        <v>28</v>
      </c>
      <c r="X59" s="32" t="s">
        <v>50</v>
      </c>
      <c r="Y59" s="32" t="s">
        <v>50</v>
      </c>
      <c r="Z59" s="32" t="s">
        <v>50</v>
      </c>
      <c r="AA59" s="32" t="s">
        <v>50</v>
      </c>
      <c r="AB59" s="32" t="s">
        <v>28</v>
      </c>
    </row>
    <row r="60" ht="56.25" customHeight="1">
      <c r="A60" s="86" t="s">
        <v>5311</v>
      </c>
      <c r="B60" s="87" t="str">
        <f>IMAGE("https://i.imgur.com/ihC46yp.png")</f>
        <v/>
      </c>
      <c r="C60" s="32" t="str">
        <f>image("https://i.imgur.com/DEssjTQ.png")</f>
        <v/>
      </c>
      <c r="D60" s="15">
        <v>2267.0</v>
      </c>
      <c r="E60" s="15" t="s">
        <v>208</v>
      </c>
      <c r="F60" s="15" t="s">
        <v>99</v>
      </c>
      <c r="G60" s="15" t="s">
        <v>186</v>
      </c>
      <c r="H60" s="15" t="s">
        <v>38</v>
      </c>
      <c r="I60" s="32">
        <v>60.0</v>
      </c>
      <c r="J60" s="72">
        <v>3000.0</v>
      </c>
      <c r="K60" s="72" t="s">
        <v>84</v>
      </c>
      <c r="L60" s="23" t="s">
        <v>5224</v>
      </c>
      <c r="M60" s="23" t="s">
        <v>4631</v>
      </c>
      <c r="N60" s="23" t="s">
        <v>40</v>
      </c>
      <c r="O60" s="72" t="s">
        <v>4632</v>
      </c>
      <c r="P60" s="72" t="s">
        <v>4632</v>
      </c>
      <c r="Q60" s="32" t="s">
        <v>50</v>
      </c>
      <c r="R60" s="32" t="s">
        <v>50</v>
      </c>
      <c r="S60" s="32" t="s">
        <v>50</v>
      </c>
      <c r="T60" s="32" t="s">
        <v>50</v>
      </c>
      <c r="U60" s="32" t="s">
        <v>50</v>
      </c>
      <c r="V60" s="32" t="s">
        <v>50</v>
      </c>
      <c r="W60" s="32" t="s">
        <v>50</v>
      </c>
      <c r="X60" s="32" t="s">
        <v>50</v>
      </c>
      <c r="Y60" s="32" t="s">
        <v>50</v>
      </c>
      <c r="Z60" s="32" t="s">
        <v>50</v>
      </c>
      <c r="AA60" s="32" t="s">
        <v>50</v>
      </c>
      <c r="AB60" s="32" t="s">
        <v>50</v>
      </c>
    </row>
    <row r="61" ht="56.25" customHeight="1">
      <c r="A61" s="86" t="s">
        <v>5312</v>
      </c>
      <c r="B61" s="87" t="str">
        <f>IMAGE("https://i.imgur.com/YX11P9w.png")</f>
        <v/>
      </c>
      <c r="C61" s="32" t="str">
        <f>image("https://i.imgur.com/e0rV1TX.png")</f>
        <v/>
      </c>
      <c r="D61" s="15">
        <v>2272.0</v>
      </c>
      <c r="E61" s="15" t="s">
        <v>112</v>
      </c>
      <c r="F61" s="15" t="s">
        <v>99</v>
      </c>
      <c r="G61" s="15" t="s">
        <v>186</v>
      </c>
      <c r="H61" s="15" t="s">
        <v>130</v>
      </c>
      <c r="I61" s="32">
        <v>65.0</v>
      </c>
      <c r="J61" s="72">
        <v>600.0</v>
      </c>
      <c r="K61" s="72" t="s">
        <v>84</v>
      </c>
      <c r="L61" s="23" t="s">
        <v>5289</v>
      </c>
      <c r="M61" s="23" t="s">
        <v>4631</v>
      </c>
      <c r="N61" s="23" t="s">
        <v>40</v>
      </c>
      <c r="O61" s="72" t="s">
        <v>4632</v>
      </c>
      <c r="P61" s="72" t="s">
        <v>4632</v>
      </c>
      <c r="Q61" s="32" t="s">
        <v>28</v>
      </c>
      <c r="R61" s="32" t="s">
        <v>28</v>
      </c>
      <c r="S61" s="32" t="s">
        <v>28</v>
      </c>
      <c r="T61" s="32" t="s">
        <v>28</v>
      </c>
      <c r="U61" s="32" t="s">
        <v>28</v>
      </c>
      <c r="V61" s="32" t="s">
        <v>50</v>
      </c>
      <c r="W61" s="32" t="s">
        <v>50</v>
      </c>
      <c r="X61" s="32" t="s">
        <v>50</v>
      </c>
      <c r="Y61" s="32" t="s">
        <v>50</v>
      </c>
      <c r="Z61" s="32" t="s">
        <v>50</v>
      </c>
      <c r="AA61" s="32" t="s">
        <v>28</v>
      </c>
      <c r="AB61" s="32" t="s">
        <v>28</v>
      </c>
    </row>
    <row r="62" ht="56.25" customHeight="1">
      <c r="A62" s="86" t="s">
        <v>5313</v>
      </c>
      <c r="B62" s="87" t="str">
        <f>IMAGE("https://i.imgur.com/cfaAkFt.png")</f>
        <v/>
      </c>
      <c r="C62" s="32" t="str">
        <f>image("https://i.imgur.com/Pr9wvAw.png")</f>
        <v/>
      </c>
      <c r="D62" s="15">
        <v>2254.0</v>
      </c>
      <c r="E62" s="15" t="s">
        <v>118</v>
      </c>
      <c r="F62" s="15" t="s">
        <v>99</v>
      </c>
      <c r="G62" s="15" t="s">
        <v>186</v>
      </c>
      <c r="H62" s="15" t="s">
        <v>130</v>
      </c>
      <c r="I62" s="32">
        <v>45.0</v>
      </c>
      <c r="J62" s="72">
        <v>4000.0</v>
      </c>
      <c r="K62" s="72" t="s">
        <v>5220</v>
      </c>
      <c r="L62" s="23" t="s">
        <v>5224</v>
      </c>
      <c r="M62" s="81" t="s">
        <v>4610</v>
      </c>
      <c r="N62" s="81" t="s">
        <v>40</v>
      </c>
      <c r="O62" s="88">
        <v>0.875</v>
      </c>
      <c r="P62" s="88">
        <v>0.16666666666666666</v>
      </c>
      <c r="Q62" s="32" t="s">
        <v>28</v>
      </c>
      <c r="R62" s="32" t="s">
        <v>28</v>
      </c>
      <c r="S62" s="32" t="s">
        <v>28</v>
      </c>
      <c r="T62" s="32" t="s">
        <v>28</v>
      </c>
      <c r="U62" s="32" t="s">
        <v>28</v>
      </c>
      <c r="V62" s="32" t="s">
        <v>50</v>
      </c>
      <c r="W62" s="32" t="s">
        <v>50</v>
      </c>
      <c r="X62" s="32" t="s">
        <v>50</v>
      </c>
      <c r="Y62" s="32" t="s">
        <v>50</v>
      </c>
      <c r="Z62" s="32" t="s">
        <v>28</v>
      </c>
      <c r="AA62" s="32" t="s">
        <v>28</v>
      </c>
      <c r="AB62" s="32" t="s">
        <v>28</v>
      </c>
    </row>
    <row r="63" ht="56.25" customHeight="1">
      <c r="A63" s="86" t="s">
        <v>5315</v>
      </c>
      <c r="B63" s="87" t="str">
        <f>IMAGE("https://i.imgur.com/HPUTybs.png")</f>
        <v/>
      </c>
      <c r="C63" s="32" t="str">
        <f>image("https://i.imgur.com/E1IOH2Z.png")</f>
        <v/>
      </c>
      <c r="D63" s="15">
        <v>2242.0</v>
      </c>
      <c r="E63" s="15" t="s">
        <v>118</v>
      </c>
      <c r="F63" s="15" t="s">
        <v>99</v>
      </c>
      <c r="G63" s="15" t="s">
        <v>186</v>
      </c>
      <c r="H63" s="15" t="s">
        <v>130</v>
      </c>
      <c r="I63" s="32">
        <v>31.0</v>
      </c>
      <c r="J63" s="72">
        <v>700.0</v>
      </c>
      <c r="K63" s="72" t="s">
        <v>5281</v>
      </c>
      <c r="L63" s="23" t="s">
        <v>5224</v>
      </c>
      <c r="M63" s="23" t="s">
        <v>4631</v>
      </c>
      <c r="N63" s="23" t="s">
        <v>40</v>
      </c>
      <c r="O63" s="72" t="s">
        <v>4632</v>
      </c>
      <c r="P63" s="72" t="s">
        <v>4632</v>
      </c>
      <c r="Q63" s="32" t="s">
        <v>28</v>
      </c>
      <c r="R63" s="32" t="s">
        <v>28</v>
      </c>
      <c r="S63" s="32" t="s">
        <v>28</v>
      </c>
      <c r="T63" s="32" t="s">
        <v>28</v>
      </c>
      <c r="U63" s="32" t="s">
        <v>28</v>
      </c>
      <c r="V63" s="32" t="s">
        <v>28</v>
      </c>
      <c r="W63" s="32" t="s">
        <v>28</v>
      </c>
      <c r="X63" s="32" t="s">
        <v>28</v>
      </c>
      <c r="Y63" s="32" t="s">
        <v>50</v>
      </c>
      <c r="Z63" s="32" t="s">
        <v>28</v>
      </c>
      <c r="AA63" s="32" t="s">
        <v>28</v>
      </c>
      <c r="AB63" s="32" t="s">
        <v>28</v>
      </c>
    </row>
    <row r="64" ht="56.25" customHeight="1">
      <c r="A64" s="86" t="s">
        <v>5316</v>
      </c>
      <c r="B64" s="87" t="str">
        <f>IMAGE("https://i.imgur.com/WyBOZQ0.png")</f>
        <v/>
      </c>
      <c r="C64" s="32" t="str">
        <f>image("https://i.imgur.com/N9hBA0V.png")</f>
        <v/>
      </c>
      <c r="D64" s="15">
        <v>2281.0</v>
      </c>
      <c r="E64" s="15" t="s">
        <v>118</v>
      </c>
      <c r="F64" s="15" t="s">
        <v>99</v>
      </c>
      <c r="G64" s="15" t="s">
        <v>186</v>
      </c>
      <c r="H64" s="15" t="s">
        <v>130</v>
      </c>
      <c r="I64" s="32">
        <v>72.0</v>
      </c>
      <c r="J64" s="72">
        <v>12000.0</v>
      </c>
      <c r="K64" s="72" t="s">
        <v>84</v>
      </c>
      <c r="L64" s="23" t="s">
        <v>5273</v>
      </c>
      <c r="M64" s="81" t="s">
        <v>4643</v>
      </c>
      <c r="N64" s="81" t="s">
        <v>40</v>
      </c>
      <c r="O64" s="88">
        <v>0.6666666666666666</v>
      </c>
      <c r="P64" s="88">
        <v>0.375</v>
      </c>
      <c r="Q64" s="32" t="s">
        <v>28</v>
      </c>
      <c r="R64" s="32" t="s">
        <v>28</v>
      </c>
      <c r="S64" s="32" t="s">
        <v>28</v>
      </c>
      <c r="T64" s="32" t="s">
        <v>28</v>
      </c>
      <c r="U64" s="32" t="s">
        <v>28</v>
      </c>
      <c r="V64" s="32" t="s">
        <v>50</v>
      </c>
      <c r="W64" s="32" t="s">
        <v>50</v>
      </c>
      <c r="X64" s="32" t="s">
        <v>50</v>
      </c>
      <c r="Y64" s="32" t="s">
        <v>50</v>
      </c>
      <c r="Z64" s="32" t="s">
        <v>28</v>
      </c>
      <c r="AA64" s="32" t="s">
        <v>28</v>
      </c>
      <c r="AB64" s="32" t="s">
        <v>28</v>
      </c>
    </row>
    <row r="65" ht="56.25" customHeight="1">
      <c r="A65" s="89" t="s">
        <v>5317</v>
      </c>
      <c r="B65" s="87" t="str">
        <f>IMAGE("https://i.imgur.com/doHPXwJ.png")</f>
        <v/>
      </c>
      <c r="C65" s="32" t="str">
        <f>image("https://i.imgur.com/KQa2tgt.png")</f>
        <v/>
      </c>
      <c r="D65" s="15">
        <v>2266.0</v>
      </c>
      <c r="E65" s="15" t="s">
        <v>94</v>
      </c>
      <c r="F65" s="15" t="s">
        <v>99</v>
      </c>
      <c r="G65" s="15" t="s">
        <v>186</v>
      </c>
      <c r="H65" s="15" t="s">
        <v>130</v>
      </c>
      <c r="I65" s="32">
        <v>59.0</v>
      </c>
      <c r="J65" s="72">
        <v>400.0</v>
      </c>
      <c r="K65" s="72" t="s">
        <v>84</v>
      </c>
      <c r="L65" s="23" t="s">
        <v>5259</v>
      </c>
      <c r="M65" s="23" t="s">
        <v>4631</v>
      </c>
      <c r="N65" s="23" t="s">
        <v>40</v>
      </c>
      <c r="O65" s="72" t="s">
        <v>4632</v>
      </c>
      <c r="P65" s="72" t="s">
        <v>4632</v>
      </c>
      <c r="Q65" s="32" t="s">
        <v>50</v>
      </c>
      <c r="R65" s="32" t="s">
        <v>50</v>
      </c>
      <c r="S65" s="32" t="s">
        <v>50</v>
      </c>
      <c r="T65" s="32" t="s">
        <v>50</v>
      </c>
      <c r="U65" s="32" t="s">
        <v>50</v>
      </c>
      <c r="V65" s="32" t="s">
        <v>50</v>
      </c>
      <c r="W65" s="32" t="s">
        <v>50</v>
      </c>
      <c r="X65" s="32" t="s">
        <v>50</v>
      </c>
      <c r="Y65" s="32" t="s">
        <v>50</v>
      </c>
      <c r="Z65" s="32" t="s">
        <v>50</v>
      </c>
      <c r="AA65" s="32" t="s">
        <v>50</v>
      </c>
      <c r="AB65" s="32" t="s">
        <v>50</v>
      </c>
    </row>
    <row r="66" ht="56.25" customHeight="1">
      <c r="A66" s="86" t="s">
        <v>5319</v>
      </c>
      <c r="B66" s="87" t="str">
        <f>IMAGE("https://imgur.com/CWo0Eeq.png")</f>
        <v/>
      </c>
      <c r="C66" s="32" t="str">
        <f>image("https://i.imgur.com/DJcmUNC.png")</f>
        <v/>
      </c>
      <c r="D66" s="15">
        <v>2255.0</v>
      </c>
      <c r="E66" s="15" t="s">
        <v>82</v>
      </c>
      <c r="F66" s="15" t="s">
        <v>99</v>
      </c>
      <c r="G66" s="15" t="s">
        <v>186</v>
      </c>
      <c r="H66" s="15" t="s">
        <v>38</v>
      </c>
      <c r="I66" s="32">
        <v>47.0</v>
      </c>
      <c r="J66" s="72">
        <v>1000.0</v>
      </c>
      <c r="K66" s="72" t="s">
        <v>84</v>
      </c>
      <c r="L66" s="23" t="s">
        <v>5232</v>
      </c>
      <c r="M66" s="23" t="s">
        <v>4631</v>
      </c>
      <c r="N66" s="23" t="s">
        <v>40</v>
      </c>
      <c r="O66" s="72" t="s">
        <v>4632</v>
      </c>
      <c r="P66" s="72" t="s">
        <v>4632</v>
      </c>
      <c r="Q66" s="32" t="s">
        <v>50</v>
      </c>
      <c r="R66" s="32" t="s">
        <v>50</v>
      </c>
      <c r="S66" s="32" t="s">
        <v>50</v>
      </c>
      <c r="T66" s="32" t="s">
        <v>28</v>
      </c>
      <c r="U66" s="32" t="s">
        <v>28</v>
      </c>
      <c r="V66" s="32" t="s">
        <v>28</v>
      </c>
      <c r="W66" s="32" t="s">
        <v>28</v>
      </c>
      <c r="X66" s="32" t="s">
        <v>28</v>
      </c>
      <c r="Y66" s="32" t="s">
        <v>28</v>
      </c>
      <c r="Z66" s="32" t="s">
        <v>28</v>
      </c>
      <c r="AA66" s="32" t="s">
        <v>28</v>
      </c>
      <c r="AB66" s="32" t="s">
        <v>50</v>
      </c>
    </row>
    <row r="67" ht="56.25" customHeight="1">
      <c r="A67" s="86" t="s">
        <v>5320</v>
      </c>
      <c r="B67" s="87" t="str">
        <f>IMAGE("http://imgur.com/SNZr1nu.png")</f>
        <v/>
      </c>
      <c r="C67" s="32" t="str">
        <f>image("https://i.imgur.com/MqDybM8.png")</f>
        <v/>
      </c>
      <c r="D67" s="15">
        <v>2256.0</v>
      </c>
      <c r="E67" s="15" t="s">
        <v>521</v>
      </c>
      <c r="F67" s="15" t="s">
        <v>99</v>
      </c>
      <c r="G67" s="15" t="s">
        <v>186</v>
      </c>
      <c r="H67" s="15" t="s">
        <v>38</v>
      </c>
      <c r="I67" s="32">
        <v>48.0</v>
      </c>
      <c r="J67" s="72">
        <v>1100.0</v>
      </c>
      <c r="K67" s="72" t="s">
        <v>84</v>
      </c>
      <c r="L67" s="23" t="s">
        <v>5232</v>
      </c>
      <c r="M67" s="23" t="s">
        <v>4631</v>
      </c>
      <c r="N67" s="23" t="s">
        <v>40</v>
      </c>
      <c r="O67" s="72" t="s">
        <v>4632</v>
      </c>
      <c r="P67" s="72" t="s">
        <v>4632</v>
      </c>
      <c r="Q67" s="32" t="s">
        <v>28</v>
      </c>
      <c r="R67" s="32" t="s">
        <v>28</v>
      </c>
      <c r="S67" s="32" t="s">
        <v>28</v>
      </c>
      <c r="T67" s="32" t="s">
        <v>50</v>
      </c>
      <c r="U67" s="32" t="s">
        <v>50</v>
      </c>
      <c r="V67" s="32" t="s">
        <v>50</v>
      </c>
      <c r="W67" s="32" t="s">
        <v>50</v>
      </c>
      <c r="X67" s="32" t="s">
        <v>50</v>
      </c>
      <c r="Y67" s="32" t="s">
        <v>50</v>
      </c>
      <c r="Z67" s="32" t="s">
        <v>50</v>
      </c>
      <c r="AA67" s="32" t="s">
        <v>50</v>
      </c>
      <c r="AB67" s="32" t="s">
        <v>28</v>
      </c>
    </row>
    <row r="68" ht="56.25" customHeight="1">
      <c r="A68" s="86" t="s">
        <v>5321</v>
      </c>
      <c r="B68" s="87" t="str">
        <f>IMAGE("https://i.imgur.com/H3lbVGH.png")</f>
        <v/>
      </c>
      <c r="C68" s="32" t="str">
        <f>image("https://i.imgur.com/BTs4prP.png")</f>
        <v/>
      </c>
      <c r="D68" s="15">
        <v>4192.0</v>
      </c>
      <c r="E68" s="15" t="s">
        <v>118</v>
      </c>
      <c r="F68" s="15" t="s">
        <v>99</v>
      </c>
      <c r="G68" s="15" t="s">
        <v>41</v>
      </c>
      <c r="H68" s="15" t="s">
        <v>38</v>
      </c>
      <c r="I68" s="32">
        <v>13.0</v>
      </c>
      <c r="J68" s="72">
        <v>5000.0</v>
      </c>
      <c r="K68" s="72" t="s">
        <v>5220</v>
      </c>
      <c r="L68" s="23" t="s">
        <v>5224</v>
      </c>
      <c r="M68" s="81" t="s">
        <v>4631</v>
      </c>
      <c r="N68" s="81" t="s">
        <v>40</v>
      </c>
      <c r="O68" s="88">
        <v>0.875</v>
      </c>
      <c r="P68" s="88">
        <v>0.16666666666666666</v>
      </c>
      <c r="Q68" s="32" t="s">
        <v>28</v>
      </c>
      <c r="R68" s="32" t="s">
        <v>28</v>
      </c>
      <c r="S68" s="32" t="s">
        <v>28</v>
      </c>
      <c r="T68" s="32" t="s">
        <v>50</v>
      </c>
      <c r="U68" s="32" t="s">
        <v>50</v>
      </c>
      <c r="V68" s="32" t="s">
        <v>50</v>
      </c>
      <c r="W68" s="32" t="s">
        <v>50</v>
      </c>
      <c r="X68" s="32" t="s">
        <v>50</v>
      </c>
      <c r="Y68" s="32" t="s">
        <v>50</v>
      </c>
      <c r="Z68" s="32" t="s">
        <v>50</v>
      </c>
      <c r="AA68" s="32" t="s">
        <v>28</v>
      </c>
      <c r="AB68" s="32" t="s">
        <v>28</v>
      </c>
    </row>
    <row r="69" ht="56.25" customHeight="1">
      <c r="A69" s="89" t="s">
        <v>5323</v>
      </c>
      <c r="B69" s="87" t="str">
        <f>IMAGE("https://i.imgur.com/uSzay0T.png")</f>
        <v/>
      </c>
      <c r="C69" s="32" t="str">
        <f>image("https://i.imgur.com/KD8M1Wi.png")</f>
        <v/>
      </c>
      <c r="D69" s="15">
        <v>2224.0</v>
      </c>
      <c r="E69" s="15" t="s">
        <v>369</v>
      </c>
      <c r="F69" s="15" t="s">
        <v>99</v>
      </c>
      <c r="G69" s="15" t="s">
        <v>41</v>
      </c>
      <c r="H69" s="15" t="s">
        <v>38</v>
      </c>
      <c r="I69" s="32">
        <v>12.0</v>
      </c>
      <c r="J69" s="72">
        <v>3750.0</v>
      </c>
      <c r="K69" s="72" t="s">
        <v>5220</v>
      </c>
      <c r="L69" s="23" t="s">
        <v>5224</v>
      </c>
      <c r="M69" s="81" t="s">
        <v>4610</v>
      </c>
      <c r="N69" s="81" t="s">
        <v>40</v>
      </c>
      <c r="O69" s="88">
        <v>0.6666666666666666</v>
      </c>
      <c r="P69" s="88">
        <v>0.375</v>
      </c>
      <c r="Q69" s="32" t="s">
        <v>28</v>
      </c>
      <c r="R69" s="32" t="s">
        <v>28</v>
      </c>
      <c r="S69" s="32" t="s">
        <v>28</v>
      </c>
      <c r="T69" s="32" t="s">
        <v>28</v>
      </c>
      <c r="U69" s="32" t="s">
        <v>28</v>
      </c>
      <c r="V69" s="32" t="s">
        <v>28</v>
      </c>
      <c r="W69" s="32" t="s">
        <v>28</v>
      </c>
      <c r="X69" s="32" t="s">
        <v>50</v>
      </c>
      <c r="Y69" s="32" t="s">
        <v>50</v>
      </c>
      <c r="Z69" s="32" t="s">
        <v>28</v>
      </c>
      <c r="AA69" s="32" t="s">
        <v>28</v>
      </c>
      <c r="AB69" s="32" t="s">
        <v>28</v>
      </c>
    </row>
    <row r="70" ht="56.25" customHeight="1">
      <c r="A70" s="86" t="s">
        <v>5324</v>
      </c>
      <c r="B70" s="87" t="str">
        <f>IMAGE("https://i.imgur.com/qBreH53.png")</f>
        <v/>
      </c>
      <c r="C70" s="32" t="str">
        <f>image("https://i.imgur.com/Jsq5MHY.png")</f>
        <v/>
      </c>
      <c r="D70" s="15">
        <v>2270.0</v>
      </c>
      <c r="E70" s="15" t="s">
        <v>1608</v>
      </c>
      <c r="F70" s="15" t="s">
        <v>99</v>
      </c>
      <c r="G70" s="15" t="s">
        <v>186</v>
      </c>
      <c r="H70" s="15" t="s">
        <v>38</v>
      </c>
      <c r="I70" s="32">
        <v>63.0</v>
      </c>
      <c r="J70" s="72">
        <v>500.0</v>
      </c>
      <c r="K70" s="72" t="s">
        <v>84</v>
      </c>
      <c r="L70" s="23" t="s">
        <v>5227</v>
      </c>
      <c r="M70" s="23" t="s">
        <v>4631</v>
      </c>
      <c r="N70" s="23" t="s">
        <v>40</v>
      </c>
      <c r="O70" s="72" t="s">
        <v>4632</v>
      </c>
      <c r="P70" s="72" t="s">
        <v>4632</v>
      </c>
      <c r="Q70" s="32" t="s">
        <v>50</v>
      </c>
      <c r="R70" s="32" t="s">
        <v>50</v>
      </c>
      <c r="S70" s="32" t="s">
        <v>50</v>
      </c>
      <c r="T70" s="32" t="s">
        <v>50</v>
      </c>
      <c r="U70" s="32" t="s">
        <v>50</v>
      </c>
      <c r="V70" s="32" t="s">
        <v>50</v>
      </c>
      <c r="W70" s="32" t="s">
        <v>50</v>
      </c>
      <c r="X70" s="32" t="s">
        <v>50</v>
      </c>
      <c r="Y70" s="32" t="s">
        <v>28</v>
      </c>
      <c r="Z70" s="32" t="s">
        <v>28</v>
      </c>
      <c r="AA70" s="32" t="s">
        <v>28</v>
      </c>
      <c r="AB70" s="32" t="s">
        <v>50</v>
      </c>
    </row>
    <row r="71" ht="56.25" customHeight="1">
      <c r="A71" s="86" t="s">
        <v>5325</v>
      </c>
      <c r="B71" s="87" t="str">
        <f>IMAGE("https://i.imgur.com/Je8MTMi.png")</f>
        <v/>
      </c>
      <c r="C71" s="32" t="str">
        <f>image("https://i.imgur.com/fhLh3rq.png")</f>
        <v/>
      </c>
      <c r="D71" s="15">
        <v>2241.0</v>
      </c>
      <c r="E71" s="15" t="s">
        <v>118</v>
      </c>
      <c r="F71" s="15" t="s">
        <v>99</v>
      </c>
      <c r="G71" s="15" t="s">
        <v>186</v>
      </c>
      <c r="H71" s="15" t="s">
        <v>130</v>
      </c>
      <c r="I71" s="32">
        <v>30.0</v>
      </c>
      <c r="J71" s="72">
        <v>15000.0</v>
      </c>
      <c r="K71" s="72" t="s">
        <v>5246</v>
      </c>
      <c r="L71" s="23" t="s">
        <v>5259</v>
      </c>
      <c r="M71" s="81" t="s">
        <v>4697</v>
      </c>
      <c r="N71" s="81" t="s">
        <v>40</v>
      </c>
      <c r="O71" s="88">
        <v>0.6666666666666666</v>
      </c>
      <c r="P71" s="88">
        <v>0.375</v>
      </c>
      <c r="Q71" s="32" t="s">
        <v>50</v>
      </c>
      <c r="R71" s="32" t="s">
        <v>50</v>
      </c>
      <c r="S71" s="32" t="s">
        <v>50</v>
      </c>
      <c r="T71" s="32" t="s">
        <v>28</v>
      </c>
      <c r="U71" s="32" t="s">
        <v>28</v>
      </c>
      <c r="V71" s="32" t="s">
        <v>28</v>
      </c>
      <c r="W71" s="32" t="s">
        <v>28</v>
      </c>
      <c r="X71" s="32" t="s">
        <v>28</v>
      </c>
      <c r="Y71" s="32" t="s">
        <v>28</v>
      </c>
      <c r="Z71" s="32" t="s">
        <v>28</v>
      </c>
      <c r="AA71" s="32" t="s">
        <v>28</v>
      </c>
      <c r="AB71" s="32" t="s">
        <v>50</v>
      </c>
    </row>
    <row r="72" ht="56.25" customHeight="1">
      <c r="A72" s="86" t="s">
        <v>5326</v>
      </c>
      <c r="B72" s="87" t="str">
        <f>IMAGE("https://i.imgur.com/lONOoFV.png")</f>
        <v/>
      </c>
      <c r="C72" s="32" t="str">
        <f>image("https://i.imgur.com/9c9dJ8f.png")</f>
        <v/>
      </c>
      <c r="D72" s="15">
        <v>4189.0</v>
      </c>
      <c r="E72" s="15" t="s">
        <v>99</v>
      </c>
      <c r="F72" s="15" t="s">
        <v>99</v>
      </c>
      <c r="G72" s="15" t="s">
        <v>186</v>
      </c>
      <c r="H72" s="15" t="s">
        <v>130</v>
      </c>
      <c r="I72" s="32">
        <v>46.0</v>
      </c>
      <c r="J72" s="72">
        <v>10000.0</v>
      </c>
      <c r="K72" s="72" t="s">
        <v>5281</v>
      </c>
      <c r="L72" s="23" t="s">
        <v>5222</v>
      </c>
      <c r="M72" s="23" t="s">
        <v>4610</v>
      </c>
      <c r="N72" s="23" t="s">
        <v>53</v>
      </c>
      <c r="O72" s="72" t="s">
        <v>4632</v>
      </c>
      <c r="P72" s="72" t="s">
        <v>4632</v>
      </c>
      <c r="Q72" s="32" t="s">
        <v>50</v>
      </c>
      <c r="R72" s="32" t="s">
        <v>50</v>
      </c>
      <c r="S72" s="32" t="s">
        <v>50</v>
      </c>
      <c r="T72" s="32" t="s">
        <v>28</v>
      </c>
      <c r="U72" s="32" t="s">
        <v>28</v>
      </c>
      <c r="V72" s="32" t="s">
        <v>28</v>
      </c>
      <c r="W72" s="32" t="s">
        <v>28</v>
      </c>
      <c r="X72" s="32" t="s">
        <v>28</v>
      </c>
      <c r="Y72" s="32" t="s">
        <v>50</v>
      </c>
      <c r="Z72" s="32" t="s">
        <v>50</v>
      </c>
      <c r="AA72" s="32" t="s">
        <v>50</v>
      </c>
      <c r="AB72" s="32" t="s">
        <v>50</v>
      </c>
    </row>
    <row r="73" ht="56.25" customHeight="1">
      <c r="A73" s="86" t="s">
        <v>5328</v>
      </c>
      <c r="B73" s="87" t="str">
        <f>IMAGE("https://i.imgur.com/X57NXnl.png")</f>
        <v/>
      </c>
      <c r="C73" s="32" t="str">
        <f>image("https://i.imgur.com/L6n3z0s.png")</f>
        <v/>
      </c>
      <c r="D73" s="15">
        <v>4203.0</v>
      </c>
      <c r="E73" s="15" t="s">
        <v>99</v>
      </c>
      <c r="F73" s="15" t="s">
        <v>99</v>
      </c>
      <c r="G73" s="15" t="s">
        <v>186</v>
      </c>
      <c r="H73" s="15" t="s">
        <v>38</v>
      </c>
      <c r="I73" s="32">
        <v>76.0</v>
      </c>
      <c r="J73" s="72">
        <v>1500.0</v>
      </c>
      <c r="K73" s="72" t="s">
        <v>84</v>
      </c>
      <c r="L73" s="23" t="s">
        <v>5329</v>
      </c>
      <c r="M73" s="23" t="s">
        <v>4610</v>
      </c>
      <c r="N73" s="23" t="s">
        <v>40</v>
      </c>
      <c r="O73" s="72" t="s">
        <v>4632</v>
      </c>
      <c r="P73" s="72" t="s">
        <v>4632</v>
      </c>
      <c r="Q73" s="32" t="s">
        <v>28</v>
      </c>
      <c r="R73" s="32" t="s">
        <v>28</v>
      </c>
      <c r="S73" s="32" t="s">
        <v>28</v>
      </c>
      <c r="T73" s="32" t="s">
        <v>28</v>
      </c>
      <c r="U73" s="32" t="s">
        <v>28</v>
      </c>
      <c r="V73" s="32" t="s">
        <v>50</v>
      </c>
      <c r="W73" s="32" t="s">
        <v>50</v>
      </c>
      <c r="X73" s="32" t="s">
        <v>50</v>
      </c>
      <c r="Y73" s="32" t="s">
        <v>50</v>
      </c>
      <c r="Z73" s="32" t="s">
        <v>28</v>
      </c>
      <c r="AA73" s="32" t="s">
        <v>28</v>
      </c>
      <c r="AB73" s="32" t="s">
        <v>28</v>
      </c>
    </row>
    <row r="74" ht="56.25" customHeight="1">
      <c r="A74" s="86" t="s">
        <v>5330</v>
      </c>
      <c r="B74" s="87" t="str">
        <f>IMAGE("https://i.imgur.com/qfWTnni.png")</f>
        <v/>
      </c>
      <c r="C74" s="32" t="str">
        <f>image("https://i.imgur.com/XD2NwWc.png")</f>
        <v/>
      </c>
      <c r="D74" s="15">
        <v>2258.0</v>
      </c>
      <c r="E74" s="15" t="s">
        <v>112</v>
      </c>
      <c r="F74" s="15" t="s">
        <v>99</v>
      </c>
      <c r="G74" s="15" t="s">
        <v>186</v>
      </c>
      <c r="H74" s="15" t="s">
        <v>38</v>
      </c>
      <c r="I74" s="32">
        <v>50.0</v>
      </c>
      <c r="J74" s="72">
        <v>1000.0</v>
      </c>
      <c r="K74" s="72" t="s">
        <v>84</v>
      </c>
      <c r="L74" s="23" t="s">
        <v>5217</v>
      </c>
      <c r="M74" s="23" t="s">
        <v>4631</v>
      </c>
      <c r="N74" s="23" t="s">
        <v>40</v>
      </c>
      <c r="O74" s="72" t="s">
        <v>4632</v>
      </c>
      <c r="P74" s="72" t="s">
        <v>4632</v>
      </c>
      <c r="Q74" s="32" t="s">
        <v>28</v>
      </c>
      <c r="R74" s="32" t="s">
        <v>28</v>
      </c>
      <c r="S74" s="32" t="s">
        <v>28</v>
      </c>
      <c r="T74" s="32" t="s">
        <v>50</v>
      </c>
      <c r="U74" s="32" t="s">
        <v>50</v>
      </c>
      <c r="V74" s="32" t="s">
        <v>50</v>
      </c>
      <c r="W74" s="32" t="s">
        <v>50</v>
      </c>
      <c r="X74" s="32" t="s">
        <v>50</v>
      </c>
      <c r="Y74" s="32" t="s">
        <v>50</v>
      </c>
      <c r="Z74" s="32" t="s">
        <v>28</v>
      </c>
      <c r="AA74" s="32" t="s">
        <v>28</v>
      </c>
      <c r="AB74" s="32" t="s">
        <v>28</v>
      </c>
    </row>
    <row r="75" ht="56.25" customHeight="1">
      <c r="A75" s="86" t="s">
        <v>5331</v>
      </c>
      <c r="B75" s="87" t="str">
        <f>IMAGE("https://i.imgur.com/tXKSYzW.png")</f>
        <v/>
      </c>
      <c r="C75" s="32" t="str">
        <f>image("https://i.imgur.com/MOhqBsg.png")</f>
        <v/>
      </c>
      <c r="D75" s="15">
        <v>2237.0</v>
      </c>
      <c r="E75" s="15" t="s">
        <v>369</v>
      </c>
      <c r="F75" s="15" t="s">
        <v>99</v>
      </c>
      <c r="G75" s="15" t="s">
        <v>186</v>
      </c>
      <c r="H75" s="15" t="s">
        <v>38</v>
      </c>
      <c r="I75" s="32">
        <v>26.0</v>
      </c>
      <c r="J75" s="72">
        <v>900.0</v>
      </c>
      <c r="K75" s="72" t="s">
        <v>5220</v>
      </c>
      <c r="L75" s="23" t="s">
        <v>5227</v>
      </c>
      <c r="M75" s="23" t="s">
        <v>4631</v>
      </c>
      <c r="N75" s="23" t="s">
        <v>40</v>
      </c>
      <c r="O75" s="72" t="s">
        <v>4632</v>
      </c>
      <c r="P75" s="72" t="s">
        <v>4632</v>
      </c>
      <c r="Q75" s="32" t="s">
        <v>28</v>
      </c>
      <c r="R75" s="32" t="s">
        <v>28</v>
      </c>
      <c r="S75" s="32" t="s">
        <v>28</v>
      </c>
      <c r="T75" s="32" t="s">
        <v>28</v>
      </c>
      <c r="U75" s="32" t="s">
        <v>28</v>
      </c>
      <c r="V75" s="32" t="s">
        <v>28</v>
      </c>
      <c r="W75" s="32" t="s">
        <v>50</v>
      </c>
      <c r="X75" s="32" t="s">
        <v>50</v>
      </c>
      <c r="Y75" s="32" t="s">
        <v>50</v>
      </c>
      <c r="Z75" s="32" t="s">
        <v>28</v>
      </c>
      <c r="AA75" s="32" t="s">
        <v>28</v>
      </c>
      <c r="AB75" s="32" t="s">
        <v>28</v>
      </c>
    </row>
    <row r="76" ht="56.25" customHeight="1">
      <c r="A76" s="86" t="s">
        <v>5333</v>
      </c>
      <c r="B76" s="87" t="str">
        <f>IMAGE("https://i.imgur.com/IYsxgQ0.png")</f>
        <v/>
      </c>
      <c r="C76" s="32" t="str">
        <f>image("https://i.imgur.com/NxONhc3.png")</f>
        <v/>
      </c>
      <c r="D76" s="15">
        <v>2225.0</v>
      </c>
      <c r="E76" s="15" t="s">
        <v>99</v>
      </c>
      <c r="F76" s="15" t="s">
        <v>112</v>
      </c>
      <c r="G76" s="15" t="s">
        <v>41</v>
      </c>
      <c r="H76" s="15" t="s">
        <v>38</v>
      </c>
      <c r="I76" s="32">
        <v>14.0</v>
      </c>
      <c r="J76" s="72">
        <v>100.0</v>
      </c>
      <c r="K76" s="72" t="s">
        <v>5242</v>
      </c>
      <c r="L76" s="23" t="s">
        <v>5232</v>
      </c>
      <c r="M76" s="23" t="s">
        <v>4631</v>
      </c>
      <c r="N76" s="23" t="s">
        <v>40</v>
      </c>
      <c r="O76" s="72" t="s">
        <v>4632</v>
      </c>
      <c r="P76" s="72" t="s">
        <v>4632</v>
      </c>
      <c r="Q76" s="32" t="s">
        <v>28</v>
      </c>
      <c r="R76" s="32" t="s">
        <v>28</v>
      </c>
      <c r="S76" s="32" t="s">
        <v>50</v>
      </c>
      <c r="T76" s="32" t="s">
        <v>50</v>
      </c>
      <c r="U76" s="32" t="s">
        <v>50</v>
      </c>
      <c r="V76" s="32" t="s">
        <v>50</v>
      </c>
      <c r="W76" s="32" t="s">
        <v>50</v>
      </c>
      <c r="X76" s="32" t="s">
        <v>28</v>
      </c>
      <c r="Y76" s="32" t="s">
        <v>28</v>
      </c>
      <c r="Z76" s="32" t="s">
        <v>28</v>
      </c>
      <c r="AA76" s="32" t="s">
        <v>28</v>
      </c>
      <c r="AB76" s="32" t="s">
        <v>28</v>
      </c>
    </row>
    <row r="77" ht="56.25" customHeight="1">
      <c r="A77" s="86" t="s">
        <v>5334</v>
      </c>
      <c r="B77" s="87" t="str">
        <f>IMAGE("http://imgur.com/wSDCDVy.png")</f>
        <v/>
      </c>
      <c r="C77" s="32" t="str">
        <f>image("https://i.imgur.com/68s5EhF.png")</f>
        <v/>
      </c>
      <c r="D77" s="15">
        <v>4190.0</v>
      </c>
      <c r="E77" s="15" t="s">
        <v>99</v>
      </c>
      <c r="F77" s="15" t="s">
        <v>99</v>
      </c>
      <c r="G77" s="15" t="s">
        <v>186</v>
      </c>
      <c r="H77" s="15" t="s">
        <v>38</v>
      </c>
      <c r="I77" s="32">
        <v>23.0</v>
      </c>
      <c r="J77" s="72">
        <v>800.0</v>
      </c>
      <c r="K77" s="72" t="s">
        <v>5220</v>
      </c>
      <c r="L77" s="23" t="s">
        <v>5227</v>
      </c>
      <c r="M77" s="23" t="s">
        <v>4631</v>
      </c>
      <c r="N77" s="23" t="s">
        <v>40</v>
      </c>
      <c r="O77" s="72" t="s">
        <v>4632</v>
      </c>
      <c r="P77" s="72" t="s">
        <v>4632</v>
      </c>
      <c r="Q77" s="32" t="s">
        <v>28</v>
      </c>
      <c r="R77" s="32" t="s">
        <v>28</v>
      </c>
      <c r="S77" s="32" t="s">
        <v>28</v>
      </c>
      <c r="T77" s="32" t="s">
        <v>28</v>
      </c>
      <c r="U77" s="32" t="s">
        <v>28</v>
      </c>
      <c r="V77" s="32" t="s">
        <v>50</v>
      </c>
      <c r="W77" s="32" t="s">
        <v>50</v>
      </c>
      <c r="X77" s="32" t="s">
        <v>50</v>
      </c>
      <c r="Y77" s="32" t="s">
        <v>50</v>
      </c>
      <c r="Z77" s="32" t="s">
        <v>50</v>
      </c>
      <c r="AA77" s="32" t="s">
        <v>28</v>
      </c>
      <c r="AB77" s="32" t="s">
        <v>28</v>
      </c>
    </row>
    <row r="78" ht="56.25" customHeight="1">
      <c r="A78" s="86" t="s">
        <v>5335</v>
      </c>
      <c r="B78" s="87" t="str">
        <f>IMAGE("https://i.imgur.com/uWJT9rN.png")</f>
        <v/>
      </c>
      <c r="C78" s="32" t="str">
        <f>image("https://i.imgur.com/Ugn52X2.png")</f>
        <v/>
      </c>
      <c r="D78" s="15">
        <v>2274.0</v>
      </c>
      <c r="E78" s="15" t="s">
        <v>112</v>
      </c>
      <c r="F78" s="15" t="s">
        <v>99</v>
      </c>
      <c r="G78" s="15" t="s">
        <v>186</v>
      </c>
      <c r="H78" s="15" t="s">
        <v>130</v>
      </c>
      <c r="I78" s="32">
        <v>66.0</v>
      </c>
      <c r="J78" s="72">
        <v>7000.0</v>
      </c>
      <c r="K78" s="72" t="s">
        <v>5237</v>
      </c>
      <c r="L78" s="23" t="s">
        <v>5222</v>
      </c>
      <c r="M78" s="23" t="s">
        <v>4643</v>
      </c>
      <c r="N78" s="23" t="s">
        <v>53</v>
      </c>
      <c r="O78" s="72" t="s">
        <v>4632</v>
      </c>
      <c r="P78" s="72" t="s">
        <v>4632</v>
      </c>
      <c r="Q78" s="32" t="s">
        <v>50</v>
      </c>
      <c r="R78" s="32" t="s">
        <v>50</v>
      </c>
      <c r="S78" s="32" t="s">
        <v>50</v>
      </c>
      <c r="T78" s="32" t="s">
        <v>50</v>
      </c>
      <c r="U78" s="32" t="s">
        <v>28</v>
      </c>
      <c r="V78" s="32" t="s">
        <v>28</v>
      </c>
      <c r="W78" s="32" t="s">
        <v>28</v>
      </c>
      <c r="X78" s="32" t="s">
        <v>28</v>
      </c>
      <c r="Y78" s="32" t="s">
        <v>28</v>
      </c>
      <c r="Z78" s="32" t="s">
        <v>28</v>
      </c>
      <c r="AA78" s="32" t="s">
        <v>50</v>
      </c>
      <c r="AB78" s="32" t="s">
        <v>50</v>
      </c>
    </row>
    <row r="79" ht="56.25" customHeight="1">
      <c r="A79" s="86" t="s">
        <v>5337</v>
      </c>
      <c r="B79" s="87" t="str">
        <f>IMAGE("https://i.imgur.com/U75MFAQ.png")</f>
        <v/>
      </c>
      <c r="C79" s="32" t="str">
        <f>image("https://i.imgur.com/2vp5flx.png")</f>
        <v/>
      </c>
      <c r="D79" s="15">
        <v>2282.0</v>
      </c>
      <c r="E79" s="15" t="s">
        <v>99</v>
      </c>
      <c r="F79" s="15" t="s">
        <v>112</v>
      </c>
      <c r="G79" s="15" t="s">
        <v>41</v>
      </c>
      <c r="H79" s="15" t="s">
        <v>1748</v>
      </c>
      <c r="I79" s="32">
        <v>75.0</v>
      </c>
      <c r="J79" s="72">
        <v>13000.0</v>
      </c>
      <c r="K79" s="72" t="s">
        <v>84</v>
      </c>
      <c r="L79" s="23" t="s">
        <v>5273</v>
      </c>
      <c r="M79" s="23" t="s">
        <v>4643</v>
      </c>
      <c r="N79" s="23" t="s">
        <v>53</v>
      </c>
      <c r="O79" s="72" t="s">
        <v>4632</v>
      </c>
      <c r="P79" s="72" t="s">
        <v>4632</v>
      </c>
      <c r="Q79" s="32" t="s">
        <v>28</v>
      </c>
      <c r="R79" s="32" t="s">
        <v>28</v>
      </c>
      <c r="S79" s="32" t="s">
        <v>28</v>
      </c>
      <c r="T79" s="32" t="s">
        <v>28</v>
      </c>
      <c r="U79" s="32" t="s">
        <v>28</v>
      </c>
      <c r="V79" s="32" t="s">
        <v>50</v>
      </c>
      <c r="W79" s="32" t="s">
        <v>50</v>
      </c>
      <c r="X79" s="32" t="s">
        <v>50</v>
      </c>
      <c r="Y79" s="32" t="s">
        <v>50</v>
      </c>
      <c r="Z79" s="32" t="s">
        <v>28</v>
      </c>
      <c r="AA79" s="32" t="s">
        <v>28</v>
      </c>
      <c r="AB79" s="32" t="s">
        <v>28</v>
      </c>
    </row>
    <row r="80" ht="56.25" customHeight="1">
      <c r="A80" s="86" t="s">
        <v>5338</v>
      </c>
      <c r="B80" s="87" t="str">
        <f>IMAGE("https://i.imgur.com/MMdzoJt.png")</f>
        <v/>
      </c>
      <c r="C80" s="32" t="str">
        <f>image("https://i.imgur.com/p8FQnkO.png")</f>
        <v/>
      </c>
      <c r="D80" s="15">
        <v>2233.0</v>
      </c>
      <c r="E80" s="15" t="s">
        <v>211</v>
      </c>
      <c r="F80" s="15" t="s">
        <v>99</v>
      </c>
      <c r="G80" s="15" t="s">
        <v>186</v>
      </c>
      <c r="H80" s="15" t="s">
        <v>38</v>
      </c>
      <c r="I80" s="32">
        <v>21.0</v>
      </c>
      <c r="J80" s="72">
        <v>300.0</v>
      </c>
      <c r="K80" s="72" t="s">
        <v>5220</v>
      </c>
      <c r="L80" s="23" t="s">
        <v>5227</v>
      </c>
      <c r="M80" s="23" t="s">
        <v>4631</v>
      </c>
      <c r="N80" s="23" t="s">
        <v>40</v>
      </c>
      <c r="O80" s="72" t="s">
        <v>4632</v>
      </c>
      <c r="P80" s="72" t="s">
        <v>4632</v>
      </c>
      <c r="Q80" s="32" t="s">
        <v>50</v>
      </c>
      <c r="R80" s="32" t="s">
        <v>50</v>
      </c>
      <c r="S80" s="32" t="s">
        <v>50</v>
      </c>
      <c r="T80" s="32" t="s">
        <v>28</v>
      </c>
      <c r="U80" s="32" t="s">
        <v>28</v>
      </c>
      <c r="V80" s="32" t="s">
        <v>28</v>
      </c>
      <c r="W80" s="32" t="s">
        <v>28</v>
      </c>
      <c r="X80" s="32" t="s">
        <v>28</v>
      </c>
      <c r="Y80" s="32" t="s">
        <v>28</v>
      </c>
      <c r="Z80" s="32" t="s">
        <v>50</v>
      </c>
      <c r="AA80" s="32" t="s">
        <v>50</v>
      </c>
      <c r="AB80" s="32" t="s">
        <v>50</v>
      </c>
    </row>
    <row r="81" ht="56.25" customHeight="1">
      <c r="A81" s="86" t="s">
        <v>5340</v>
      </c>
      <c r="B81" s="87" t="str">
        <f>IMAGE("https://i.imgur.com/GdwR6xc.png")</f>
        <v/>
      </c>
      <c r="C81" s="32" t="str">
        <f>image("https://i.imgur.com/oRmkhvC.png")</f>
        <v/>
      </c>
      <c r="D81" s="15">
        <v>2261.0</v>
      </c>
      <c r="E81" s="15" t="s">
        <v>208</v>
      </c>
      <c r="F81" s="15" t="s">
        <v>99</v>
      </c>
      <c r="G81" s="15" t="s">
        <v>186</v>
      </c>
      <c r="H81" s="15" t="s">
        <v>38</v>
      </c>
      <c r="I81" s="32">
        <v>53.0</v>
      </c>
      <c r="J81" s="72">
        <v>500.0</v>
      </c>
      <c r="K81" s="72" t="s">
        <v>84</v>
      </c>
      <c r="L81" s="23" t="s">
        <v>5227</v>
      </c>
      <c r="M81" s="23" t="s">
        <v>4631</v>
      </c>
      <c r="N81" s="23" t="s">
        <v>40</v>
      </c>
      <c r="O81" s="72" t="s">
        <v>4632</v>
      </c>
      <c r="P81" s="72" t="s">
        <v>4632</v>
      </c>
      <c r="Q81" s="32" t="s">
        <v>28</v>
      </c>
      <c r="R81" s="32" t="s">
        <v>28</v>
      </c>
      <c r="S81" s="32" t="s">
        <v>28</v>
      </c>
      <c r="T81" s="32" t="s">
        <v>50</v>
      </c>
      <c r="U81" s="32" t="s">
        <v>50</v>
      </c>
      <c r="V81" s="32" t="s">
        <v>50</v>
      </c>
      <c r="W81" s="32" t="s">
        <v>50</v>
      </c>
      <c r="X81" s="32" t="s">
        <v>50</v>
      </c>
      <c r="Y81" s="32" t="s">
        <v>50</v>
      </c>
      <c r="Z81" s="32" t="s">
        <v>50</v>
      </c>
      <c r="AA81" s="32" t="s">
        <v>50</v>
      </c>
      <c r="AB81" s="32" t="s">
        <v>28</v>
      </c>
    </row>
    <row r="82" ht="56.25" customHeight="1">
      <c r="A82" s="89" t="s">
        <v>5341</v>
      </c>
      <c r="B82" s="15" t="str">
        <f>image("https://i.imgur.com/eziidR4.png")</f>
        <v/>
      </c>
      <c r="C82" s="71" t="s">
        <v>5342</v>
      </c>
      <c r="D82" s="15"/>
      <c r="E82" s="15"/>
      <c r="F82" s="15"/>
      <c r="G82" s="15"/>
      <c r="H82" s="7"/>
      <c r="I82" s="71" t="s">
        <v>5342</v>
      </c>
      <c r="J82" s="94">
        <v>10.0</v>
      </c>
      <c r="K82" s="94" t="s">
        <v>5343</v>
      </c>
      <c r="L82" s="23" t="s">
        <v>5217</v>
      </c>
      <c r="M82" s="23" t="s">
        <v>4631</v>
      </c>
      <c r="N82" s="23" t="s">
        <v>40</v>
      </c>
      <c r="O82" s="94" t="s">
        <v>4632</v>
      </c>
      <c r="P82" s="94" t="s">
        <v>4632</v>
      </c>
      <c r="Q82" s="71" t="s">
        <v>50</v>
      </c>
      <c r="R82" s="71" t="s">
        <v>50</v>
      </c>
      <c r="S82" s="71" t="s">
        <v>50</v>
      </c>
      <c r="T82" s="71" t="s">
        <v>50</v>
      </c>
      <c r="U82" s="71" t="s">
        <v>50</v>
      </c>
      <c r="V82" s="71" t="s">
        <v>50</v>
      </c>
      <c r="W82" s="71" t="s">
        <v>50</v>
      </c>
      <c r="X82" s="71" t="s">
        <v>50</v>
      </c>
      <c r="Y82" s="71" t="s">
        <v>50</v>
      </c>
      <c r="Z82" s="71" t="s">
        <v>50</v>
      </c>
      <c r="AA82" s="71" t="s">
        <v>50</v>
      </c>
      <c r="AB82" s="71" t="s">
        <v>50</v>
      </c>
    </row>
    <row r="83" ht="56.25" customHeight="1">
      <c r="A83" s="89" t="s">
        <v>5344</v>
      </c>
      <c r="B83" s="15" t="str">
        <f>image("https://i.imgur.com/eDRbO9w.png")</f>
        <v/>
      </c>
      <c r="C83" s="71" t="s">
        <v>5342</v>
      </c>
      <c r="D83" s="15"/>
      <c r="E83" s="15"/>
      <c r="F83" s="15"/>
      <c r="G83" s="15"/>
      <c r="H83" s="15"/>
      <c r="I83" s="71" t="s">
        <v>5342</v>
      </c>
      <c r="J83" s="94">
        <v>10.0</v>
      </c>
      <c r="K83" s="94" t="s">
        <v>5343</v>
      </c>
      <c r="L83" s="23" t="s">
        <v>5224</v>
      </c>
      <c r="M83" s="23" t="s">
        <v>4631</v>
      </c>
      <c r="N83" s="23" t="s">
        <v>40</v>
      </c>
      <c r="O83" s="94" t="s">
        <v>4632</v>
      </c>
      <c r="P83" s="94" t="s">
        <v>4632</v>
      </c>
      <c r="Q83" s="71" t="s">
        <v>50</v>
      </c>
      <c r="R83" s="71" t="s">
        <v>50</v>
      </c>
      <c r="S83" s="71" t="s">
        <v>50</v>
      </c>
      <c r="T83" s="71" t="s">
        <v>50</v>
      </c>
      <c r="U83" s="71" t="s">
        <v>50</v>
      </c>
      <c r="V83" s="71" t="s">
        <v>50</v>
      </c>
      <c r="W83" s="71" t="s">
        <v>50</v>
      </c>
      <c r="X83" s="71" t="s">
        <v>50</v>
      </c>
      <c r="Y83" s="71" t="s">
        <v>50</v>
      </c>
      <c r="Z83" s="71" t="s">
        <v>50</v>
      </c>
      <c r="AA83" s="71" t="s">
        <v>50</v>
      </c>
      <c r="AB83" s="71" t="s">
        <v>50</v>
      </c>
    </row>
    <row r="84" ht="56.25" customHeight="1">
      <c r="A84" s="89" t="s">
        <v>5345</v>
      </c>
      <c r="B84" s="15" t="str">
        <f>image("https://i.imgur.com/d8YTLgJ.png")</f>
        <v/>
      </c>
      <c r="C84" s="71" t="s">
        <v>5342</v>
      </c>
      <c r="D84" s="15"/>
      <c r="E84" s="15"/>
      <c r="F84" s="15"/>
      <c r="G84" s="15"/>
      <c r="H84" s="15"/>
      <c r="I84" s="71" t="s">
        <v>5342</v>
      </c>
      <c r="J84" s="94">
        <v>10.0</v>
      </c>
      <c r="K84" s="94" t="s">
        <v>5343</v>
      </c>
      <c r="L84" s="23" t="s">
        <v>5227</v>
      </c>
      <c r="M84" s="23" t="s">
        <v>4631</v>
      </c>
      <c r="N84" s="23" t="s">
        <v>40</v>
      </c>
      <c r="O84" s="94" t="s">
        <v>4632</v>
      </c>
      <c r="P84" s="94" t="s">
        <v>4632</v>
      </c>
      <c r="Q84" s="71" t="s">
        <v>50</v>
      </c>
      <c r="R84" s="71" t="s">
        <v>50</v>
      </c>
      <c r="S84" s="71" t="s">
        <v>50</v>
      </c>
      <c r="T84" s="71" t="s">
        <v>50</v>
      </c>
      <c r="U84" s="71" t="s">
        <v>50</v>
      </c>
      <c r="V84" s="71" t="s">
        <v>50</v>
      </c>
      <c r="W84" s="71" t="s">
        <v>50</v>
      </c>
      <c r="X84" s="71" t="s">
        <v>50</v>
      </c>
      <c r="Y84" s="71" t="s">
        <v>50</v>
      </c>
      <c r="Z84" s="71" t="s">
        <v>50</v>
      </c>
      <c r="AA84" s="71" t="s">
        <v>50</v>
      </c>
      <c r="AB84" s="71" t="s">
        <v>50</v>
      </c>
    </row>
    <row r="85" ht="56.25" customHeight="1">
      <c r="A85" s="89" t="s">
        <v>5346</v>
      </c>
      <c r="B85" s="15" t="str">
        <f>image("https://i.imgur.com/NWWSyvA.png")</f>
        <v/>
      </c>
      <c r="C85" s="71" t="s">
        <v>5342</v>
      </c>
      <c r="D85" s="15"/>
      <c r="E85" s="15"/>
      <c r="F85" s="15"/>
      <c r="G85" s="15"/>
      <c r="H85" s="15"/>
      <c r="I85" s="71" t="s">
        <v>5342</v>
      </c>
      <c r="J85" s="15">
        <v>75.0</v>
      </c>
      <c r="K85" s="94" t="s">
        <v>5343</v>
      </c>
      <c r="L85" s="23" t="s">
        <v>5232</v>
      </c>
      <c r="M85" s="23" t="s">
        <v>4631</v>
      </c>
      <c r="N85" s="23" t="s">
        <v>40</v>
      </c>
      <c r="O85" s="94" t="s">
        <v>4632</v>
      </c>
      <c r="P85" s="94" t="s">
        <v>4632</v>
      </c>
      <c r="Q85" s="71" t="s">
        <v>50</v>
      </c>
      <c r="R85" s="71" t="s">
        <v>50</v>
      </c>
      <c r="S85" s="71" t="s">
        <v>50</v>
      </c>
      <c r="T85" s="71" t="s">
        <v>50</v>
      </c>
      <c r="U85" s="71" t="s">
        <v>50</v>
      </c>
      <c r="V85" s="71" t="s">
        <v>50</v>
      </c>
      <c r="W85" s="71" t="s">
        <v>50</v>
      </c>
      <c r="X85" s="71" t="s">
        <v>50</v>
      </c>
      <c r="Y85" s="71" t="s">
        <v>50</v>
      </c>
      <c r="Z85" s="71" t="s">
        <v>50</v>
      </c>
      <c r="AA85" s="71" t="s">
        <v>50</v>
      </c>
      <c r="AB85" s="71" t="s">
        <v>50</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29"/>
    <col customWidth="1" min="2" max="3" width="10.86"/>
    <col customWidth="1" min="4" max="4" width="8.14"/>
    <col customWidth="1" min="5" max="6" width="9.43"/>
    <col customWidth="1" min="7" max="7" width="9.86"/>
    <col customWidth="1" min="8" max="8" width="5.14"/>
    <col customWidth="1" min="9" max="9" width="8.14"/>
    <col customWidth="1" min="10" max="10" width="6.29"/>
    <col customWidth="1" min="11" max="11" width="8.14"/>
    <col customWidth="1" min="12" max="12" width="12.71"/>
    <col customWidth="1" min="13" max="13" width="10.57"/>
    <col customWidth="1" min="14" max="14" width="17.43"/>
    <col customWidth="1" min="15" max="15" width="10.57"/>
    <col customWidth="1" min="16" max="16" width="9.71"/>
    <col customWidth="1" min="17" max="28" width="3.71"/>
  </cols>
  <sheetData>
    <row r="1" ht="42.75" customHeight="1">
      <c r="A1" s="90" t="s">
        <v>0</v>
      </c>
      <c r="B1" s="45" t="s">
        <v>1</v>
      </c>
      <c r="C1" s="7" t="s">
        <v>4575</v>
      </c>
      <c r="D1" s="7" t="s">
        <v>8</v>
      </c>
      <c r="E1" s="7" t="s">
        <v>1602</v>
      </c>
      <c r="F1" s="7" t="s">
        <v>1603</v>
      </c>
      <c r="G1" s="7" t="s">
        <v>1406</v>
      </c>
      <c r="H1" s="7" t="s">
        <v>12</v>
      </c>
      <c r="I1" s="91" t="s">
        <v>4576</v>
      </c>
      <c r="J1" s="92" t="s">
        <v>7</v>
      </c>
      <c r="K1" s="92" t="s">
        <v>4577</v>
      </c>
      <c r="L1" s="7" t="s">
        <v>5214</v>
      </c>
      <c r="M1" s="7" t="s">
        <v>4581</v>
      </c>
      <c r="N1" s="7" t="s">
        <v>5215</v>
      </c>
      <c r="O1" s="92" t="s">
        <v>4582</v>
      </c>
      <c r="P1" s="92" t="s">
        <v>4583</v>
      </c>
      <c r="Q1" s="10" t="s">
        <v>4584</v>
      </c>
      <c r="R1" s="10" t="s">
        <v>4585</v>
      </c>
      <c r="S1" s="10" t="s">
        <v>4587</v>
      </c>
      <c r="T1" s="10" t="s">
        <v>4589</v>
      </c>
      <c r="U1" s="10" t="s">
        <v>4590</v>
      </c>
      <c r="V1" s="10" t="s">
        <v>4591</v>
      </c>
      <c r="W1" s="10" t="s">
        <v>4592</v>
      </c>
      <c r="X1" s="10" t="s">
        <v>4593</v>
      </c>
      <c r="Y1" s="10" t="s">
        <v>4594</v>
      </c>
      <c r="Z1" s="10" t="s">
        <v>4595</v>
      </c>
      <c r="AA1" s="10" t="s">
        <v>4596</v>
      </c>
      <c r="AB1" s="10" t="s">
        <v>4597</v>
      </c>
    </row>
    <row r="2" ht="56.25" customHeight="1">
      <c r="A2" s="86" t="s">
        <v>5216</v>
      </c>
      <c r="B2" s="87" t="str">
        <f>IMAGE("https://i.imgur.com/zEICzZj.png")</f>
        <v/>
      </c>
      <c r="C2" s="41" t="str">
        <f>image("https://i.imgur.com/R9SIKjx.png")</f>
        <v/>
      </c>
      <c r="D2" s="15">
        <v>4201.0</v>
      </c>
      <c r="E2" s="15" t="s">
        <v>112</v>
      </c>
      <c r="F2" s="15" t="s">
        <v>208</v>
      </c>
      <c r="G2" s="15" t="s">
        <v>41</v>
      </c>
      <c r="H2" s="15" t="s">
        <v>38</v>
      </c>
      <c r="I2" s="32">
        <v>56.0</v>
      </c>
      <c r="J2" s="72">
        <v>200.0</v>
      </c>
      <c r="K2" s="72" t="s">
        <v>84</v>
      </c>
      <c r="L2" s="23" t="s">
        <v>5217</v>
      </c>
      <c r="M2" s="81" t="s">
        <v>4631</v>
      </c>
      <c r="N2" s="81" t="s">
        <v>40</v>
      </c>
      <c r="O2" s="88">
        <v>0.16666666666666666</v>
      </c>
      <c r="P2" s="88">
        <v>0.875</v>
      </c>
      <c r="Q2" s="93" t="s">
        <v>50</v>
      </c>
      <c r="R2" s="93" t="s">
        <v>50</v>
      </c>
      <c r="S2" s="93" t="s">
        <v>50</v>
      </c>
      <c r="T2" s="93" t="s">
        <v>50</v>
      </c>
      <c r="U2" s="93" t="s">
        <v>50</v>
      </c>
      <c r="V2" s="93" t="s">
        <v>50</v>
      </c>
      <c r="W2" s="93" t="s">
        <v>50</v>
      </c>
      <c r="X2" s="93" t="s">
        <v>50</v>
      </c>
      <c r="Y2" s="93" t="s">
        <v>50</v>
      </c>
      <c r="Z2" s="93" t="s">
        <v>50</v>
      </c>
      <c r="AA2" s="93" t="s">
        <v>50</v>
      </c>
      <c r="AB2" s="93" t="s">
        <v>50</v>
      </c>
    </row>
    <row r="3" ht="56.25" customHeight="1">
      <c r="A3" s="86" t="s">
        <v>5218</v>
      </c>
      <c r="B3" s="87" t="str">
        <f>IMAGE("https://i.imgur.com/dQh34A6.png")</f>
        <v/>
      </c>
      <c r="C3" s="41" t="str">
        <f>image("https://i.imgur.com/a4zWy7u.png")</f>
        <v/>
      </c>
      <c r="D3" s="15">
        <v>2247.0</v>
      </c>
      <c r="E3" s="15" t="s">
        <v>211</v>
      </c>
      <c r="F3" s="15" t="s">
        <v>99</v>
      </c>
      <c r="G3" s="15" t="s">
        <v>186</v>
      </c>
      <c r="H3" s="15" t="s">
        <v>38</v>
      </c>
      <c r="I3" s="32">
        <v>36.0</v>
      </c>
      <c r="J3" s="72">
        <v>3000.0</v>
      </c>
      <c r="K3" s="72" t="s">
        <v>5220</v>
      </c>
      <c r="L3" s="23" t="s">
        <v>5217</v>
      </c>
      <c r="M3" s="81" t="s">
        <v>4610</v>
      </c>
      <c r="N3" s="81" t="s">
        <v>40</v>
      </c>
      <c r="O3" s="88">
        <v>0.6666666666666666</v>
      </c>
      <c r="P3" s="88">
        <v>0.375</v>
      </c>
      <c r="Q3" s="93" t="s">
        <v>50</v>
      </c>
      <c r="R3" s="93" t="s">
        <v>50</v>
      </c>
      <c r="S3" s="93" t="s">
        <v>50</v>
      </c>
      <c r="T3" s="93" t="s">
        <v>50</v>
      </c>
      <c r="U3" s="93" t="s">
        <v>28</v>
      </c>
      <c r="V3" s="93" t="s">
        <v>28</v>
      </c>
      <c r="W3" s="93" t="s">
        <v>28</v>
      </c>
      <c r="X3" s="93" t="s">
        <v>28</v>
      </c>
      <c r="Y3" s="93" t="s">
        <v>28</v>
      </c>
      <c r="Z3" s="93" t="s">
        <v>28</v>
      </c>
      <c r="AA3" s="93" t="s">
        <v>50</v>
      </c>
      <c r="AB3" s="93" t="s">
        <v>50</v>
      </c>
    </row>
    <row r="4" ht="56.25" customHeight="1">
      <c r="A4" s="86" t="s">
        <v>5221</v>
      </c>
      <c r="B4" s="87" t="str">
        <f>IMAGE("https://i.imgur.com/lPlNtUw.png")</f>
        <v/>
      </c>
      <c r="C4" s="41" t="str">
        <f>image("https://i.imgur.com/BNB76s9.png")</f>
        <v/>
      </c>
      <c r="D4" s="15">
        <v>2253.0</v>
      </c>
      <c r="E4" s="15" t="s">
        <v>99</v>
      </c>
      <c r="F4" s="15" t="s">
        <v>112</v>
      </c>
      <c r="G4" s="15" t="s">
        <v>41</v>
      </c>
      <c r="H4" s="15" t="s">
        <v>1748</v>
      </c>
      <c r="I4" s="32">
        <v>44.0</v>
      </c>
      <c r="J4" s="72">
        <v>10000.0</v>
      </c>
      <c r="K4" s="72" t="s">
        <v>5220</v>
      </c>
      <c r="L4" s="23" t="s">
        <v>5222</v>
      </c>
      <c r="M4" s="81" t="s">
        <v>4643</v>
      </c>
      <c r="N4" s="81" t="s">
        <v>53</v>
      </c>
      <c r="O4" s="88">
        <v>0.6666666666666666</v>
      </c>
      <c r="P4" s="88">
        <v>0.375</v>
      </c>
      <c r="Q4" s="93" t="s">
        <v>50</v>
      </c>
      <c r="R4" s="93" t="s">
        <v>50</v>
      </c>
      <c r="S4" s="93" t="s">
        <v>50</v>
      </c>
      <c r="T4" s="93" t="s">
        <v>28</v>
      </c>
      <c r="U4" s="93" t="s">
        <v>28</v>
      </c>
      <c r="V4" s="93" t="s">
        <v>28</v>
      </c>
      <c r="W4" s="93" t="s">
        <v>28</v>
      </c>
      <c r="X4" s="93" t="s">
        <v>28</v>
      </c>
      <c r="Y4" s="93" t="s">
        <v>28</v>
      </c>
      <c r="Z4" s="93" t="s">
        <v>28</v>
      </c>
      <c r="AA4" s="93" t="s">
        <v>28</v>
      </c>
      <c r="AB4" s="93" t="s">
        <v>50</v>
      </c>
    </row>
    <row r="5" ht="56.25" customHeight="1">
      <c r="A5" s="86" t="s">
        <v>5223</v>
      </c>
      <c r="B5" s="87" t="str">
        <f>IMAGE("https://i.imgur.com/dim59Ai.png")</f>
        <v/>
      </c>
      <c r="C5" s="41" t="str">
        <f>image("https://i.imgur.com/8NxlhEr.png")</f>
        <v/>
      </c>
      <c r="D5" s="15">
        <v>2250.0</v>
      </c>
      <c r="E5" s="15" t="s">
        <v>211</v>
      </c>
      <c r="F5" s="15" t="s">
        <v>99</v>
      </c>
      <c r="G5" s="15" t="s">
        <v>186</v>
      </c>
      <c r="H5" s="15" t="s">
        <v>130</v>
      </c>
      <c r="I5" s="32">
        <v>41.0</v>
      </c>
      <c r="J5" s="72">
        <v>10000.0</v>
      </c>
      <c r="K5" s="72" t="s">
        <v>5220</v>
      </c>
      <c r="L5" s="23" t="s">
        <v>5224</v>
      </c>
      <c r="M5" s="81" t="s">
        <v>4643</v>
      </c>
      <c r="N5" s="81" t="s">
        <v>40</v>
      </c>
      <c r="O5" s="88">
        <v>0.6666666666666666</v>
      </c>
      <c r="P5" s="88">
        <v>0.375</v>
      </c>
      <c r="Q5" s="93" t="s">
        <v>50</v>
      </c>
      <c r="R5" s="93" t="s">
        <v>50</v>
      </c>
      <c r="S5" s="93" t="s">
        <v>50</v>
      </c>
      <c r="T5" s="93" t="s">
        <v>28</v>
      </c>
      <c r="U5" s="93" t="s">
        <v>28</v>
      </c>
      <c r="V5" s="93" t="s">
        <v>28</v>
      </c>
      <c r="W5" s="93" t="s">
        <v>28</v>
      </c>
      <c r="X5" s="93" t="s">
        <v>28</v>
      </c>
      <c r="Y5" s="93" t="s">
        <v>28</v>
      </c>
      <c r="Z5" s="93" t="s">
        <v>28</v>
      </c>
      <c r="AA5" s="93" t="s">
        <v>28</v>
      </c>
      <c r="AB5" s="93" t="s">
        <v>50</v>
      </c>
    </row>
    <row r="6" ht="56.25" customHeight="1">
      <c r="A6" s="86" t="s">
        <v>5225</v>
      </c>
      <c r="B6" s="87" t="str">
        <f>IMAGE("https://i.imgur.com/j3F10on.png")</f>
        <v/>
      </c>
      <c r="C6" s="41" t="str">
        <f>image("https://i.imgur.com/SbDg94Z.png")</f>
        <v/>
      </c>
      <c r="D6" s="15">
        <v>2265.0</v>
      </c>
      <c r="E6" s="15" t="s">
        <v>82</v>
      </c>
      <c r="F6" s="15" t="s">
        <v>99</v>
      </c>
      <c r="G6" s="15" t="s">
        <v>186</v>
      </c>
      <c r="H6" s="15" t="s">
        <v>38</v>
      </c>
      <c r="I6" s="32">
        <v>58.0</v>
      </c>
      <c r="J6" s="72">
        <v>5000.0</v>
      </c>
      <c r="K6" s="72" t="s">
        <v>84</v>
      </c>
      <c r="L6" s="23" t="s">
        <v>5227</v>
      </c>
      <c r="M6" s="23" t="s">
        <v>4610</v>
      </c>
      <c r="N6" s="23" t="s">
        <v>40</v>
      </c>
      <c r="O6" s="72" t="s">
        <v>4632</v>
      </c>
      <c r="P6" s="72" t="s">
        <v>4632</v>
      </c>
      <c r="Q6" s="93" t="s">
        <v>50</v>
      </c>
      <c r="R6" s="93" t="s">
        <v>50</v>
      </c>
      <c r="S6" s="93" t="s">
        <v>50</v>
      </c>
      <c r="T6" s="93" t="s">
        <v>50</v>
      </c>
      <c r="U6" s="93" t="s">
        <v>50</v>
      </c>
      <c r="V6" s="93" t="s">
        <v>28</v>
      </c>
      <c r="W6" s="93" t="s">
        <v>28</v>
      </c>
      <c r="X6" s="93" t="s">
        <v>28</v>
      </c>
      <c r="Y6" s="93" t="s">
        <v>50</v>
      </c>
      <c r="Z6" s="93" t="s">
        <v>50</v>
      </c>
      <c r="AA6" s="93" t="s">
        <v>50</v>
      </c>
      <c r="AB6" s="93" t="s">
        <v>50</v>
      </c>
    </row>
    <row r="7" ht="56.25" customHeight="1">
      <c r="A7" s="86" t="s">
        <v>5228</v>
      </c>
      <c r="B7" s="87" t="str">
        <f>IMAGE("https://i.imgur.com/UrND87z.png")</f>
        <v/>
      </c>
      <c r="C7" s="41" t="str">
        <f>image("https://i.imgur.com/rOYpkZ3.png")</f>
        <v/>
      </c>
      <c r="D7" s="15">
        <v>4204.0</v>
      </c>
      <c r="E7" s="15" t="s">
        <v>99</v>
      </c>
      <c r="F7" s="15" t="s">
        <v>99</v>
      </c>
      <c r="G7" s="15" t="s">
        <v>186</v>
      </c>
      <c r="H7" s="15" t="s">
        <v>38</v>
      </c>
      <c r="I7" s="32">
        <v>79.0</v>
      </c>
      <c r="J7" s="72">
        <v>15000.0</v>
      </c>
      <c r="K7" s="72" t="s">
        <v>84</v>
      </c>
      <c r="L7" s="23" t="s">
        <v>5217</v>
      </c>
      <c r="M7" s="81" t="s">
        <v>4697</v>
      </c>
      <c r="N7" s="81" t="s">
        <v>40</v>
      </c>
      <c r="O7" s="88">
        <v>0.875</v>
      </c>
      <c r="P7" s="88">
        <v>0.16666666666666666</v>
      </c>
      <c r="Q7" s="93" t="s">
        <v>50</v>
      </c>
      <c r="R7" s="93" t="s">
        <v>50</v>
      </c>
      <c r="S7" s="93" t="s">
        <v>50</v>
      </c>
      <c r="T7" s="93" t="s">
        <v>50</v>
      </c>
      <c r="U7" s="93" t="s">
        <v>50</v>
      </c>
      <c r="V7" s="93" t="s">
        <v>50</v>
      </c>
      <c r="W7" s="93" t="s">
        <v>50</v>
      </c>
      <c r="X7" s="93" t="s">
        <v>50</v>
      </c>
      <c r="Y7" s="93" t="s">
        <v>50</v>
      </c>
      <c r="Z7" s="93" t="s">
        <v>50</v>
      </c>
      <c r="AA7" s="93" t="s">
        <v>50</v>
      </c>
      <c r="AB7" s="93" t="s">
        <v>50</v>
      </c>
    </row>
    <row r="8" ht="56.25" customHeight="1">
      <c r="A8" s="86" t="s">
        <v>5229</v>
      </c>
      <c r="B8" s="87" t="str">
        <f>IMAGE("https://i.imgur.com/xkWsC8R.png")</f>
        <v/>
      </c>
      <c r="C8" s="41" t="str">
        <f>image("https://i.imgur.com/gk6EkfS.png")</f>
        <v/>
      </c>
      <c r="D8" s="15">
        <v>4191.0</v>
      </c>
      <c r="E8" s="15" t="s">
        <v>1614</v>
      </c>
      <c r="F8" s="15" t="s">
        <v>99</v>
      </c>
      <c r="G8" s="15" t="s">
        <v>186</v>
      </c>
      <c r="H8" s="15" t="s">
        <v>38</v>
      </c>
      <c r="I8" s="32">
        <v>37.0</v>
      </c>
      <c r="J8" s="72">
        <v>2500.0</v>
      </c>
      <c r="K8" s="72" t="s">
        <v>5220</v>
      </c>
      <c r="L8" s="23" t="s">
        <v>5217</v>
      </c>
      <c r="M8" s="81" t="s">
        <v>4610</v>
      </c>
      <c r="N8" s="81" t="s">
        <v>40</v>
      </c>
      <c r="O8" s="88">
        <v>0.375</v>
      </c>
      <c r="P8" s="88">
        <v>0.6666666666666666</v>
      </c>
      <c r="Q8" s="93" t="s">
        <v>50</v>
      </c>
      <c r="R8" s="93" t="s">
        <v>50</v>
      </c>
      <c r="S8" s="93" t="s">
        <v>50</v>
      </c>
      <c r="T8" s="93" t="s">
        <v>50</v>
      </c>
      <c r="U8" s="93" t="s">
        <v>28</v>
      </c>
      <c r="V8" s="93" t="s">
        <v>28</v>
      </c>
      <c r="W8" s="93" t="s">
        <v>28</v>
      </c>
      <c r="X8" s="93" t="s">
        <v>28</v>
      </c>
      <c r="Y8" s="93" t="s">
        <v>28</v>
      </c>
      <c r="Z8" s="93" t="s">
        <v>28</v>
      </c>
      <c r="AA8" s="93" t="s">
        <v>50</v>
      </c>
      <c r="AB8" s="93" t="s">
        <v>50</v>
      </c>
    </row>
    <row r="9" ht="56.25" customHeight="1">
      <c r="A9" s="86" t="s">
        <v>5231</v>
      </c>
      <c r="B9" s="87" t="str">
        <f>IMAGE("https://i.imgur.com/5kPcE5G.png")</f>
        <v/>
      </c>
      <c r="C9" s="41" t="str">
        <f>image("https://i.imgur.com/jqEuXh1.png")</f>
        <v/>
      </c>
      <c r="D9" s="15">
        <v>2215.0</v>
      </c>
      <c r="E9" s="15" t="s">
        <v>1614</v>
      </c>
      <c r="F9" s="15" t="s">
        <v>112</v>
      </c>
      <c r="G9" s="15" t="s">
        <v>41</v>
      </c>
      <c r="H9" s="15" t="s">
        <v>38</v>
      </c>
      <c r="I9" s="32">
        <v>1.0</v>
      </c>
      <c r="J9" s="72">
        <v>900.0</v>
      </c>
      <c r="K9" s="72" t="s">
        <v>5220</v>
      </c>
      <c r="L9" s="23" t="s">
        <v>5232</v>
      </c>
      <c r="M9" s="23" t="s">
        <v>4631</v>
      </c>
      <c r="N9" s="23" t="s">
        <v>40</v>
      </c>
      <c r="O9" s="72" t="s">
        <v>4632</v>
      </c>
      <c r="P9" s="72" t="s">
        <v>4632</v>
      </c>
      <c r="Q9" s="93" t="s">
        <v>28</v>
      </c>
      <c r="R9" s="93" t="s">
        <v>28</v>
      </c>
      <c r="S9" s="93" t="s">
        <v>28</v>
      </c>
      <c r="T9" s="93" t="s">
        <v>28</v>
      </c>
      <c r="U9" s="93" t="s">
        <v>50</v>
      </c>
      <c r="V9" s="93" t="s">
        <v>50</v>
      </c>
      <c r="W9" s="93" t="s">
        <v>50</v>
      </c>
      <c r="X9" s="93" t="s">
        <v>50</v>
      </c>
      <c r="Y9" s="93" t="s">
        <v>50</v>
      </c>
      <c r="Z9" s="93" t="s">
        <v>28</v>
      </c>
      <c r="AA9" s="93" t="s">
        <v>28</v>
      </c>
      <c r="AB9" s="93" t="s">
        <v>28</v>
      </c>
    </row>
    <row r="10" ht="56.25" customHeight="1">
      <c r="A10" s="86" t="s">
        <v>5233</v>
      </c>
      <c r="B10" s="87" t="str">
        <f>IMAGE("https://i.imgur.com/UiZq65j.png")</f>
        <v/>
      </c>
      <c r="C10" s="41" t="str">
        <f>image("https://i.imgur.com/zLBnnl7.png")</f>
        <v/>
      </c>
      <c r="D10" s="15">
        <v>2234.0</v>
      </c>
      <c r="E10" s="15" t="s">
        <v>369</v>
      </c>
      <c r="F10" s="15" t="s">
        <v>99</v>
      </c>
      <c r="G10" s="15" t="s">
        <v>186</v>
      </c>
      <c r="H10" s="15" t="s">
        <v>38</v>
      </c>
      <c r="I10" s="32">
        <v>22.0</v>
      </c>
      <c r="J10" s="72">
        <v>400.0</v>
      </c>
      <c r="K10" s="72" t="s">
        <v>5220</v>
      </c>
      <c r="L10" s="23" t="s">
        <v>5224</v>
      </c>
      <c r="M10" s="23" t="s">
        <v>4631</v>
      </c>
      <c r="N10" s="23" t="s">
        <v>40</v>
      </c>
      <c r="O10" s="72" t="s">
        <v>4632</v>
      </c>
      <c r="P10" s="72" t="s">
        <v>4632</v>
      </c>
      <c r="Q10" s="93" t="s">
        <v>50</v>
      </c>
      <c r="R10" s="93" t="s">
        <v>50</v>
      </c>
      <c r="S10" s="93" t="s">
        <v>50</v>
      </c>
      <c r="T10" s="93" t="s">
        <v>50</v>
      </c>
      <c r="U10" s="93" t="s">
        <v>50</v>
      </c>
      <c r="V10" s="93" t="s">
        <v>50</v>
      </c>
      <c r="W10" s="93" t="s">
        <v>50</v>
      </c>
      <c r="X10" s="93" t="s">
        <v>50</v>
      </c>
      <c r="Y10" s="93" t="s">
        <v>50</v>
      </c>
      <c r="Z10" s="93" t="s">
        <v>50</v>
      </c>
      <c r="AA10" s="93" t="s">
        <v>50</v>
      </c>
      <c r="AB10" s="93" t="s">
        <v>50</v>
      </c>
    </row>
    <row r="11" ht="56.25" customHeight="1">
      <c r="A11" s="86" t="s">
        <v>5234</v>
      </c>
      <c r="B11" s="87" t="str">
        <f>IMAGE("https://i.imgur.com/hHQizMa.png")</f>
        <v/>
      </c>
      <c r="C11" s="41" t="str">
        <f>image("https://i.imgur.com/0cH305w.png")</f>
        <v/>
      </c>
      <c r="D11" s="15">
        <v>2262.0</v>
      </c>
      <c r="E11" s="15" t="s">
        <v>1608</v>
      </c>
      <c r="F11" s="15" t="s">
        <v>99</v>
      </c>
      <c r="G11" s="15" t="s">
        <v>186</v>
      </c>
      <c r="H11" s="15" t="s">
        <v>38</v>
      </c>
      <c r="I11" s="32">
        <v>54.0</v>
      </c>
      <c r="J11" s="72">
        <v>5000.0</v>
      </c>
      <c r="K11" s="72" t="s">
        <v>84</v>
      </c>
      <c r="L11" s="23" t="s">
        <v>5227</v>
      </c>
      <c r="M11" s="81" t="s">
        <v>4610</v>
      </c>
      <c r="N11" s="81" t="s">
        <v>40</v>
      </c>
      <c r="O11" s="88">
        <v>0.875</v>
      </c>
      <c r="P11" s="88">
        <v>0.20833333333333334</v>
      </c>
      <c r="Q11" s="93" t="s">
        <v>28</v>
      </c>
      <c r="R11" s="93" t="s">
        <v>28</v>
      </c>
      <c r="S11" s="93" t="s">
        <v>28</v>
      </c>
      <c r="T11" s="93" t="s">
        <v>28</v>
      </c>
      <c r="U11" s="93" t="s">
        <v>50</v>
      </c>
      <c r="V11" s="93" t="s">
        <v>50</v>
      </c>
      <c r="W11" s="93" t="s">
        <v>50</v>
      </c>
      <c r="X11" s="93" t="s">
        <v>50</v>
      </c>
      <c r="Y11" s="93" t="s">
        <v>28</v>
      </c>
      <c r="Z11" s="93" t="s">
        <v>28</v>
      </c>
      <c r="AA11" s="93" t="s">
        <v>28</v>
      </c>
      <c r="AB11" s="93" t="s">
        <v>28</v>
      </c>
    </row>
    <row r="12" ht="56.25" customHeight="1">
      <c r="A12" s="86" t="s">
        <v>5235</v>
      </c>
      <c r="B12" s="87" t="str">
        <f>IMAGE("https://i.imgur.com/Qp7mSMV.png")</f>
        <v/>
      </c>
      <c r="C12" s="41" t="str">
        <f>image("https://i.imgur.com/u7SJfvr.png")</f>
        <v/>
      </c>
      <c r="D12" s="15">
        <v>2275.0</v>
      </c>
      <c r="E12" s="15" t="s">
        <v>112</v>
      </c>
      <c r="F12" s="15" t="s">
        <v>99</v>
      </c>
      <c r="G12" s="15" t="s">
        <v>186</v>
      </c>
      <c r="H12" s="15" t="s">
        <v>130</v>
      </c>
      <c r="I12" s="32">
        <v>67.0</v>
      </c>
      <c r="J12" s="72">
        <v>10000.0</v>
      </c>
      <c r="K12" s="72" t="s">
        <v>5237</v>
      </c>
      <c r="L12" s="23" t="s">
        <v>5222</v>
      </c>
      <c r="M12" s="23" t="s">
        <v>4643</v>
      </c>
      <c r="N12" s="23" t="s">
        <v>53</v>
      </c>
      <c r="O12" s="72" t="s">
        <v>4632</v>
      </c>
      <c r="P12" s="72" t="s">
        <v>4632</v>
      </c>
      <c r="Q12" s="93" t="s">
        <v>50</v>
      </c>
      <c r="R12" s="93" t="s">
        <v>50</v>
      </c>
      <c r="S12" s="93" t="s">
        <v>50</v>
      </c>
      <c r="T12" s="93" t="s">
        <v>28</v>
      </c>
      <c r="U12" s="93" t="s">
        <v>50</v>
      </c>
      <c r="V12" s="93" t="s">
        <v>50</v>
      </c>
      <c r="W12" s="93" t="s">
        <v>50</v>
      </c>
      <c r="X12" s="93" t="s">
        <v>50</v>
      </c>
      <c r="Y12" s="93" t="s">
        <v>50</v>
      </c>
      <c r="Z12" s="93" t="s">
        <v>50</v>
      </c>
      <c r="AA12" s="93" t="s">
        <v>28</v>
      </c>
      <c r="AB12" s="93" t="s">
        <v>28</v>
      </c>
    </row>
    <row r="13" ht="56.25" customHeight="1">
      <c r="A13" s="86" t="s">
        <v>5238</v>
      </c>
      <c r="B13" s="87" t="str">
        <f>IMAGE("https://i.imgur.com/eWMRFaI.png")</f>
        <v/>
      </c>
      <c r="C13" s="41" t="str">
        <f>image("https://i.imgur.com/jeJfVQp.png")</f>
        <v/>
      </c>
      <c r="D13" s="15">
        <v>2232.0</v>
      </c>
      <c r="E13" s="15" t="s">
        <v>112</v>
      </c>
      <c r="F13" s="15" t="s">
        <v>99</v>
      </c>
      <c r="G13" s="15" t="s">
        <v>41</v>
      </c>
      <c r="H13" s="15" t="s">
        <v>38</v>
      </c>
      <c r="I13" s="32">
        <v>20.0</v>
      </c>
      <c r="J13" s="72">
        <v>180.0</v>
      </c>
      <c r="K13" s="72" t="s">
        <v>5220</v>
      </c>
      <c r="L13" s="23" t="s">
        <v>5217</v>
      </c>
      <c r="M13" s="81" t="s">
        <v>4631</v>
      </c>
      <c r="N13" s="81" t="s">
        <v>40</v>
      </c>
      <c r="O13" s="88">
        <v>0.375</v>
      </c>
      <c r="P13" s="88">
        <v>0.6666666666666666</v>
      </c>
      <c r="Q13" s="93" t="s">
        <v>50</v>
      </c>
      <c r="R13" s="93" t="s">
        <v>50</v>
      </c>
      <c r="S13" s="93" t="s">
        <v>50</v>
      </c>
      <c r="T13" s="93" t="s">
        <v>50</v>
      </c>
      <c r="U13" s="93" t="s">
        <v>50</v>
      </c>
      <c r="V13" s="93" t="s">
        <v>50</v>
      </c>
      <c r="W13" s="93" t="s">
        <v>50</v>
      </c>
      <c r="X13" s="93" t="s">
        <v>50</v>
      </c>
      <c r="Y13" s="93" t="s">
        <v>50</v>
      </c>
      <c r="Z13" s="93" t="s">
        <v>50</v>
      </c>
      <c r="AA13" s="93" t="s">
        <v>50</v>
      </c>
      <c r="AB13" s="93" t="s">
        <v>50</v>
      </c>
    </row>
    <row r="14" ht="56.25" customHeight="1">
      <c r="A14" s="86" t="s">
        <v>5239</v>
      </c>
      <c r="B14" s="87" t="str">
        <f>IMAGE("https://i.imgur.com/0JvzKTY.png")</f>
        <v/>
      </c>
      <c r="C14" s="41" t="str">
        <f>image("https://i.imgur.com/62bQr68.png")</f>
        <v/>
      </c>
      <c r="D14" s="15">
        <v>2259.0</v>
      </c>
      <c r="E14" s="15" t="s">
        <v>211</v>
      </c>
      <c r="F14" s="15" t="s">
        <v>99</v>
      </c>
      <c r="G14" s="15" t="s">
        <v>186</v>
      </c>
      <c r="H14" s="15" t="s">
        <v>38</v>
      </c>
      <c r="I14" s="32">
        <v>51.0</v>
      </c>
      <c r="J14" s="72">
        <v>1000.0</v>
      </c>
      <c r="K14" s="72" t="s">
        <v>84</v>
      </c>
      <c r="L14" s="23" t="s">
        <v>5217</v>
      </c>
      <c r="M14" s="23" t="s">
        <v>4631</v>
      </c>
      <c r="N14" s="23" t="s">
        <v>40</v>
      </c>
      <c r="O14" s="72" t="s">
        <v>4632</v>
      </c>
      <c r="P14" s="72" t="s">
        <v>4632</v>
      </c>
      <c r="Q14" s="93" t="s">
        <v>50</v>
      </c>
      <c r="R14" s="93" t="s">
        <v>50</v>
      </c>
      <c r="S14" s="93" t="s">
        <v>50</v>
      </c>
      <c r="T14" s="93" t="s">
        <v>28</v>
      </c>
      <c r="U14" s="93" t="s">
        <v>28</v>
      </c>
      <c r="V14" s="93" t="s">
        <v>28</v>
      </c>
      <c r="W14" s="93" t="s">
        <v>28</v>
      </c>
      <c r="X14" s="93" t="s">
        <v>28</v>
      </c>
      <c r="Y14" s="93" t="s">
        <v>28</v>
      </c>
      <c r="Z14" s="93" t="s">
        <v>50</v>
      </c>
      <c r="AA14" s="93" t="s">
        <v>50</v>
      </c>
      <c r="AB14" s="93" t="s">
        <v>50</v>
      </c>
    </row>
    <row r="15" ht="56.25" customHeight="1">
      <c r="A15" s="86" t="s">
        <v>5240</v>
      </c>
      <c r="B15" s="87" t="str">
        <f>IMAGE("https://i.imgur.com/RaAEvYR.png")</f>
        <v/>
      </c>
      <c r="C15" s="41" t="str">
        <f>image("https://i.imgur.com/o4EUd8f.png")</f>
        <v/>
      </c>
      <c r="D15" s="15">
        <v>2219.0</v>
      </c>
      <c r="E15" s="15" t="s">
        <v>94</v>
      </c>
      <c r="F15" s="15" t="s">
        <v>99</v>
      </c>
      <c r="G15" s="15" t="s">
        <v>186</v>
      </c>
      <c r="H15" s="15" t="s">
        <v>38</v>
      </c>
      <c r="I15" s="32">
        <v>5.0</v>
      </c>
      <c r="J15" s="72">
        <v>300.0</v>
      </c>
      <c r="K15" s="72" t="s">
        <v>5242</v>
      </c>
      <c r="L15" s="23" t="s">
        <v>5224</v>
      </c>
      <c r="M15" s="23" t="s">
        <v>4631</v>
      </c>
      <c r="N15" s="23" t="s">
        <v>40</v>
      </c>
      <c r="O15" s="72" t="s">
        <v>4632</v>
      </c>
      <c r="P15" s="72" t="s">
        <v>4632</v>
      </c>
      <c r="Q15" s="93" t="s">
        <v>50</v>
      </c>
      <c r="R15" s="93" t="s">
        <v>50</v>
      </c>
      <c r="S15" s="93" t="s">
        <v>50</v>
      </c>
      <c r="T15" s="93" t="s">
        <v>50</v>
      </c>
      <c r="U15" s="93" t="s">
        <v>50</v>
      </c>
      <c r="V15" s="93" t="s">
        <v>50</v>
      </c>
      <c r="W15" s="93" t="s">
        <v>50</v>
      </c>
      <c r="X15" s="93" t="s">
        <v>50</v>
      </c>
      <c r="Y15" s="93" t="s">
        <v>50</v>
      </c>
      <c r="Z15" s="93" t="s">
        <v>50</v>
      </c>
      <c r="AA15" s="93" t="s">
        <v>50</v>
      </c>
      <c r="AB15" s="93" t="s">
        <v>50</v>
      </c>
    </row>
    <row r="16" ht="56.25" customHeight="1">
      <c r="A16" s="86" t="s">
        <v>5243</v>
      </c>
      <c r="B16" s="87" t="str">
        <f>IMAGE("https://i.imgur.com/aLIWoTl.png")</f>
        <v/>
      </c>
      <c r="C16" s="41" t="str">
        <f>image("https://i.imgur.com/oL096TO.png")</f>
        <v/>
      </c>
      <c r="D16" s="15">
        <v>2229.0</v>
      </c>
      <c r="E16" s="15" t="s">
        <v>99</v>
      </c>
      <c r="F16" s="15" t="s">
        <v>99</v>
      </c>
      <c r="G16" s="15" t="s">
        <v>186</v>
      </c>
      <c r="H16" s="15" t="s">
        <v>38</v>
      </c>
      <c r="I16" s="32">
        <v>18.0</v>
      </c>
      <c r="J16" s="72">
        <v>800.0</v>
      </c>
      <c r="K16" s="72" t="s">
        <v>5242</v>
      </c>
      <c r="L16" s="23" t="s">
        <v>5224</v>
      </c>
      <c r="M16" s="81" t="s">
        <v>4631</v>
      </c>
      <c r="N16" s="81" t="s">
        <v>40</v>
      </c>
      <c r="O16" s="88">
        <v>0.6666666666666666</v>
      </c>
      <c r="P16" s="88">
        <v>0.375</v>
      </c>
      <c r="Q16" s="93" t="s">
        <v>50</v>
      </c>
      <c r="R16" s="93" t="s">
        <v>50</v>
      </c>
      <c r="S16" s="93" t="s">
        <v>50</v>
      </c>
      <c r="T16" s="93" t="s">
        <v>50</v>
      </c>
      <c r="U16" s="93" t="s">
        <v>28</v>
      </c>
      <c r="V16" s="93" t="s">
        <v>28</v>
      </c>
      <c r="W16" s="93" t="s">
        <v>28</v>
      </c>
      <c r="X16" s="93" t="s">
        <v>28</v>
      </c>
      <c r="Y16" s="93" t="s">
        <v>28</v>
      </c>
      <c r="Z16" s="93" t="s">
        <v>28</v>
      </c>
      <c r="AA16" s="93" t="s">
        <v>50</v>
      </c>
      <c r="AB16" s="93" t="s">
        <v>50</v>
      </c>
    </row>
    <row r="17" ht="56.25" customHeight="1">
      <c r="A17" s="86" t="s">
        <v>5244</v>
      </c>
      <c r="B17" s="87" t="str">
        <f>IMAGE("https://i.imgur.com/9MclSeV.png")</f>
        <v/>
      </c>
      <c r="C17" s="41" t="str">
        <f>image("https://i.imgur.com/NRB7x3s.png")</f>
        <v/>
      </c>
      <c r="D17" s="15">
        <v>2239.0</v>
      </c>
      <c r="E17" s="15" t="s">
        <v>118</v>
      </c>
      <c r="F17" s="15" t="s">
        <v>99</v>
      </c>
      <c r="G17" s="15" t="s">
        <v>186</v>
      </c>
      <c r="H17" s="15" t="s">
        <v>38</v>
      </c>
      <c r="I17" s="32">
        <v>28.0</v>
      </c>
      <c r="J17" s="72">
        <v>3800.0</v>
      </c>
      <c r="K17" s="72" t="s">
        <v>5246</v>
      </c>
      <c r="L17" s="23" t="s">
        <v>5227</v>
      </c>
      <c r="M17" s="81" t="s">
        <v>4610</v>
      </c>
      <c r="N17" s="81" t="s">
        <v>40</v>
      </c>
      <c r="O17" s="88">
        <v>0.6666666666666666</v>
      </c>
      <c r="P17" s="88">
        <v>0.375</v>
      </c>
      <c r="Q17" s="93" t="s">
        <v>28</v>
      </c>
      <c r="R17" s="93" t="s">
        <v>28</v>
      </c>
      <c r="S17" s="93" t="s">
        <v>50</v>
      </c>
      <c r="T17" s="93" t="s">
        <v>50</v>
      </c>
      <c r="U17" s="93" t="s">
        <v>50</v>
      </c>
      <c r="V17" s="93" t="s">
        <v>28</v>
      </c>
      <c r="W17" s="93" t="s">
        <v>28</v>
      </c>
      <c r="X17" s="93" t="s">
        <v>28</v>
      </c>
      <c r="Y17" s="93" t="s">
        <v>50</v>
      </c>
      <c r="Z17" s="93" t="s">
        <v>50</v>
      </c>
      <c r="AA17" s="93" t="s">
        <v>50</v>
      </c>
      <c r="AB17" s="93" t="s">
        <v>50</v>
      </c>
    </row>
    <row r="18" ht="56.25" customHeight="1">
      <c r="A18" s="86" t="s">
        <v>5247</v>
      </c>
      <c r="B18" s="87" t="str">
        <f>IMAGE("https://i.imgur.com/iH9LRo5.png")</f>
        <v/>
      </c>
      <c r="C18" s="41" t="str">
        <f>image("https://i.imgur.com/mybracc.png")</f>
        <v/>
      </c>
      <c r="D18" s="15">
        <v>2238.0</v>
      </c>
      <c r="E18" s="15" t="s">
        <v>118</v>
      </c>
      <c r="F18" s="15" t="s">
        <v>99</v>
      </c>
      <c r="G18" s="15" t="s">
        <v>186</v>
      </c>
      <c r="H18" s="15" t="s">
        <v>38</v>
      </c>
      <c r="I18" s="32">
        <v>27.0</v>
      </c>
      <c r="J18" s="72">
        <v>1000.0</v>
      </c>
      <c r="K18" s="72" t="s">
        <v>5246</v>
      </c>
      <c r="L18" s="23" t="s">
        <v>5227</v>
      </c>
      <c r="M18" s="81" t="s">
        <v>4631</v>
      </c>
      <c r="N18" s="81" t="s">
        <v>40</v>
      </c>
      <c r="O18" s="88">
        <v>0.6666666666666666</v>
      </c>
      <c r="P18" s="88">
        <v>0.375</v>
      </c>
      <c r="Q18" s="93" t="s">
        <v>28</v>
      </c>
      <c r="R18" s="93" t="s">
        <v>28</v>
      </c>
      <c r="S18" s="93" t="s">
        <v>50</v>
      </c>
      <c r="T18" s="93" t="s">
        <v>50</v>
      </c>
      <c r="U18" s="93" t="s">
        <v>50</v>
      </c>
      <c r="V18" s="93" t="s">
        <v>28</v>
      </c>
      <c r="W18" s="93" t="s">
        <v>28</v>
      </c>
      <c r="X18" s="93" t="s">
        <v>28</v>
      </c>
      <c r="Y18" s="93" t="s">
        <v>50</v>
      </c>
      <c r="Z18" s="93" t="s">
        <v>50</v>
      </c>
      <c r="AA18" s="93" t="s">
        <v>50</v>
      </c>
      <c r="AB18" s="93" t="s">
        <v>50</v>
      </c>
    </row>
    <row r="19" ht="56.25" customHeight="1">
      <c r="A19" s="86" t="s">
        <v>5249</v>
      </c>
      <c r="B19" s="87" t="str">
        <f>IMAGE("https://i.imgur.com/Cyc7wRe.png")</f>
        <v/>
      </c>
      <c r="C19" s="41" t="str">
        <f>image("https://i.imgur.com/A2GrXfJ.png")</f>
        <v/>
      </c>
      <c r="D19" s="15">
        <v>2257.0</v>
      </c>
      <c r="E19" s="15" t="s">
        <v>521</v>
      </c>
      <c r="F19" s="15" t="s">
        <v>99</v>
      </c>
      <c r="G19" s="15" t="s">
        <v>186</v>
      </c>
      <c r="H19" s="15" t="s">
        <v>38</v>
      </c>
      <c r="I19" s="32">
        <v>49.0</v>
      </c>
      <c r="J19" s="72">
        <v>650.0</v>
      </c>
      <c r="K19" s="72" t="s">
        <v>84</v>
      </c>
      <c r="L19" s="23" t="s">
        <v>5232</v>
      </c>
      <c r="M19" s="23" t="s">
        <v>4631</v>
      </c>
      <c r="N19" s="23" t="s">
        <v>40</v>
      </c>
      <c r="O19" s="72" t="s">
        <v>4632</v>
      </c>
      <c r="P19" s="72" t="s">
        <v>4632</v>
      </c>
      <c r="Q19" s="93" t="s">
        <v>50</v>
      </c>
      <c r="R19" s="93" t="s">
        <v>50</v>
      </c>
      <c r="S19" s="93" t="s">
        <v>50</v>
      </c>
      <c r="T19" s="93" t="s">
        <v>28</v>
      </c>
      <c r="U19" s="93" t="s">
        <v>28</v>
      </c>
      <c r="V19" s="93" t="s">
        <v>28</v>
      </c>
      <c r="W19" s="93" t="s">
        <v>28</v>
      </c>
      <c r="X19" s="93" t="s">
        <v>28</v>
      </c>
      <c r="Y19" s="93" t="s">
        <v>28</v>
      </c>
      <c r="Z19" s="93" t="s">
        <v>50</v>
      </c>
      <c r="AA19" s="93" t="s">
        <v>50</v>
      </c>
      <c r="AB19" s="93" t="s">
        <v>50</v>
      </c>
    </row>
    <row r="20" ht="56.25" customHeight="1">
      <c r="A20" s="86" t="s">
        <v>5250</v>
      </c>
      <c r="B20" s="87" t="str">
        <f>IMAGE("https://i.imgur.com/ver2Adw.png")</f>
        <v/>
      </c>
      <c r="C20" s="41" t="str">
        <f>image("https://i.imgur.com/JeIIUjr.png")</f>
        <v/>
      </c>
      <c r="D20" s="15">
        <v>2284.0</v>
      </c>
      <c r="E20" s="15" t="s">
        <v>99</v>
      </c>
      <c r="F20" s="15" t="s">
        <v>99</v>
      </c>
      <c r="G20" s="15" t="s">
        <v>186</v>
      </c>
      <c r="H20" s="15" t="s">
        <v>130</v>
      </c>
      <c r="I20" s="32">
        <v>80.0</v>
      </c>
      <c r="J20" s="72">
        <v>15000.0</v>
      </c>
      <c r="K20" s="72" t="s">
        <v>5251</v>
      </c>
      <c r="L20" s="23" t="s">
        <v>5222</v>
      </c>
      <c r="M20" s="23" t="s">
        <v>4697</v>
      </c>
      <c r="N20" s="23" t="s">
        <v>53</v>
      </c>
      <c r="O20" s="72" t="s">
        <v>4632</v>
      </c>
      <c r="P20" s="72" t="s">
        <v>4632</v>
      </c>
      <c r="Q20" s="93" t="s">
        <v>50</v>
      </c>
      <c r="R20" s="93" t="s">
        <v>50</v>
      </c>
      <c r="S20" s="93" t="s">
        <v>50</v>
      </c>
      <c r="T20" s="93" t="s">
        <v>50</v>
      </c>
      <c r="U20" s="93" t="s">
        <v>50</v>
      </c>
      <c r="V20" s="93" t="s">
        <v>50</v>
      </c>
      <c r="W20" s="93" t="s">
        <v>50</v>
      </c>
      <c r="X20" s="93" t="s">
        <v>50</v>
      </c>
      <c r="Y20" s="93" t="s">
        <v>50</v>
      </c>
      <c r="Z20" s="93" t="s">
        <v>50</v>
      </c>
      <c r="AA20" s="93" t="s">
        <v>50</v>
      </c>
      <c r="AB20" s="93" t="s">
        <v>50</v>
      </c>
    </row>
    <row r="21" ht="56.25" customHeight="1">
      <c r="A21" s="86" t="s">
        <v>5252</v>
      </c>
      <c r="B21" s="87" t="str">
        <f>IMAGE("https://i.imgur.com/0CBQNoz.png")</f>
        <v/>
      </c>
      <c r="C21" s="41" t="str">
        <f>image("https://i.imgur.com/U7Yc9Iw.png")</f>
        <v/>
      </c>
      <c r="D21" s="15">
        <v>2223.0</v>
      </c>
      <c r="E21" s="15" t="s">
        <v>208</v>
      </c>
      <c r="F21" s="15" t="s">
        <v>99</v>
      </c>
      <c r="G21" s="15" t="s">
        <v>186</v>
      </c>
      <c r="H21" s="15" t="s">
        <v>38</v>
      </c>
      <c r="I21" s="32">
        <v>11.0</v>
      </c>
      <c r="J21" s="72">
        <v>200.0</v>
      </c>
      <c r="K21" s="72" t="s">
        <v>5242</v>
      </c>
      <c r="L21" s="23" t="s">
        <v>5217</v>
      </c>
      <c r="M21" s="23" t="s">
        <v>4631</v>
      </c>
      <c r="N21" s="23" t="s">
        <v>40</v>
      </c>
      <c r="O21" s="72" t="s">
        <v>4632</v>
      </c>
      <c r="P21" s="72" t="s">
        <v>4632</v>
      </c>
      <c r="Q21" s="93" t="s">
        <v>50</v>
      </c>
      <c r="R21" s="93" t="s">
        <v>50</v>
      </c>
      <c r="S21" s="93" t="s">
        <v>50</v>
      </c>
      <c r="T21" s="93" t="s">
        <v>28</v>
      </c>
      <c r="U21" s="93" t="s">
        <v>28</v>
      </c>
      <c r="V21" s="93" t="s">
        <v>28</v>
      </c>
      <c r="W21" s="93" t="s">
        <v>28</v>
      </c>
      <c r="X21" s="93" t="s">
        <v>28</v>
      </c>
      <c r="Y21" s="93" t="s">
        <v>28</v>
      </c>
      <c r="Z21" s="93" t="s">
        <v>50</v>
      </c>
      <c r="AA21" s="93" t="s">
        <v>50</v>
      </c>
      <c r="AB21" s="93" t="s">
        <v>50</v>
      </c>
    </row>
    <row r="22" ht="56.25" customHeight="1">
      <c r="A22" s="86" t="s">
        <v>5254</v>
      </c>
      <c r="B22" s="87" t="str">
        <f>IMAGE("https://i.imgur.com/vm9H7bJ.png")</f>
        <v/>
      </c>
      <c r="C22" s="41" t="str">
        <f>image("https://i.imgur.com/ufiWC7t.png")</f>
        <v/>
      </c>
      <c r="D22" s="15">
        <v>328.0</v>
      </c>
      <c r="E22" s="15" t="s">
        <v>118</v>
      </c>
      <c r="F22" s="15" t="s">
        <v>99</v>
      </c>
      <c r="G22" s="15" t="s">
        <v>186</v>
      </c>
      <c r="H22" s="15" t="s">
        <v>38</v>
      </c>
      <c r="I22" s="32">
        <v>3.0</v>
      </c>
      <c r="J22" s="72">
        <v>160.0</v>
      </c>
      <c r="K22" s="72" t="s">
        <v>5220</v>
      </c>
      <c r="L22" s="23" t="s">
        <v>5217</v>
      </c>
      <c r="M22" s="23" t="s">
        <v>4631</v>
      </c>
      <c r="N22" s="23" t="s">
        <v>40</v>
      </c>
      <c r="O22" s="72" t="s">
        <v>4632</v>
      </c>
      <c r="P22" s="72" t="s">
        <v>4632</v>
      </c>
      <c r="Q22" s="93" t="s">
        <v>50</v>
      </c>
      <c r="R22" s="93" t="s">
        <v>50</v>
      </c>
      <c r="S22" s="93" t="s">
        <v>50</v>
      </c>
      <c r="T22" s="93" t="s">
        <v>50</v>
      </c>
      <c r="U22" s="93" t="s">
        <v>50</v>
      </c>
      <c r="V22" s="93" t="s">
        <v>50</v>
      </c>
      <c r="W22" s="93" t="s">
        <v>50</v>
      </c>
      <c r="X22" s="93" t="s">
        <v>50</v>
      </c>
      <c r="Y22" s="93" t="s">
        <v>50</v>
      </c>
      <c r="Z22" s="93" t="s">
        <v>50</v>
      </c>
      <c r="AA22" s="93" t="s">
        <v>50</v>
      </c>
      <c r="AB22" s="93" t="s">
        <v>50</v>
      </c>
    </row>
    <row r="23" ht="56.25" customHeight="1">
      <c r="A23" s="86" t="s">
        <v>5255</v>
      </c>
      <c r="B23" s="87" t="str">
        <f>IMAGE("https://i.imgur.com/tLLN871.png")</f>
        <v/>
      </c>
      <c r="C23" s="41" t="str">
        <f>image("https://i.imgur.com/MyznrlR.png")</f>
        <v/>
      </c>
      <c r="D23" s="15">
        <v>2268.0</v>
      </c>
      <c r="E23" s="15" t="s">
        <v>118</v>
      </c>
      <c r="F23" s="15" t="s">
        <v>99</v>
      </c>
      <c r="G23" s="15" t="s">
        <v>186</v>
      </c>
      <c r="H23" s="15" t="s">
        <v>38</v>
      </c>
      <c r="I23" s="32">
        <v>61.0</v>
      </c>
      <c r="J23" s="72">
        <v>300.0</v>
      </c>
      <c r="K23" s="72" t="s">
        <v>84</v>
      </c>
      <c r="L23" s="23" t="s">
        <v>5227</v>
      </c>
      <c r="M23" s="23" t="s">
        <v>4631</v>
      </c>
      <c r="N23" s="23" t="s">
        <v>40</v>
      </c>
      <c r="O23" s="72" t="s">
        <v>4632</v>
      </c>
      <c r="P23" s="72" t="s">
        <v>4632</v>
      </c>
      <c r="Q23" s="93" t="s">
        <v>28</v>
      </c>
      <c r="R23" s="93" t="s">
        <v>28</v>
      </c>
      <c r="S23" s="93" t="s">
        <v>28</v>
      </c>
      <c r="T23" s="93" t="s">
        <v>50</v>
      </c>
      <c r="U23" s="93" t="s">
        <v>50</v>
      </c>
      <c r="V23" s="93" t="s">
        <v>50</v>
      </c>
      <c r="W23" s="93" t="s">
        <v>50</v>
      </c>
      <c r="X23" s="93" t="s">
        <v>50</v>
      </c>
      <c r="Y23" s="93" t="s">
        <v>50</v>
      </c>
      <c r="Z23" s="93" t="s">
        <v>50</v>
      </c>
      <c r="AA23" s="93" t="s">
        <v>28</v>
      </c>
      <c r="AB23" s="93" t="s">
        <v>28</v>
      </c>
    </row>
    <row r="24" ht="56.25" customHeight="1">
      <c r="A24" s="86" t="s">
        <v>5256</v>
      </c>
      <c r="B24" s="87" t="str">
        <f>IMAGE("https://imgur.com/9FGVRxJ.png")</f>
        <v/>
      </c>
      <c r="C24" s="41" t="str">
        <f>image("https://i.imgur.com/37fMB7M.png")</f>
        <v/>
      </c>
      <c r="D24" s="15">
        <v>2217.0</v>
      </c>
      <c r="E24" s="15" t="s">
        <v>118</v>
      </c>
      <c r="F24" s="15" t="s">
        <v>99</v>
      </c>
      <c r="G24" s="15" t="s">
        <v>186</v>
      </c>
      <c r="H24" s="15" t="s">
        <v>38</v>
      </c>
      <c r="I24" s="32">
        <v>4.0</v>
      </c>
      <c r="J24" s="72">
        <v>240.0</v>
      </c>
      <c r="K24" s="72" t="s">
        <v>5220</v>
      </c>
      <c r="L24" s="23" t="s">
        <v>5227</v>
      </c>
      <c r="M24" s="81" t="s">
        <v>4631</v>
      </c>
      <c r="N24" s="81" t="s">
        <v>40</v>
      </c>
      <c r="O24" s="88">
        <v>0.6666666666666666</v>
      </c>
      <c r="P24" s="88">
        <v>0.375</v>
      </c>
      <c r="Q24" s="93" t="s">
        <v>50</v>
      </c>
      <c r="R24" s="93" t="s">
        <v>50</v>
      </c>
      <c r="S24" s="93" t="s">
        <v>50</v>
      </c>
      <c r="T24" s="93" t="s">
        <v>50</v>
      </c>
      <c r="U24" s="93" t="s">
        <v>50</v>
      </c>
      <c r="V24" s="93" t="s">
        <v>50</v>
      </c>
      <c r="W24" s="93" t="s">
        <v>50</v>
      </c>
      <c r="X24" s="93" t="s">
        <v>50</v>
      </c>
      <c r="Y24" s="93" t="s">
        <v>50</v>
      </c>
      <c r="Z24" s="93" t="s">
        <v>50</v>
      </c>
      <c r="AA24" s="93" t="s">
        <v>50</v>
      </c>
      <c r="AB24" s="93" t="s">
        <v>50</v>
      </c>
    </row>
    <row r="25" ht="56.25" customHeight="1">
      <c r="A25" s="86" t="s">
        <v>5258</v>
      </c>
      <c r="B25" s="87" t="str">
        <f>IMAGE("https://i.imgur.com/eqKLRy7.png")</f>
        <v/>
      </c>
      <c r="C25" s="41" t="str">
        <f>image("https://i.imgur.com/ZcF4zSw.png")</f>
        <v/>
      </c>
      <c r="D25" s="15">
        <v>2251.0</v>
      </c>
      <c r="E25" s="15" t="s">
        <v>211</v>
      </c>
      <c r="F25" s="15" t="s">
        <v>99</v>
      </c>
      <c r="G25" s="15" t="s">
        <v>186</v>
      </c>
      <c r="H25" s="15" t="s">
        <v>130</v>
      </c>
      <c r="I25" s="32">
        <v>42.0</v>
      </c>
      <c r="J25" s="72">
        <v>15000.0</v>
      </c>
      <c r="K25" s="72" t="s">
        <v>5220</v>
      </c>
      <c r="L25" s="23" t="s">
        <v>5259</v>
      </c>
      <c r="M25" s="81" t="s">
        <v>4697</v>
      </c>
      <c r="N25" s="81" t="s">
        <v>40</v>
      </c>
      <c r="O25" s="88">
        <v>0.16666666666666666</v>
      </c>
      <c r="P25" s="88">
        <v>0.875</v>
      </c>
      <c r="Q25" s="93" t="s">
        <v>50</v>
      </c>
      <c r="R25" s="93" t="s">
        <v>50</v>
      </c>
      <c r="S25" s="93" t="s">
        <v>50</v>
      </c>
      <c r="T25" s="93" t="s">
        <v>28</v>
      </c>
      <c r="U25" s="93" t="s">
        <v>28</v>
      </c>
      <c r="V25" s="93" t="s">
        <v>28</v>
      </c>
      <c r="W25" s="93" t="s">
        <v>28</v>
      </c>
      <c r="X25" s="93" t="s">
        <v>28</v>
      </c>
      <c r="Y25" s="93" t="s">
        <v>28</v>
      </c>
      <c r="Z25" s="93" t="s">
        <v>28</v>
      </c>
      <c r="AA25" s="93" t="s">
        <v>28</v>
      </c>
      <c r="AB25" s="93" t="s">
        <v>50</v>
      </c>
    </row>
    <row r="26" ht="56.25" customHeight="1">
      <c r="A26" s="86" t="s">
        <v>5260</v>
      </c>
      <c r="B26" s="87" t="str">
        <f>IMAGE("https://i.imgur.com/kLXlrsU.png")</f>
        <v/>
      </c>
      <c r="C26" s="41" t="str">
        <f>image("https://i.imgur.com/AI1SS5M.png")</f>
        <v/>
      </c>
      <c r="D26" s="15">
        <v>2273.0</v>
      </c>
      <c r="E26" s="15" t="s">
        <v>99</v>
      </c>
      <c r="F26" s="15" t="s">
        <v>99</v>
      </c>
      <c r="G26" s="15" t="s">
        <v>365</v>
      </c>
      <c r="H26" s="15" t="s">
        <v>130</v>
      </c>
      <c r="I26" s="32">
        <v>77.0</v>
      </c>
      <c r="J26" s="72">
        <v>2500.0</v>
      </c>
      <c r="K26" s="72" t="s">
        <v>84</v>
      </c>
      <c r="L26" s="23" t="s">
        <v>5224</v>
      </c>
      <c r="M26" s="81" t="s">
        <v>4610</v>
      </c>
      <c r="N26" s="81" t="s">
        <v>40</v>
      </c>
      <c r="O26" s="88">
        <v>0.6666666666666666</v>
      </c>
      <c r="P26" s="88">
        <v>0.375</v>
      </c>
      <c r="Q26" s="93" t="s">
        <v>28</v>
      </c>
      <c r="R26" s="93" t="s">
        <v>28</v>
      </c>
      <c r="S26" s="93" t="s">
        <v>28</v>
      </c>
      <c r="T26" s="93" t="s">
        <v>28</v>
      </c>
      <c r="U26" s="93" t="s">
        <v>50</v>
      </c>
      <c r="V26" s="93" t="s">
        <v>50</v>
      </c>
      <c r="W26" s="93" t="s">
        <v>50</v>
      </c>
      <c r="X26" s="93" t="s">
        <v>50</v>
      </c>
      <c r="Y26" s="93" t="s">
        <v>50</v>
      </c>
      <c r="Z26" s="93" t="s">
        <v>28</v>
      </c>
      <c r="AA26" s="93" t="s">
        <v>28</v>
      </c>
      <c r="AB26" s="93" t="s">
        <v>28</v>
      </c>
    </row>
    <row r="27" ht="56.25" customHeight="1">
      <c r="A27" s="86" t="s">
        <v>5261</v>
      </c>
      <c r="B27" s="87" t="str">
        <f>IMAGE("https://i.imgur.com/j7kZT4I.png")</f>
        <v/>
      </c>
      <c r="C27" s="41" t="str">
        <f>image("https://i.imgur.com/3uOEYnt.png")</f>
        <v/>
      </c>
      <c r="D27" s="15">
        <v>2227.0</v>
      </c>
      <c r="E27" s="15" t="s">
        <v>118</v>
      </c>
      <c r="F27" s="15" t="s">
        <v>99</v>
      </c>
      <c r="G27" s="15" t="s">
        <v>186</v>
      </c>
      <c r="H27" s="15" t="s">
        <v>38</v>
      </c>
      <c r="I27" s="32">
        <v>16.0</v>
      </c>
      <c r="J27" s="72">
        <v>400.0</v>
      </c>
      <c r="K27" s="72" t="s">
        <v>5220</v>
      </c>
      <c r="L27" s="23" t="s">
        <v>5217</v>
      </c>
      <c r="M27" s="81" t="s">
        <v>4631</v>
      </c>
      <c r="N27" s="81" t="s">
        <v>40</v>
      </c>
      <c r="O27" s="88">
        <v>0.6666666666666666</v>
      </c>
      <c r="P27" s="88">
        <v>0.375</v>
      </c>
      <c r="Q27" s="93" t="s">
        <v>50</v>
      </c>
      <c r="R27" s="93" t="s">
        <v>50</v>
      </c>
      <c r="S27" s="93" t="s">
        <v>50</v>
      </c>
      <c r="T27" s="93" t="s">
        <v>50</v>
      </c>
      <c r="U27" s="93" t="s">
        <v>50</v>
      </c>
      <c r="V27" s="93" t="s">
        <v>50</v>
      </c>
      <c r="W27" s="93" t="s">
        <v>50</v>
      </c>
      <c r="X27" s="93" t="s">
        <v>50</v>
      </c>
      <c r="Y27" s="93" t="s">
        <v>50</v>
      </c>
      <c r="Z27" s="93" t="s">
        <v>50</v>
      </c>
      <c r="AA27" s="93" t="s">
        <v>50</v>
      </c>
      <c r="AB27" s="93" t="s">
        <v>50</v>
      </c>
    </row>
    <row r="28" ht="56.25" customHeight="1">
      <c r="A28" s="86" t="s">
        <v>5263</v>
      </c>
      <c r="B28" s="87" t="str">
        <f>IMAGE("https://i.imgur.com/4s4OcoK.png")</f>
        <v/>
      </c>
      <c r="C28" s="41" t="str">
        <f>image("https://i.imgur.com/NwcGwTr.png")</f>
        <v/>
      </c>
      <c r="D28" s="15">
        <v>2226.0</v>
      </c>
      <c r="E28" s="15" t="s">
        <v>369</v>
      </c>
      <c r="F28" s="15" t="s">
        <v>99</v>
      </c>
      <c r="G28" s="15" t="s">
        <v>186</v>
      </c>
      <c r="H28" s="15" t="s">
        <v>38</v>
      </c>
      <c r="I28" s="32">
        <v>15.0</v>
      </c>
      <c r="J28" s="72">
        <v>120.0</v>
      </c>
      <c r="K28" s="72" t="s">
        <v>5242</v>
      </c>
      <c r="L28" s="23" t="s">
        <v>5217</v>
      </c>
      <c r="M28" s="23" t="s">
        <v>4631</v>
      </c>
      <c r="N28" s="23" t="s">
        <v>40</v>
      </c>
      <c r="O28" s="72" t="s">
        <v>4632</v>
      </c>
      <c r="P28" s="72" t="s">
        <v>4632</v>
      </c>
      <c r="Q28" s="93" t="s">
        <v>50</v>
      </c>
      <c r="R28" s="93" t="s">
        <v>50</v>
      </c>
      <c r="S28" s="93" t="s">
        <v>28</v>
      </c>
      <c r="T28" s="93" t="s">
        <v>28</v>
      </c>
      <c r="U28" s="93" t="s">
        <v>28</v>
      </c>
      <c r="V28" s="93" t="s">
        <v>28</v>
      </c>
      <c r="W28" s="93" t="s">
        <v>28</v>
      </c>
      <c r="X28" s="93" t="s">
        <v>28</v>
      </c>
      <c r="Y28" s="93" t="s">
        <v>28</v>
      </c>
      <c r="Z28" s="93" t="s">
        <v>28</v>
      </c>
      <c r="AA28" s="93" t="s">
        <v>50</v>
      </c>
      <c r="AB28" s="93" t="s">
        <v>50</v>
      </c>
    </row>
    <row r="29" ht="56.25" customHeight="1">
      <c r="A29" s="86" t="s">
        <v>5264</v>
      </c>
      <c r="B29" s="87" t="str">
        <f>IMAGE("https://i.imgur.com/YF5N0YS.png")</f>
        <v/>
      </c>
      <c r="C29" s="41" t="str">
        <f>image("https://i.imgur.com/odaeBOs.png")</f>
        <v/>
      </c>
      <c r="D29" s="15">
        <v>2252.0</v>
      </c>
      <c r="E29" s="15" t="s">
        <v>118</v>
      </c>
      <c r="F29" s="15" t="s">
        <v>99</v>
      </c>
      <c r="G29" s="15" t="s">
        <v>186</v>
      </c>
      <c r="H29" s="15" t="s">
        <v>130</v>
      </c>
      <c r="I29" s="32">
        <v>43.0</v>
      </c>
      <c r="J29" s="72">
        <v>6000.0</v>
      </c>
      <c r="K29" s="72" t="s">
        <v>5242</v>
      </c>
      <c r="L29" s="23" t="s">
        <v>5259</v>
      </c>
      <c r="M29" s="81" t="s">
        <v>4643</v>
      </c>
      <c r="N29" s="81" t="s">
        <v>40</v>
      </c>
      <c r="O29" s="88">
        <v>0.6666666666666666</v>
      </c>
      <c r="P29" s="88">
        <v>0.375</v>
      </c>
      <c r="Q29" s="93" t="s">
        <v>50</v>
      </c>
      <c r="R29" s="93" t="s">
        <v>50</v>
      </c>
      <c r="S29" s="93" t="s">
        <v>50</v>
      </c>
      <c r="T29" s="93" t="s">
        <v>28</v>
      </c>
      <c r="U29" s="93" t="s">
        <v>28</v>
      </c>
      <c r="V29" s="93" t="s">
        <v>28</v>
      </c>
      <c r="W29" s="93" t="s">
        <v>28</v>
      </c>
      <c r="X29" s="93" t="s">
        <v>28</v>
      </c>
      <c r="Y29" s="93" t="s">
        <v>28</v>
      </c>
      <c r="Z29" s="93" t="s">
        <v>28</v>
      </c>
      <c r="AA29" s="93" t="s">
        <v>28</v>
      </c>
      <c r="AB29" s="93" t="s">
        <v>50</v>
      </c>
    </row>
    <row r="30" ht="56.25" customHeight="1">
      <c r="A30" s="86" t="s">
        <v>5266</v>
      </c>
      <c r="B30" s="87" t="str">
        <f>IMAGE("https://i.imgur.com/iwMiVDi.png")</f>
        <v/>
      </c>
      <c r="C30" s="41" t="str">
        <f>image("https://i.imgur.com/H4wlm0G.png")</f>
        <v/>
      </c>
      <c r="D30" s="15">
        <v>2231.0</v>
      </c>
      <c r="E30" s="15" t="s">
        <v>99</v>
      </c>
      <c r="F30" s="15" t="s">
        <v>99</v>
      </c>
      <c r="G30" s="15" t="s">
        <v>186</v>
      </c>
      <c r="H30" s="15" t="s">
        <v>130</v>
      </c>
      <c r="I30" s="32">
        <v>19.0</v>
      </c>
      <c r="J30" s="72">
        <v>5500.0</v>
      </c>
      <c r="K30" s="72" t="s">
        <v>5242</v>
      </c>
      <c r="L30" s="23" t="s">
        <v>5224</v>
      </c>
      <c r="M30" s="81" t="s">
        <v>4643</v>
      </c>
      <c r="N30" s="81" t="s">
        <v>40</v>
      </c>
      <c r="O30" s="88">
        <v>0.375</v>
      </c>
      <c r="P30" s="88">
        <v>0.6666666666666666</v>
      </c>
      <c r="Q30" s="93" t="s">
        <v>50</v>
      </c>
      <c r="R30" s="93" t="s">
        <v>50</v>
      </c>
      <c r="S30" s="93" t="s">
        <v>28</v>
      </c>
      <c r="T30" s="93" t="s">
        <v>28</v>
      </c>
      <c r="U30" s="93" t="s">
        <v>28</v>
      </c>
      <c r="V30" s="93" t="s">
        <v>28</v>
      </c>
      <c r="W30" s="93" t="s">
        <v>28</v>
      </c>
      <c r="X30" s="93" t="s">
        <v>28</v>
      </c>
      <c r="Y30" s="93" t="s">
        <v>28</v>
      </c>
      <c r="Z30" s="93" t="s">
        <v>28</v>
      </c>
      <c r="AA30" s="93" t="s">
        <v>28</v>
      </c>
      <c r="AB30" s="93" t="s">
        <v>50</v>
      </c>
    </row>
    <row r="31" ht="56.25" customHeight="1">
      <c r="A31" s="86" t="s">
        <v>5267</v>
      </c>
      <c r="B31" s="87" t="str">
        <f>IMAGE("https://i.imgur.com/QQTaTjS.png")</f>
        <v/>
      </c>
      <c r="C31" s="41" t="str">
        <f>image("https://i.imgur.com/OfQO5iq.png")</f>
        <v/>
      </c>
      <c r="D31" s="15">
        <v>2276.0</v>
      </c>
      <c r="E31" s="15" t="s">
        <v>99</v>
      </c>
      <c r="F31" s="15" t="s">
        <v>99</v>
      </c>
      <c r="G31" s="15" t="s">
        <v>186</v>
      </c>
      <c r="H31" s="15" t="s">
        <v>130</v>
      </c>
      <c r="I31" s="32">
        <v>68.0</v>
      </c>
      <c r="J31" s="72">
        <v>4500.0</v>
      </c>
      <c r="K31" s="72" t="s">
        <v>5237</v>
      </c>
      <c r="L31" s="23" t="s">
        <v>5259</v>
      </c>
      <c r="M31" s="23" t="s">
        <v>4610</v>
      </c>
      <c r="N31" s="23" t="s">
        <v>40</v>
      </c>
      <c r="O31" s="72" t="s">
        <v>4632</v>
      </c>
      <c r="P31" s="72" t="s">
        <v>4632</v>
      </c>
      <c r="Q31" s="93" t="s">
        <v>50</v>
      </c>
      <c r="R31" s="93" t="s">
        <v>50</v>
      </c>
      <c r="S31" s="93" t="s">
        <v>50</v>
      </c>
      <c r="T31" s="93" t="s">
        <v>50</v>
      </c>
      <c r="U31" s="93" t="s">
        <v>28</v>
      </c>
      <c r="V31" s="93" t="s">
        <v>28</v>
      </c>
      <c r="W31" s="93" t="s">
        <v>28</v>
      </c>
      <c r="X31" s="93" t="s">
        <v>28</v>
      </c>
      <c r="Y31" s="93" t="s">
        <v>28</v>
      </c>
      <c r="Z31" s="93" t="s">
        <v>28</v>
      </c>
      <c r="AA31" s="93" t="s">
        <v>50</v>
      </c>
      <c r="AB31" s="93" t="s">
        <v>50</v>
      </c>
    </row>
    <row r="32" ht="56.25" customHeight="1">
      <c r="A32" s="86" t="s">
        <v>5269</v>
      </c>
      <c r="B32" s="87" t="str">
        <f>IMAGE("https://i.imgur.com/WprLFOn.png")</f>
        <v/>
      </c>
      <c r="C32" s="41" t="str">
        <f>image("https://i.imgur.com/cqHgvxj.png")</f>
        <v/>
      </c>
      <c r="D32" s="15">
        <v>4193.0</v>
      </c>
      <c r="E32" s="15" t="s">
        <v>118</v>
      </c>
      <c r="F32" s="15" t="s">
        <v>99</v>
      </c>
      <c r="G32" s="15" t="s">
        <v>186</v>
      </c>
      <c r="H32" s="15" t="s">
        <v>38</v>
      </c>
      <c r="I32" s="32">
        <v>29.0</v>
      </c>
      <c r="J32" s="72">
        <v>15000.0</v>
      </c>
      <c r="K32" s="72" t="s">
        <v>5246</v>
      </c>
      <c r="L32" s="23" t="s">
        <v>5227</v>
      </c>
      <c r="M32" s="81" t="s">
        <v>4697</v>
      </c>
      <c r="N32" s="81" t="s">
        <v>40</v>
      </c>
      <c r="O32" s="88">
        <v>0.6666666666666666</v>
      </c>
      <c r="P32" s="88">
        <v>0.375</v>
      </c>
      <c r="Q32" s="93" t="s">
        <v>28</v>
      </c>
      <c r="R32" s="93" t="s">
        <v>28</v>
      </c>
      <c r="S32" s="93" t="s">
        <v>50</v>
      </c>
      <c r="T32" s="93" t="s">
        <v>50</v>
      </c>
      <c r="U32" s="93" t="s">
        <v>50</v>
      </c>
      <c r="V32" s="93" t="s">
        <v>28</v>
      </c>
      <c r="W32" s="93" t="s">
        <v>28</v>
      </c>
      <c r="X32" s="93" t="s">
        <v>28</v>
      </c>
      <c r="Y32" s="93" t="s">
        <v>50</v>
      </c>
      <c r="Z32" s="93" t="s">
        <v>50</v>
      </c>
      <c r="AA32" s="93" t="s">
        <v>50</v>
      </c>
      <c r="AB32" s="93" t="s">
        <v>28</v>
      </c>
    </row>
    <row r="33" ht="56.25" customHeight="1">
      <c r="A33" s="86" t="s">
        <v>5270</v>
      </c>
      <c r="B33" s="87" t="str">
        <f>IMAGE("https://i.imgur.com/i0rqPYo.png")</f>
        <v/>
      </c>
      <c r="C33" s="41" t="str">
        <f>image("https://i.imgur.com/ebOW14X.png")</f>
        <v/>
      </c>
      <c r="D33" s="15">
        <v>329.0</v>
      </c>
      <c r="E33" s="15" t="s">
        <v>208</v>
      </c>
      <c r="F33" s="15" t="s">
        <v>1614</v>
      </c>
      <c r="G33" s="15" t="s">
        <v>41</v>
      </c>
      <c r="H33" s="15" t="s">
        <v>38</v>
      </c>
      <c r="I33" s="32">
        <v>7.0</v>
      </c>
      <c r="J33" s="72">
        <v>1300.0</v>
      </c>
      <c r="K33" s="72" t="s">
        <v>5242</v>
      </c>
      <c r="L33" s="23" t="s">
        <v>5232</v>
      </c>
      <c r="M33" s="23" t="s">
        <v>4631</v>
      </c>
      <c r="N33" s="23" t="s">
        <v>40</v>
      </c>
      <c r="O33" s="72" t="s">
        <v>4632</v>
      </c>
      <c r="P33" s="72" t="s">
        <v>4632</v>
      </c>
      <c r="Q33" s="93" t="s">
        <v>50</v>
      </c>
      <c r="R33" s="93" t="s">
        <v>50</v>
      </c>
      <c r="S33" s="93" t="s">
        <v>50</v>
      </c>
      <c r="T33" s="93" t="s">
        <v>50</v>
      </c>
      <c r="U33" s="93" t="s">
        <v>50</v>
      </c>
      <c r="V33" s="93" t="s">
        <v>50</v>
      </c>
      <c r="W33" s="93" t="s">
        <v>50</v>
      </c>
      <c r="X33" s="93" t="s">
        <v>50</v>
      </c>
      <c r="Y33" s="93" t="s">
        <v>50</v>
      </c>
      <c r="Z33" s="93" t="s">
        <v>50</v>
      </c>
      <c r="AA33" s="93" t="s">
        <v>50</v>
      </c>
      <c r="AB33" s="93" t="s">
        <v>50</v>
      </c>
    </row>
    <row r="34" ht="56.25" customHeight="1">
      <c r="A34" s="86" t="s">
        <v>5272</v>
      </c>
      <c r="B34" s="87" t="str">
        <f>IMAGE("https://i.imgur.com/ryN4VnR.png")</f>
        <v/>
      </c>
      <c r="C34" s="41" t="str">
        <f>image("https://i.imgur.com/JJWoW97.png")</f>
        <v/>
      </c>
      <c r="D34" s="15">
        <v>2280.0</v>
      </c>
      <c r="E34" s="15" t="s">
        <v>112</v>
      </c>
      <c r="F34" s="15" t="s">
        <v>112</v>
      </c>
      <c r="G34" s="15" t="s">
        <v>41</v>
      </c>
      <c r="H34" s="15" t="s">
        <v>1748</v>
      </c>
      <c r="I34" s="32">
        <v>74.0</v>
      </c>
      <c r="J34" s="72">
        <v>15000.0</v>
      </c>
      <c r="K34" s="72" t="s">
        <v>84</v>
      </c>
      <c r="L34" s="23" t="s">
        <v>5273</v>
      </c>
      <c r="M34" s="81" t="s">
        <v>4643</v>
      </c>
      <c r="N34" s="81" t="s">
        <v>53</v>
      </c>
      <c r="O34" s="88">
        <v>0.6666666666666666</v>
      </c>
      <c r="P34" s="88">
        <v>0.375</v>
      </c>
      <c r="Q34" s="93" t="s">
        <v>50</v>
      </c>
      <c r="R34" s="93" t="s">
        <v>50</v>
      </c>
      <c r="S34" s="93" t="s">
        <v>50</v>
      </c>
      <c r="T34" s="93" t="s">
        <v>28</v>
      </c>
      <c r="U34" s="93" t="s">
        <v>28</v>
      </c>
      <c r="V34" s="93" t="s">
        <v>28</v>
      </c>
      <c r="W34" s="93" t="s">
        <v>28</v>
      </c>
      <c r="X34" s="93" t="s">
        <v>28</v>
      </c>
      <c r="Y34" s="93" t="s">
        <v>28</v>
      </c>
      <c r="Z34" s="93" t="s">
        <v>28</v>
      </c>
      <c r="AA34" s="93" t="s">
        <v>28</v>
      </c>
      <c r="AB34" s="93" t="s">
        <v>50</v>
      </c>
    </row>
    <row r="35" ht="56.25" customHeight="1">
      <c r="A35" s="86" t="s">
        <v>5274</v>
      </c>
      <c r="B35" s="87" t="str">
        <f>IMAGE("https://i.imgur.com/ySTFt4E.png")</f>
        <v/>
      </c>
      <c r="C35" s="41" t="str">
        <f>image("https://i.imgur.com/hKlOSx0.png")</f>
        <v/>
      </c>
      <c r="D35" s="15">
        <v>2245.0</v>
      </c>
      <c r="E35" s="15" t="s">
        <v>112</v>
      </c>
      <c r="F35" s="15" t="s">
        <v>99</v>
      </c>
      <c r="G35" s="15" t="s">
        <v>186</v>
      </c>
      <c r="H35" s="15" t="s">
        <v>38</v>
      </c>
      <c r="I35" s="32">
        <v>34.0</v>
      </c>
      <c r="J35" s="72">
        <v>1300.0</v>
      </c>
      <c r="K35" s="72" t="s">
        <v>5220</v>
      </c>
      <c r="L35" s="23" t="s">
        <v>5232</v>
      </c>
      <c r="M35" s="81" t="s">
        <v>4631</v>
      </c>
      <c r="N35" s="81" t="s">
        <v>40</v>
      </c>
      <c r="O35" s="88">
        <v>0.375</v>
      </c>
      <c r="P35" s="88">
        <v>0.6666666666666666</v>
      </c>
      <c r="Q35" s="93" t="s">
        <v>50</v>
      </c>
      <c r="R35" s="93" t="s">
        <v>50</v>
      </c>
      <c r="S35" s="93" t="s">
        <v>50</v>
      </c>
      <c r="T35" s="93" t="s">
        <v>50</v>
      </c>
      <c r="U35" s="93" t="s">
        <v>50</v>
      </c>
      <c r="V35" s="93" t="s">
        <v>28</v>
      </c>
      <c r="W35" s="93" t="s">
        <v>28</v>
      </c>
      <c r="X35" s="93" t="s">
        <v>28</v>
      </c>
      <c r="Y35" s="93" t="s">
        <v>28</v>
      </c>
      <c r="Z35" s="93" t="s">
        <v>50</v>
      </c>
      <c r="AA35" s="93" t="s">
        <v>50</v>
      </c>
      <c r="AB35" s="93" t="s">
        <v>50</v>
      </c>
    </row>
    <row r="36" ht="56.25" customHeight="1">
      <c r="A36" s="86" t="s">
        <v>5276</v>
      </c>
      <c r="B36" s="87" t="str">
        <f>IMAGE("https://i.imgur.com/QrrFojq.png")</f>
        <v/>
      </c>
      <c r="C36" s="41" t="str">
        <f>image("https://i.imgur.com/46toGXG.png")</f>
        <v/>
      </c>
      <c r="D36" s="15">
        <v>2279.0</v>
      </c>
      <c r="E36" s="15" t="s">
        <v>99</v>
      </c>
      <c r="F36" s="15" t="s">
        <v>99</v>
      </c>
      <c r="G36" s="15" t="s">
        <v>186</v>
      </c>
      <c r="H36" s="15" t="s">
        <v>130</v>
      </c>
      <c r="I36" s="32">
        <v>73.0</v>
      </c>
      <c r="J36" s="72">
        <v>8000.0</v>
      </c>
      <c r="K36" s="72" t="s">
        <v>84</v>
      </c>
      <c r="L36" s="23" t="s">
        <v>5273</v>
      </c>
      <c r="M36" s="81" t="s">
        <v>4610</v>
      </c>
      <c r="N36" s="81" t="s">
        <v>53</v>
      </c>
      <c r="O36" s="88">
        <v>0.6666666666666666</v>
      </c>
      <c r="P36" s="88">
        <v>0.375</v>
      </c>
      <c r="Q36" s="93" t="s">
        <v>50</v>
      </c>
      <c r="R36" s="93" t="s">
        <v>50</v>
      </c>
      <c r="S36" s="93" t="s">
        <v>50</v>
      </c>
      <c r="T36" s="93" t="s">
        <v>28</v>
      </c>
      <c r="U36" s="93" t="s">
        <v>28</v>
      </c>
      <c r="V36" s="93" t="s">
        <v>28</v>
      </c>
      <c r="W36" s="93" t="s">
        <v>28</v>
      </c>
      <c r="X36" s="93" t="s">
        <v>28</v>
      </c>
      <c r="Y36" s="93" t="s">
        <v>28</v>
      </c>
      <c r="Z36" s="93" t="s">
        <v>28</v>
      </c>
      <c r="AA36" s="93" t="s">
        <v>28</v>
      </c>
      <c r="AB36" s="93" t="s">
        <v>50</v>
      </c>
    </row>
    <row r="37" ht="56.25" customHeight="1">
      <c r="A37" s="86" t="s">
        <v>5277</v>
      </c>
      <c r="B37" s="87" t="str">
        <f>IMAGE("https://i.imgur.com/rgUkuSd.png")</f>
        <v/>
      </c>
      <c r="C37" s="41" t="str">
        <f>image("https://i.imgur.com/MrULDeb.png")</f>
        <v/>
      </c>
      <c r="D37" s="15">
        <v>2264.0</v>
      </c>
      <c r="E37" s="15" t="s">
        <v>112</v>
      </c>
      <c r="F37" s="15" t="s">
        <v>99</v>
      </c>
      <c r="G37" s="15" t="s">
        <v>186</v>
      </c>
      <c r="H37" s="15" t="s">
        <v>38</v>
      </c>
      <c r="I37" s="32">
        <v>57.0</v>
      </c>
      <c r="J37" s="72">
        <v>150.0</v>
      </c>
      <c r="K37" s="72" t="s">
        <v>84</v>
      </c>
      <c r="L37" s="23" t="s">
        <v>5217</v>
      </c>
      <c r="M37" s="23" t="s">
        <v>4631</v>
      </c>
      <c r="N37" s="23" t="s">
        <v>40</v>
      </c>
      <c r="O37" s="72" t="s">
        <v>4632</v>
      </c>
      <c r="P37" s="72" t="s">
        <v>4632</v>
      </c>
      <c r="Q37" s="93" t="s">
        <v>50</v>
      </c>
      <c r="R37" s="93" t="s">
        <v>50</v>
      </c>
      <c r="S37" s="93" t="s">
        <v>50</v>
      </c>
      <c r="T37" s="93" t="s">
        <v>50</v>
      </c>
      <c r="U37" s="93" t="s">
        <v>50</v>
      </c>
      <c r="V37" s="93" t="s">
        <v>50</v>
      </c>
      <c r="W37" s="93" t="s">
        <v>50</v>
      </c>
      <c r="X37" s="93" t="s">
        <v>50</v>
      </c>
      <c r="Y37" s="93" t="s">
        <v>50</v>
      </c>
      <c r="Z37" s="93" t="s">
        <v>50</v>
      </c>
      <c r="AA37" s="93" t="s">
        <v>50</v>
      </c>
      <c r="AB37" s="93" t="s">
        <v>50</v>
      </c>
    </row>
    <row r="38" ht="56.25" customHeight="1">
      <c r="A38" s="86" t="s">
        <v>5278</v>
      </c>
      <c r="B38" s="87" t="str">
        <f>IMAGE("https://i.imgur.com/1fuh8wL.png")</f>
        <v/>
      </c>
      <c r="C38" s="41" t="str">
        <f>image("https://i.imgur.com/25IVJIl.png")</f>
        <v/>
      </c>
      <c r="D38" s="15">
        <v>2222.0</v>
      </c>
      <c r="E38" s="15" t="s">
        <v>211</v>
      </c>
      <c r="F38" s="15" t="s">
        <v>99</v>
      </c>
      <c r="G38" s="15" t="s">
        <v>186</v>
      </c>
      <c r="H38" s="15" t="s">
        <v>38</v>
      </c>
      <c r="I38" s="32">
        <v>10.0</v>
      </c>
      <c r="J38" s="72">
        <v>300.0</v>
      </c>
      <c r="K38" s="72" t="s">
        <v>5242</v>
      </c>
      <c r="L38" s="23" t="s">
        <v>5232</v>
      </c>
      <c r="M38" s="23" t="s">
        <v>4631</v>
      </c>
      <c r="N38" s="23" t="s">
        <v>40</v>
      </c>
      <c r="O38" s="72" t="s">
        <v>4632</v>
      </c>
      <c r="P38" s="72" t="s">
        <v>4632</v>
      </c>
      <c r="Q38" s="93" t="s">
        <v>50</v>
      </c>
      <c r="R38" s="93" t="s">
        <v>50</v>
      </c>
      <c r="S38" s="93" t="s">
        <v>28</v>
      </c>
      <c r="T38" s="93" t="s">
        <v>28</v>
      </c>
      <c r="U38" s="93" t="s">
        <v>28</v>
      </c>
      <c r="V38" s="93" t="s">
        <v>28</v>
      </c>
      <c r="W38" s="93" t="s">
        <v>28</v>
      </c>
      <c r="X38" s="93" t="s">
        <v>28</v>
      </c>
      <c r="Y38" s="93" t="s">
        <v>28</v>
      </c>
      <c r="Z38" s="93" t="s">
        <v>50</v>
      </c>
      <c r="AA38" s="93" t="s">
        <v>50</v>
      </c>
      <c r="AB38" s="93" t="s">
        <v>50</v>
      </c>
    </row>
    <row r="39" ht="56.25" customHeight="1">
      <c r="A39" s="86" t="s">
        <v>5280</v>
      </c>
      <c r="B39" s="87" t="str">
        <f>IMAGE("https://i.imgur.com/HEad8gc.png")</f>
        <v/>
      </c>
      <c r="C39" s="41" t="str">
        <f>image("https://i.imgur.com/Tl4gC2u.png")</f>
        <v/>
      </c>
      <c r="D39" s="15">
        <v>2243.0</v>
      </c>
      <c r="E39" s="15" t="s">
        <v>94</v>
      </c>
      <c r="F39" s="15" t="s">
        <v>99</v>
      </c>
      <c r="G39" s="15" t="s">
        <v>186</v>
      </c>
      <c r="H39" s="15" t="s">
        <v>130</v>
      </c>
      <c r="I39" s="32">
        <v>32.0</v>
      </c>
      <c r="J39" s="72">
        <v>1800.0</v>
      </c>
      <c r="K39" s="72" t="s">
        <v>5281</v>
      </c>
      <c r="L39" s="23" t="s">
        <v>5259</v>
      </c>
      <c r="M39" s="23" t="s">
        <v>4610</v>
      </c>
      <c r="N39" s="23" t="s">
        <v>40</v>
      </c>
      <c r="O39" s="72" t="s">
        <v>4632</v>
      </c>
      <c r="P39" s="72" t="s">
        <v>4632</v>
      </c>
      <c r="Q39" s="93" t="s">
        <v>28</v>
      </c>
      <c r="R39" s="93" t="s">
        <v>28</v>
      </c>
      <c r="S39" s="93" t="s">
        <v>50</v>
      </c>
      <c r="T39" s="93" t="s">
        <v>28</v>
      </c>
      <c r="U39" s="93" t="s">
        <v>28</v>
      </c>
      <c r="V39" s="93" t="s">
        <v>28</v>
      </c>
      <c r="W39" s="93" t="s">
        <v>28</v>
      </c>
      <c r="X39" s="93" t="s">
        <v>28</v>
      </c>
      <c r="Y39" s="93" t="s">
        <v>28</v>
      </c>
      <c r="Z39" s="93" t="s">
        <v>28</v>
      </c>
      <c r="AA39" s="93" t="s">
        <v>28</v>
      </c>
      <c r="AB39" s="93" t="s">
        <v>28</v>
      </c>
    </row>
    <row r="40" ht="56.25" customHeight="1">
      <c r="A40" s="86" t="s">
        <v>5282</v>
      </c>
      <c r="B40" s="87" t="str">
        <f>IMAGE("https://i.imgur.com/7adR6xk.png")</f>
        <v/>
      </c>
      <c r="C40" s="41" t="str">
        <f>image("https://i.imgur.com/jSf3ooG.png")</f>
        <v/>
      </c>
      <c r="D40" s="15">
        <v>2220.0</v>
      </c>
      <c r="E40" s="15" t="s">
        <v>208</v>
      </c>
      <c r="F40" s="15" t="s">
        <v>82</v>
      </c>
      <c r="G40" s="15" t="s">
        <v>186</v>
      </c>
      <c r="H40" s="15" t="s">
        <v>38</v>
      </c>
      <c r="I40" s="32">
        <v>6.0</v>
      </c>
      <c r="J40" s="72">
        <v>4000.0</v>
      </c>
      <c r="K40" s="72" t="s">
        <v>5242</v>
      </c>
      <c r="L40" s="23" t="s">
        <v>5224</v>
      </c>
      <c r="M40" s="81" t="s">
        <v>4610</v>
      </c>
      <c r="N40" s="81" t="s">
        <v>40</v>
      </c>
      <c r="O40" s="88">
        <v>0.6666666666666666</v>
      </c>
      <c r="P40" s="88">
        <v>0.375</v>
      </c>
      <c r="Q40" s="93" t="s">
        <v>50</v>
      </c>
      <c r="R40" s="93" t="s">
        <v>50</v>
      </c>
      <c r="S40" s="93" t="s">
        <v>50</v>
      </c>
      <c r="T40" s="93" t="s">
        <v>50</v>
      </c>
      <c r="U40" s="93" t="s">
        <v>50</v>
      </c>
      <c r="V40" s="93" t="s">
        <v>50</v>
      </c>
      <c r="W40" s="93" t="s">
        <v>50</v>
      </c>
      <c r="X40" s="93" t="s">
        <v>50</v>
      </c>
      <c r="Y40" s="93" t="s">
        <v>50</v>
      </c>
      <c r="Z40" s="93" t="s">
        <v>50</v>
      </c>
      <c r="AA40" s="93" t="s">
        <v>50</v>
      </c>
      <c r="AB40" s="93" t="s">
        <v>50</v>
      </c>
    </row>
    <row r="41" ht="56.25" customHeight="1">
      <c r="A41" s="86" t="s">
        <v>5283</v>
      </c>
      <c r="B41" s="87" t="str">
        <f>IMAGE("https://i.imgur.com/9N8uM7V.png")</f>
        <v/>
      </c>
      <c r="C41" s="41" t="str">
        <f>image("https://i.imgur.com/OQX56zF.png")</f>
        <v/>
      </c>
      <c r="D41" s="15">
        <v>2228.0</v>
      </c>
      <c r="E41" s="15" t="s">
        <v>118</v>
      </c>
      <c r="F41" s="15" t="s">
        <v>112</v>
      </c>
      <c r="G41" s="15" t="s">
        <v>41</v>
      </c>
      <c r="H41" s="15" t="s">
        <v>38</v>
      </c>
      <c r="I41" s="32">
        <v>17.0</v>
      </c>
      <c r="J41" s="72">
        <v>400.0</v>
      </c>
      <c r="K41" s="72" t="s">
        <v>5220</v>
      </c>
      <c r="L41" s="23" t="s">
        <v>5217</v>
      </c>
      <c r="M41" s="23" t="s">
        <v>4631</v>
      </c>
      <c r="N41" s="23" t="s">
        <v>40</v>
      </c>
      <c r="O41" s="72" t="s">
        <v>4632</v>
      </c>
      <c r="P41" s="72" t="s">
        <v>4632</v>
      </c>
      <c r="Q41" s="93" t="s">
        <v>28</v>
      </c>
      <c r="R41" s="93" t="s">
        <v>28</v>
      </c>
      <c r="S41" s="93" t="s">
        <v>28</v>
      </c>
      <c r="T41" s="93" t="s">
        <v>28</v>
      </c>
      <c r="U41" s="93" t="s">
        <v>28</v>
      </c>
      <c r="V41" s="93" t="s">
        <v>28</v>
      </c>
      <c r="W41" s="93" t="s">
        <v>28</v>
      </c>
      <c r="X41" s="93" t="s">
        <v>28</v>
      </c>
      <c r="Y41" s="93" t="s">
        <v>50</v>
      </c>
      <c r="Z41" s="93" t="s">
        <v>50</v>
      </c>
      <c r="AA41" s="93" t="s">
        <v>50</v>
      </c>
      <c r="AB41" s="93" t="s">
        <v>28</v>
      </c>
    </row>
    <row r="42" ht="56.25" customHeight="1">
      <c r="A42" s="89" t="s">
        <v>5285</v>
      </c>
      <c r="B42" s="87" t="str">
        <f>IMAGE("https://i.imgur.com/asWlBCU.png")</f>
        <v/>
      </c>
      <c r="C42" s="41" t="str">
        <f>image("https://i.imgur.com/XIhGXxh.png")</f>
        <v/>
      </c>
      <c r="D42" s="15">
        <v>4202.0</v>
      </c>
      <c r="E42" s="15" t="s">
        <v>211</v>
      </c>
      <c r="F42" s="15" t="s">
        <v>99</v>
      </c>
      <c r="G42" s="15" t="s">
        <v>186</v>
      </c>
      <c r="H42" s="15" t="s">
        <v>130</v>
      </c>
      <c r="I42" s="32">
        <v>69.0</v>
      </c>
      <c r="J42" s="72">
        <v>6000.0</v>
      </c>
      <c r="K42" s="72" t="s">
        <v>5237</v>
      </c>
      <c r="L42" s="23" t="s">
        <v>5259</v>
      </c>
      <c r="M42" s="23" t="s">
        <v>4643</v>
      </c>
      <c r="N42" s="23" t="s">
        <v>53</v>
      </c>
      <c r="O42" s="72" t="s">
        <v>4632</v>
      </c>
      <c r="P42" s="72" t="s">
        <v>4632</v>
      </c>
      <c r="Q42" s="93" t="s">
        <v>50</v>
      </c>
      <c r="R42" s="93" t="s">
        <v>50</v>
      </c>
      <c r="S42" s="93" t="s">
        <v>50</v>
      </c>
      <c r="T42" s="93" t="s">
        <v>50</v>
      </c>
      <c r="U42" s="93" t="s">
        <v>28</v>
      </c>
      <c r="V42" s="93" t="s">
        <v>28</v>
      </c>
      <c r="W42" s="93" t="s">
        <v>28</v>
      </c>
      <c r="X42" s="93" t="s">
        <v>28</v>
      </c>
      <c r="Y42" s="93" t="s">
        <v>28</v>
      </c>
      <c r="Z42" s="93" t="s">
        <v>28</v>
      </c>
      <c r="AA42" s="93" t="s">
        <v>50</v>
      </c>
      <c r="AB42" s="93" t="s">
        <v>50</v>
      </c>
    </row>
    <row r="43" ht="56.25" customHeight="1">
      <c r="A43" s="86" t="s">
        <v>5286</v>
      </c>
      <c r="B43" s="87" t="str">
        <f>IMAGE("https://i.imgur.com/gwHZbVk.png")</f>
        <v/>
      </c>
      <c r="C43" s="41" t="str">
        <f>image("https://i.imgur.com/TDfDna9.png")</f>
        <v/>
      </c>
      <c r="D43" s="15">
        <v>2244.0</v>
      </c>
      <c r="E43" s="15" t="s">
        <v>99</v>
      </c>
      <c r="F43" s="15" t="s">
        <v>112</v>
      </c>
      <c r="G43" s="15" t="s">
        <v>41</v>
      </c>
      <c r="H43" s="15" t="s">
        <v>38</v>
      </c>
      <c r="I43" s="32">
        <v>33.0</v>
      </c>
      <c r="J43" s="72">
        <v>2000.0</v>
      </c>
      <c r="K43" s="72" t="s">
        <v>5220</v>
      </c>
      <c r="L43" s="23" t="s">
        <v>5217</v>
      </c>
      <c r="M43" s="81" t="s">
        <v>4610</v>
      </c>
      <c r="N43" s="81" t="s">
        <v>40</v>
      </c>
      <c r="O43" s="88">
        <v>0.6666666666666666</v>
      </c>
      <c r="P43" s="88">
        <v>0.375</v>
      </c>
      <c r="Q43" s="93" t="s">
        <v>28</v>
      </c>
      <c r="R43" s="93" t="s">
        <v>28</v>
      </c>
      <c r="S43" s="93" t="s">
        <v>50</v>
      </c>
      <c r="T43" s="93" t="s">
        <v>50</v>
      </c>
      <c r="U43" s="93" t="s">
        <v>50</v>
      </c>
      <c r="V43" s="93" t="s">
        <v>28</v>
      </c>
      <c r="W43" s="93" t="s">
        <v>28</v>
      </c>
      <c r="X43" s="93" t="s">
        <v>28</v>
      </c>
      <c r="Y43" s="93" t="s">
        <v>28</v>
      </c>
      <c r="Z43" s="93" t="s">
        <v>28</v>
      </c>
      <c r="AA43" s="93" t="s">
        <v>28</v>
      </c>
      <c r="AB43" s="93" t="s">
        <v>28</v>
      </c>
    </row>
    <row r="44" ht="56.25" customHeight="1">
      <c r="A44" s="86" t="s">
        <v>5288</v>
      </c>
      <c r="B44" s="87" t="str">
        <f>IMAGE("https://i.imgur.com/C0Mw5Qd.png")</f>
        <v/>
      </c>
      <c r="C44" s="41" t="str">
        <f>image("https://i.imgur.com/ba0QvHf.png")</f>
        <v/>
      </c>
      <c r="D44" s="15">
        <v>2271.0</v>
      </c>
      <c r="E44" s="15" t="s">
        <v>118</v>
      </c>
      <c r="F44" s="15" t="s">
        <v>99</v>
      </c>
      <c r="G44" s="15" t="s">
        <v>186</v>
      </c>
      <c r="H44" s="15" t="s">
        <v>130</v>
      </c>
      <c r="I44" s="32">
        <v>64.0</v>
      </c>
      <c r="J44" s="72">
        <v>2000.0</v>
      </c>
      <c r="K44" s="72" t="s">
        <v>84</v>
      </c>
      <c r="L44" s="23" t="s">
        <v>5289</v>
      </c>
      <c r="M44" s="23" t="s">
        <v>4610</v>
      </c>
      <c r="N44" s="23" t="s">
        <v>40</v>
      </c>
      <c r="O44" s="72" t="s">
        <v>4632</v>
      </c>
      <c r="P44" s="72" t="s">
        <v>4632</v>
      </c>
      <c r="Q44" s="93" t="s">
        <v>28</v>
      </c>
      <c r="R44" s="93" t="s">
        <v>50</v>
      </c>
      <c r="S44" s="93" t="s">
        <v>50</v>
      </c>
      <c r="T44" s="93" t="s">
        <v>50</v>
      </c>
      <c r="U44" s="93" t="s">
        <v>28</v>
      </c>
      <c r="V44" s="93" t="s">
        <v>28</v>
      </c>
      <c r="W44" s="93" t="s">
        <v>28</v>
      </c>
      <c r="X44" s="93" t="s">
        <v>28</v>
      </c>
      <c r="Y44" s="93" t="s">
        <v>28</v>
      </c>
      <c r="Z44" s="93" t="s">
        <v>28</v>
      </c>
      <c r="AA44" s="93" t="s">
        <v>28</v>
      </c>
      <c r="AB44" s="93" t="s">
        <v>28</v>
      </c>
    </row>
    <row r="45" ht="56.25" customHeight="1">
      <c r="A45" s="86" t="s">
        <v>5290</v>
      </c>
      <c r="B45" s="87" t="str">
        <f>IMAGE("https://i.imgur.com/Bg6ymWx.png")</f>
        <v/>
      </c>
      <c r="C45" s="41" t="str">
        <f>image("https://i.imgur.com/jT8NZEu.png")</f>
        <v/>
      </c>
      <c r="D45" s="15">
        <v>2260.0</v>
      </c>
      <c r="E45" s="15" t="s">
        <v>1614</v>
      </c>
      <c r="F45" s="15" t="s">
        <v>99</v>
      </c>
      <c r="G45" s="15" t="s">
        <v>186</v>
      </c>
      <c r="H45" s="15" t="s">
        <v>130</v>
      </c>
      <c r="I45" s="32">
        <v>52.0</v>
      </c>
      <c r="J45" s="72">
        <v>10000.0</v>
      </c>
      <c r="K45" s="72" t="s">
        <v>84</v>
      </c>
      <c r="L45" s="23" t="s">
        <v>5222</v>
      </c>
      <c r="M45" s="81" t="s">
        <v>4643</v>
      </c>
      <c r="N45" s="81" t="s">
        <v>53</v>
      </c>
      <c r="O45" s="88">
        <v>0.16666666666666666</v>
      </c>
      <c r="P45" s="88">
        <v>0.875</v>
      </c>
      <c r="Q45" s="93" t="s">
        <v>50</v>
      </c>
      <c r="R45" s="93" t="s">
        <v>50</v>
      </c>
      <c r="S45" s="93" t="s">
        <v>28</v>
      </c>
      <c r="T45" s="93" t="s">
        <v>28</v>
      </c>
      <c r="U45" s="93" t="s">
        <v>28</v>
      </c>
      <c r="V45" s="93" t="s">
        <v>28</v>
      </c>
      <c r="W45" s="93" t="s">
        <v>28</v>
      </c>
      <c r="X45" s="93" t="s">
        <v>28</v>
      </c>
      <c r="Y45" s="93" t="s">
        <v>28</v>
      </c>
      <c r="Z45" s="93" t="s">
        <v>28</v>
      </c>
      <c r="AA45" s="93" t="s">
        <v>28</v>
      </c>
      <c r="AB45" s="93"/>
    </row>
    <row r="46" ht="56.25" customHeight="1">
      <c r="A46" s="86" t="s">
        <v>5291</v>
      </c>
      <c r="B46" s="87" t="str">
        <f>IMAGE("https://i.imgur.com/EdKzQJn.png")</f>
        <v/>
      </c>
      <c r="C46" s="41" t="str">
        <f>image("https://i.imgur.com/oDF4fSq.png")</f>
        <v/>
      </c>
      <c r="D46" s="15">
        <v>2248.0</v>
      </c>
      <c r="E46" s="15" t="s">
        <v>1614</v>
      </c>
      <c r="F46" s="15" t="s">
        <v>99</v>
      </c>
      <c r="G46" s="15" t="s">
        <v>186</v>
      </c>
      <c r="H46" s="15" t="s">
        <v>38</v>
      </c>
      <c r="I46" s="32">
        <v>38.0</v>
      </c>
      <c r="J46" s="72">
        <v>500.0</v>
      </c>
      <c r="K46" s="72" t="s">
        <v>5220</v>
      </c>
      <c r="L46" s="23" t="s">
        <v>5232</v>
      </c>
      <c r="M46" s="81" t="s">
        <v>4631</v>
      </c>
      <c r="N46" s="81" t="s">
        <v>40</v>
      </c>
      <c r="O46" s="88">
        <v>0.375</v>
      </c>
      <c r="P46" s="88">
        <v>0.6666666666666666</v>
      </c>
      <c r="Q46" s="93" t="s">
        <v>50</v>
      </c>
      <c r="R46" s="93" t="s">
        <v>50</v>
      </c>
      <c r="S46" s="93" t="s">
        <v>50</v>
      </c>
      <c r="T46" s="93" t="s">
        <v>50</v>
      </c>
      <c r="U46" s="93" t="s">
        <v>50</v>
      </c>
      <c r="V46" s="93" t="s">
        <v>28</v>
      </c>
      <c r="W46" s="93" t="s">
        <v>28</v>
      </c>
      <c r="X46" s="93" t="s">
        <v>28</v>
      </c>
      <c r="Y46" s="93" t="s">
        <v>28</v>
      </c>
      <c r="Z46" s="93" t="s">
        <v>50</v>
      </c>
      <c r="AA46" s="93" t="s">
        <v>50</v>
      </c>
      <c r="AB46" s="93" t="s">
        <v>50</v>
      </c>
    </row>
    <row r="47" ht="56.25" customHeight="1">
      <c r="A47" s="86" t="s">
        <v>5293</v>
      </c>
      <c r="B47" s="87" t="str">
        <f>IMAGE("https://i.imgur.com/Ls7SOLb.png")</f>
        <v/>
      </c>
      <c r="C47" s="41" t="str">
        <f>image("https://i.imgur.com/VeIDc7d.png")</f>
        <v/>
      </c>
      <c r="D47" s="15">
        <v>2246.0</v>
      </c>
      <c r="E47" s="15" t="s">
        <v>118</v>
      </c>
      <c r="F47" s="15" t="s">
        <v>112</v>
      </c>
      <c r="G47" s="15" t="s">
        <v>41</v>
      </c>
      <c r="H47" s="15" t="s">
        <v>38</v>
      </c>
      <c r="I47" s="32">
        <v>35.0</v>
      </c>
      <c r="J47" s="72">
        <v>1500.0</v>
      </c>
      <c r="K47" s="72" t="s">
        <v>5220</v>
      </c>
      <c r="L47" s="23" t="s">
        <v>5232</v>
      </c>
      <c r="M47" s="81" t="s">
        <v>4610</v>
      </c>
      <c r="N47" s="81" t="s">
        <v>40</v>
      </c>
      <c r="O47" s="88">
        <v>0.375</v>
      </c>
      <c r="P47" s="88">
        <v>0.6666666666666666</v>
      </c>
      <c r="Q47" s="93" t="s">
        <v>50</v>
      </c>
      <c r="R47" s="93" t="s">
        <v>50</v>
      </c>
      <c r="S47" s="93" t="s">
        <v>50</v>
      </c>
      <c r="T47" s="93" t="s">
        <v>28</v>
      </c>
      <c r="U47" s="93" t="s">
        <v>28</v>
      </c>
      <c r="V47" s="93" t="s">
        <v>28</v>
      </c>
      <c r="W47" s="93" t="s">
        <v>28</v>
      </c>
      <c r="X47" s="93" t="s">
        <v>28</v>
      </c>
      <c r="Y47" s="93" t="s">
        <v>28</v>
      </c>
      <c r="Z47" s="93" t="s">
        <v>28</v>
      </c>
      <c r="AA47" s="93" t="s">
        <v>50</v>
      </c>
      <c r="AB47" s="93" t="s">
        <v>50</v>
      </c>
    </row>
    <row r="48" ht="56.25" customHeight="1">
      <c r="A48" s="86" t="s">
        <v>5294</v>
      </c>
      <c r="B48" s="87" t="str">
        <f>IMAGE("https://i.imgur.com/8yMwTtM.png")</f>
        <v/>
      </c>
      <c r="C48" s="41" t="str">
        <f>image("https://i.imgur.com/cydwrUe.png")</f>
        <v/>
      </c>
      <c r="D48" s="15">
        <v>2283.0</v>
      </c>
      <c r="E48" s="15" t="s">
        <v>208</v>
      </c>
      <c r="F48" s="15" t="s">
        <v>112</v>
      </c>
      <c r="G48" s="15" t="s">
        <v>41</v>
      </c>
      <c r="H48" s="15" t="s">
        <v>1748</v>
      </c>
      <c r="I48" s="32">
        <v>78.0</v>
      </c>
      <c r="J48" s="72">
        <v>9000.0</v>
      </c>
      <c r="K48" s="72" t="s">
        <v>84</v>
      </c>
      <c r="L48" s="23" t="s">
        <v>5222</v>
      </c>
      <c r="M48" s="23" t="s">
        <v>4643</v>
      </c>
      <c r="N48" s="23" t="s">
        <v>53</v>
      </c>
      <c r="O48" s="72" t="s">
        <v>4632</v>
      </c>
      <c r="P48" s="72" t="s">
        <v>4632</v>
      </c>
      <c r="Q48" s="93" t="s">
        <v>28</v>
      </c>
      <c r="R48" s="93" t="s">
        <v>28</v>
      </c>
      <c r="S48" s="93" t="s">
        <v>28</v>
      </c>
      <c r="T48" s="93" t="s">
        <v>28</v>
      </c>
      <c r="U48" s="93" t="s">
        <v>28</v>
      </c>
      <c r="V48" s="93" t="s">
        <v>50</v>
      </c>
      <c r="W48" s="93" t="s">
        <v>50</v>
      </c>
      <c r="X48" s="93" t="s">
        <v>50</v>
      </c>
      <c r="Y48" s="93" t="s">
        <v>50</v>
      </c>
      <c r="Z48" s="93" t="s">
        <v>50</v>
      </c>
      <c r="AA48" s="93" t="s">
        <v>50</v>
      </c>
      <c r="AB48" s="93" t="s">
        <v>28</v>
      </c>
    </row>
    <row r="49" ht="56.25" customHeight="1">
      <c r="A49" s="86" t="s">
        <v>5295</v>
      </c>
      <c r="B49" s="87" t="str">
        <f>IMAGE("https://i.imgur.com/iEoMmrB.png")</f>
        <v/>
      </c>
      <c r="C49" s="41" t="str">
        <f>image("https://i.imgur.com/hycHFiV.png")</f>
        <v/>
      </c>
      <c r="D49" s="15">
        <v>2278.0</v>
      </c>
      <c r="E49" s="15" t="s">
        <v>112</v>
      </c>
      <c r="F49" s="15" t="s">
        <v>521</v>
      </c>
      <c r="G49" s="15" t="s">
        <v>41</v>
      </c>
      <c r="H49" s="15" t="s">
        <v>106</v>
      </c>
      <c r="I49" s="32">
        <v>70.0</v>
      </c>
      <c r="J49" s="72">
        <v>4000.0</v>
      </c>
      <c r="K49" s="72" t="s">
        <v>84</v>
      </c>
      <c r="L49" s="23" t="s">
        <v>5273</v>
      </c>
      <c r="M49" s="81" t="s">
        <v>4610</v>
      </c>
      <c r="N49" s="81" t="s">
        <v>53</v>
      </c>
      <c r="O49" s="88">
        <v>0.16666666666666666</v>
      </c>
      <c r="P49" s="88">
        <v>0.875</v>
      </c>
      <c r="Q49" s="93" t="s">
        <v>50</v>
      </c>
      <c r="R49" s="93" t="s">
        <v>50</v>
      </c>
      <c r="S49" s="93" t="s">
        <v>50</v>
      </c>
      <c r="T49" s="93" t="s">
        <v>28</v>
      </c>
      <c r="U49" s="93" t="s">
        <v>28</v>
      </c>
      <c r="V49" s="93" t="s">
        <v>28</v>
      </c>
      <c r="W49" s="93" t="s">
        <v>28</v>
      </c>
      <c r="X49" s="93" t="s">
        <v>28</v>
      </c>
      <c r="Y49" s="93" t="s">
        <v>28</v>
      </c>
      <c r="Z49" s="93" t="s">
        <v>28</v>
      </c>
      <c r="AA49" s="93" t="s">
        <v>28</v>
      </c>
      <c r="AB49" s="93" t="s">
        <v>28</v>
      </c>
    </row>
    <row r="50" ht="56.25" customHeight="1">
      <c r="A50" s="86" t="s">
        <v>5296</v>
      </c>
      <c r="B50" s="87" t="str">
        <f>IMAGE("https://i.imgur.com/Pe5N5i1.png")</f>
        <v/>
      </c>
      <c r="C50" s="41" t="str">
        <f>image("https://i.imgur.com/m2j6NuZ.png")</f>
        <v/>
      </c>
      <c r="D50" s="15">
        <v>2269.0</v>
      </c>
      <c r="E50" s="15" t="s">
        <v>1608</v>
      </c>
      <c r="F50" s="15" t="s">
        <v>99</v>
      </c>
      <c r="G50" s="15" t="s">
        <v>186</v>
      </c>
      <c r="H50" s="15" t="s">
        <v>130</v>
      </c>
      <c r="I50" s="32">
        <v>62.0</v>
      </c>
      <c r="J50" s="72">
        <v>800.0</v>
      </c>
      <c r="K50" s="72" t="s">
        <v>84</v>
      </c>
      <c r="L50" s="23" t="s">
        <v>5259</v>
      </c>
      <c r="M50" s="23" t="s">
        <v>4631</v>
      </c>
      <c r="N50" s="23" t="s">
        <v>40</v>
      </c>
      <c r="O50" s="72" t="s">
        <v>4632</v>
      </c>
      <c r="P50" s="72" t="s">
        <v>4632</v>
      </c>
      <c r="Q50" s="93" t="s">
        <v>50</v>
      </c>
      <c r="R50" s="93" t="s">
        <v>50</v>
      </c>
      <c r="S50" s="93" t="s">
        <v>50</v>
      </c>
      <c r="T50" s="93" t="s">
        <v>50</v>
      </c>
      <c r="U50" s="93" t="s">
        <v>50</v>
      </c>
      <c r="V50" s="93" t="s">
        <v>50</v>
      </c>
      <c r="W50" s="93" t="s">
        <v>50</v>
      </c>
      <c r="X50" s="93" t="s">
        <v>50</v>
      </c>
      <c r="Y50" s="93" t="s">
        <v>50</v>
      </c>
      <c r="Z50" s="93" t="s">
        <v>50</v>
      </c>
      <c r="AA50" s="93" t="s">
        <v>50</v>
      </c>
      <c r="AB50" s="93" t="s">
        <v>50</v>
      </c>
    </row>
    <row r="51" ht="56.25" customHeight="1">
      <c r="A51" s="86" t="s">
        <v>5298</v>
      </c>
      <c r="B51" s="87" t="str">
        <f>IMAGE("https://i.imgur.com/2GwVD8t.png")</f>
        <v/>
      </c>
      <c r="C51" s="41" t="str">
        <f>image("https://i.imgur.com/FVsFmJL.png")</f>
        <v/>
      </c>
      <c r="D51" s="15">
        <v>2216.0</v>
      </c>
      <c r="E51" s="15" t="s">
        <v>112</v>
      </c>
      <c r="F51" s="15" t="s">
        <v>112</v>
      </c>
      <c r="G51" s="15" t="s">
        <v>41</v>
      </c>
      <c r="H51" s="15" t="s">
        <v>38</v>
      </c>
      <c r="I51" s="32">
        <v>2.0</v>
      </c>
      <c r="J51" s="72">
        <v>200.0</v>
      </c>
      <c r="K51" s="72" t="s">
        <v>5220</v>
      </c>
      <c r="L51" s="23" t="s">
        <v>5232</v>
      </c>
      <c r="M51" s="81" t="s">
        <v>4631</v>
      </c>
      <c r="N51" s="81" t="s">
        <v>40</v>
      </c>
      <c r="O51" s="88">
        <v>0.375</v>
      </c>
      <c r="P51" s="88">
        <v>0.6666666666666666</v>
      </c>
      <c r="Q51" s="93" t="s">
        <v>50</v>
      </c>
      <c r="R51" s="93" t="s">
        <v>50</v>
      </c>
      <c r="S51" s="93" t="s">
        <v>50</v>
      </c>
      <c r="T51" s="93" t="s">
        <v>50</v>
      </c>
      <c r="U51" s="93" t="s">
        <v>50</v>
      </c>
      <c r="V51" s="93" t="s">
        <v>50</v>
      </c>
      <c r="W51" s="93" t="s">
        <v>50</v>
      </c>
      <c r="X51" s="93" t="s">
        <v>50</v>
      </c>
      <c r="Y51" s="93" t="s">
        <v>50</v>
      </c>
      <c r="Z51" s="93" t="s">
        <v>50</v>
      </c>
      <c r="AA51" s="93" t="s">
        <v>50</v>
      </c>
      <c r="AB51" s="93" t="s">
        <v>50</v>
      </c>
    </row>
    <row r="52" ht="56.25" customHeight="1">
      <c r="A52" s="86" t="s">
        <v>5299</v>
      </c>
      <c r="B52" s="87" t="str">
        <f>IMAGE("https://i.imgur.com/mJiEPNy.png")</f>
        <v/>
      </c>
      <c r="C52" s="41" t="str">
        <f>image("https://i.imgur.com/L7exjhu.png")</f>
        <v/>
      </c>
      <c r="D52" s="15">
        <v>2235.0</v>
      </c>
      <c r="E52" s="15" t="s">
        <v>369</v>
      </c>
      <c r="F52" s="15" t="s">
        <v>99</v>
      </c>
      <c r="G52" s="15" t="s">
        <v>186</v>
      </c>
      <c r="H52" s="15" t="s">
        <v>130</v>
      </c>
      <c r="I52" s="32">
        <v>24.0</v>
      </c>
      <c r="J52" s="72">
        <v>1800.0</v>
      </c>
      <c r="K52" s="72" t="s">
        <v>5220</v>
      </c>
      <c r="L52" s="23" t="s">
        <v>5259</v>
      </c>
      <c r="M52" s="23" t="s">
        <v>4610</v>
      </c>
      <c r="N52" s="23" t="s">
        <v>40</v>
      </c>
      <c r="O52" s="72" t="s">
        <v>4632</v>
      </c>
      <c r="P52" s="72" t="s">
        <v>4632</v>
      </c>
      <c r="Q52" s="93" t="s">
        <v>28</v>
      </c>
      <c r="R52" s="93" t="s">
        <v>28</v>
      </c>
      <c r="S52" s="93" t="s">
        <v>50</v>
      </c>
      <c r="T52" s="93" t="s">
        <v>50</v>
      </c>
      <c r="U52" s="93" t="s">
        <v>50</v>
      </c>
      <c r="V52" s="93" t="s">
        <v>50</v>
      </c>
      <c r="W52" s="93" t="s">
        <v>28</v>
      </c>
      <c r="X52" s="93" t="s">
        <v>28</v>
      </c>
      <c r="Y52" s="93" t="s">
        <v>28</v>
      </c>
      <c r="Z52" s="93" t="s">
        <v>28</v>
      </c>
      <c r="AA52" s="93" t="s">
        <v>28</v>
      </c>
      <c r="AB52" s="93" t="s">
        <v>28</v>
      </c>
    </row>
    <row r="53" ht="56.25" customHeight="1">
      <c r="A53" s="86" t="s">
        <v>5300</v>
      </c>
      <c r="B53" s="87" t="str">
        <f>IMAGE("https://i.imgur.com/CaDI8vj.png")</f>
        <v/>
      </c>
      <c r="C53" s="41" t="str">
        <f>image("https://i.imgur.com/m17nBc9.png")</f>
        <v/>
      </c>
      <c r="D53" s="15">
        <v>2249.0</v>
      </c>
      <c r="E53" s="15" t="s">
        <v>369</v>
      </c>
      <c r="F53" s="15" t="s">
        <v>99</v>
      </c>
      <c r="G53" s="15" t="s">
        <v>186</v>
      </c>
      <c r="H53" s="15" t="s">
        <v>38</v>
      </c>
      <c r="I53" s="32">
        <v>40.0</v>
      </c>
      <c r="J53" s="72">
        <v>2500.0</v>
      </c>
      <c r="K53" s="72" t="s">
        <v>5220</v>
      </c>
      <c r="L53" s="23" t="s">
        <v>5217</v>
      </c>
      <c r="M53" s="23" t="s">
        <v>4610</v>
      </c>
      <c r="N53" s="23" t="s">
        <v>40</v>
      </c>
      <c r="O53" s="72" t="s">
        <v>5301</v>
      </c>
      <c r="P53" s="72" t="s">
        <v>5302</v>
      </c>
      <c r="Q53" s="93" t="s">
        <v>50</v>
      </c>
      <c r="R53" s="93" t="s">
        <v>50</v>
      </c>
      <c r="S53" s="93" t="s">
        <v>50</v>
      </c>
      <c r="T53" s="93" t="s">
        <v>28</v>
      </c>
      <c r="U53" s="93" t="s">
        <v>28</v>
      </c>
      <c r="V53" s="93" t="s">
        <v>28</v>
      </c>
      <c r="W53" s="93" t="s">
        <v>28</v>
      </c>
      <c r="X53" s="93" t="s">
        <v>28</v>
      </c>
      <c r="Y53" s="93" t="s">
        <v>28</v>
      </c>
      <c r="Z53" s="93" t="s">
        <v>28</v>
      </c>
      <c r="AA53" s="93" t="s">
        <v>28</v>
      </c>
      <c r="AB53" s="93" t="s">
        <v>50</v>
      </c>
    </row>
    <row r="54" ht="56.25" customHeight="1">
      <c r="A54" s="86" t="s">
        <v>5303</v>
      </c>
      <c r="B54" s="87" t="str">
        <f>IMAGE("https://i.imgur.com/JIHYVZV.png")</f>
        <v/>
      </c>
      <c r="C54" s="41" t="str">
        <f>image("https://i.imgur.com/HOMo8lf.png")</f>
        <v/>
      </c>
      <c r="D54" s="15">
        <v>2236.0</v>
      </c>
      <c r="E54" s="15" t="s">
        <v>521</v>
      </c>
      <c r="F54" s="15" t="s">
        <v>112</v>
      </c>
      <c r="G54" s="15" t="s">
        <v>41</v>
      </c>
      <c r="H54" s="15" t="s">
        <v>38</v>
      </c>
      <c r="I54" s="32">
        <v>25.0</v>
      </c>
      <c r="J54" s="72">
        <v>400.0</v>
      </c>
      <c r="K54" s="72" t="s">
        <v>5220</v>
      </c>
      <c r="L54" s="23" t="s">
        <v>5217</v>
      </c>
      <c r="M54" s="23" t="s">
        <v>4631</v>
      </c>
      <c r="N54" s="23" t="s">
        <v>40</v>
      </c>
      <c r="O54" s="72" t="s">
        <v>4632</v>
      </c>
      <c r="P54" s="72" t="s">
        <v>4632</v>
      </c>
      <c r="Q54" s="93" t="s">
        <v>28</v>
      </c>
      <c r="R54" s="93" t="s">
        <v>28</v>
      </c>
      <c r="S54" s="93" t="s">
        <v>28</v>
      </c>
      <c r="T54" s="93" t="s">
        <v>28</v>
      </c>
      <c r="U54" s="93" t="s">
        <v>28</v>
      </c>
      <c r="V54" s="93" t="s">
        <v>50</v>
      </c>
      <c r="W54" s="93" t="s">
        <v>50</v>
      </c>
      <c r="X54" s="93" t="s">
        <v>50</v>
      </c>
      <c r="Y54" s="93" t="s">
        <v>28</v>
      </c>
      <c r="Z54" s="93" t="s">
        <v>28</v>
      </c>
      <c r="AA54" s="93" t="s">
        <v>28</v>
      </c>
      <c r="AB54" s="93" t="s">
        <v>28</v>
      </c>
    </row>
    <row r="55" ht="56.25" customHeight="1">
      <c r="A55" s="89" t="s">
        <v>5305</v>
      </c>
      <c r="B55" s="87" t="str">
        <f>IMAGE("https://i.imgur.com/SuMt6KR.png")</f>
        <v/>
      </c>
      <c r="C55" s="41" t="str">
        <f>image("https://i.imgur.com/huuj4YN.png")</f>
        <v/>
      </c>
      <c r="D55" s="15">
        <v>2221.0</v>
      </c>
      <c r="E55" s="15" t="s">
        <v>99</v>
      </c>
      <c r="F55" s="15" t="s">
        <v>1614</v>
      </c>
      <c r="G55" s="15" t="s">
        <v>41</v>
      </c>
      <c r="H55" s="15" t="s">
        <v>38</v>
      </c>
      <c r="I55" s="32">
        <v>8.0</v>
      </c>
      <c r="J55" s="72">
        <v>1300.0</v>
      </c>
      <c r="K55" s="72" t="s">
        <v>5242</v>
      </c>
      <c r="L55" s="23" t="s">
        <v>5232</v>
      </c>
      <c r="M55" s="81" t="s">
        <v>4631</v>
      </c>
      <c r="N55" s="81" t="s">
        <v>40</v>
      </c>
      <c r="O55" s="88">
        <v>0.375</v>
      </c>
      <c r="P55" s="88">
        <v>0.6666666666666666</v>
      </c>
      <c r="Q55" s="93" t="s">
        <v>50</v>
      </c>
      <c r="R55" s="93" t="s">
        <v>50</v>
      </c>
      <c r="S55" s="93" t="s">
        <v>50</v>
      </c>
      <c r="T55" s="93" t="s">
        <v>50</v>
      </c>
      <c r="U55" s="93" t="s">
        <v>50</v>
      </c>
      <c r="V55" s="93" t="s">
        <v>50</v>
      </c>
      <c r="W55" s="93" t="s">
        <v>50</v>
      </c>
      <c r="X55" s="93" t="s">
        <v>50</v>
      </c>
      <c r="Y55" s="93" t="s">
        <v>50</v>
      </c>
      <c r="Z55" s="93" t="s">
        <v>50</v>
      </c>
      <c r="AA55" s="93" t="s">
        <v>50</v>
      </c>
      <c r="AB55" s="93" t="s">
        <v>50</v>
      </c>
    </row>
    <row r="56" ht="56.25" customHeight="1">
      <c r="A56" s="86" t="s">
        <v>5306</v>
      </c>
      <c r="B56" s="87" t="str">
        <f>IMAGE("https://i.imgur.com/8vBKuTy.png")</f>
        <v/>
      </c>
      <c r="C56" s="41" t="str">
        <f>image("https://i.imgur.com/KklWRYd.png")</f>
        <v/>
      </c>
      <c r="D56" s="15">
        <v>2263.0</v>
      </c>
      <c r="E56" s="15" t="s">
        <v>1608</v>
      </c>
      <c r="F56" s="15" t="s">
        <v>99</v>
      </c>
      <c r="G56" s="15" t="s">
        <v>186</v>
      </c>
      <c r="H56" s="15" t="s">
        <v>38</v>
      </c>
      <c r="I56" s="32">
        <v>55.0</v>
      </c>
      <c r="J56" s="72">
        <v>250.0</v>
      </c>
      <c r="K56" s="72" t="s">
        <v>84</v>
      </c>
      <c r="L56" s="23" t="s">
        <v>5227</v>
      </c>
      <c r="M56" s="23" t="s">
        <v>4631</v>
      </c>
      <c r="N56" s="23" t="s">
        <v>40</v>
      </c>
      <c r="O56" s="72" t="s">
        <v>4632</v>
      </c>
      <c r="P56" s="72" t="s">
        <v>4632</v>
      </c>
      <c r="Q56" s="93" t="s">
        <v>50</v>
      </c>
      <c r="R56" s="93" t="s">
        <v>50</v>
      </c>
      <c r="S56" s="93" t="s">
        <v>50</v>
      </c>
      <c r="T56" s="93" t="s">
        <v>28</v>
      </c>
      <c r="U56" s="93" t="s">
        <v>28</v>
      </c>
      <c r="V56" s="93" t="s">
        <v>28</v>
      </c>
      <c r="W56" s="93" t="s">
        <v>28</v>
      </c>
      <c r="X56" s="93" t="s">
        <v>28</v>
      </c>
      <c r="Y56" s="93" t="s">
        <v>28</v>
      </c>
      <c r="Z56" s="93" t="s">
        <v>28</v>
      </c>
      <c r="AA56" s="93" t="s">
        <v>28</v>
      </c>
      <c r="AB56" s="93" t="s">
        <v>28</v>
      </c>
    </row>
    <row r="57" ht="56.25" customHeight="1">
      <c r="A57" s="86" t="s">
        <v>5307</v>
      </c>
      <c r="B57" s="87" t="str">
        <f>IMAGE("https://i.imgur.com/CNCQWsy.png")</f>
        <v/>
      </c>
      <c r="C57" s="41" t="str">
        <f>image("https://i.imgur.com/rCCCZW5.png")</f>
        <v/>
      </c>
      <c r="D57" s="15">
        <v>4194.0</v>
      </c>
      <c r="E57" s="15" t="s">
        <v>521</v>
      </c>
      <c r="F57" s="15" t="s">
        <v>99</v>
      </c>
      <c r="G57" s="15" t="s">
        <v>186</v>
      </c>
      <c r="H57" s="15" t="s">
        <v>38</v>
      </c>
      <c r="I57" s="32">
        <v>39.0</v>
      </c>
      <c r="J57" s="72">
        <v>800.0</v>
      </c>
      <c r="K57" s="72" t="s">
        <v>5220</v>
      </c>
      <c r="L57" s="23" t="s">
        <v>5232</v>
      </c>
      <c r="M57" s="81" t="s">
        <v>4631</v>
      </c>
      <c r="N57" s="81" t="s">
        <v>40</v>
      </c>
      <c r="O57" s="88">
        <v>0.375</v>
      </c>
      <c r="P57" s="88">
        <v>0.6666666666666666</v>
      </c>
      <c r="Q57" s="93" t="s">
        <v>50</v>
      </c>
      <c r="R57" s="93" t="s">
        <v>50</v>
      </c>
      <c r="S57" s="93" t="s">
        <v>50</v>
      </c>
      <c r="T57" s="93" t="s">
        <v>50</v>
      </c>
      <c r="U57" s="93" t="s">
        <v>28</v>
      </c>
      <c r="V57" s="93" t="s">
        <v>28</v>
      </c>
      <c r="W57" s="93" t="s">
        <v>28</v>
      </c>
      <c r="X57" s="93" t="s">
        <v>28</v>
      </c>
      <c r="Y57" s="93" t="s">
        <v>28</v>
      </c>
      <c r="Z57" s="93" t="s">
        <v>28</v>
      </c>
      <c r="AA57" s="93" t="s">
        <v>50</v>
      </c>
      <c r="AB57" s="93" t="s">
        <v>50</v>
      </c>
    </row>
    <row r="58" ht="56.25" customHeight="1">
      <c r="A58" s="86" t="s">
        <v>5308</v>
      </c>
      <c r="B58" s="87" t="str">
        <f>IMAGE("https://i.imgur.com/WrnLwb9.png")</f>
        <v/>
      </c>
      <c r="C58" s="41" t="str">
        <f>image("https://i.imgur.com/BFyMvEp.png")</f>
        <v/>
      </c>
      <c r="D58" s="15">
        <v>5254.0</v>
      </c>
      <c r="E58" s="15" t="s">
        <v>208</v>
      </c>
      <c r="F58" s="15" t="s">
        <v>99</v>
      </c>
      <c r="G58" s="15" t="s">
        <v>41</v>
      </c>
      <c r="H58" s="15" t="s">
        <v>38</v>
      </c>
      <c r="I58" s="32">
        <v>9.0</v>
      </c>
      <c r="J58" s="72">
        <v>4500.0</v>
      </c>
      <c r="K58" s="72" t="s">
        <v>5242</v>
      </c>
      <c r="L58" s="23" t="s">
        <v>5217</v>
      </c>
      <c r="M58" s="81" t="s">
        <v>4610</v>
      </c>
      <c r="N58" s="81" t="s">
        <v>40</v>
      </c>
      <c r="O58" s="88">
        <v>0.375</v>
      </c>
      <c r="P58" s="88">
        <v>0.6666666666666666</v>
      </c>
      <c r="Q58" s="93" t="s">
        <v>50</v>
      </c>
      <c r="R58" s="93" t="s">
        <v>50</v>
      </c>
      <c r="S58" s="93" t="s">
        <v>50</v>
      </c>
      <c r="T58" s="93" t="s">
        <v>50</v>
      </c>
      <c r="U58" s="93" t="s">
        <v>50</v>
      </c>
      <c r="V58" s="93" t="s">
        <v>50</v>
      </c>
      <c r="W58" s="93" t="s">
        <v>50</v>
      </c>
      <c r="X58" s="93" t="s">
        <v>50</v>
      </c>
      <c r="Y58" s="93" t="s">
        <v>50</v>
      </c>
      <c r="Z58" s="93" t="s">
        <v>50</v>
      </c>
      <c r="AA58" s="93" t="s">
        <v>50</v>
      </c>
      <c r="AB58" s="93" t="s">
        <v>50</v>
      </c>
    </row>
    <row r="59" ht="56.25" customHeight="1">
      <c r="A59" s="86" t="s">
        <v>5309</v>
      </c>
      <c r="B59" s="87" t="str">
        <f>IMAGE("https://i.imgur.com/wNgX65X.png")</f>
        <v/>
      </c>
      <c r="C59" s="41" t="str">
        <f>image("https://i.imgur.com/9yfz34P.png")</f>
        <v/>
      </c>
      <c r="D59" s="15">
        <v>2277.0</v>
      </c>
      <c r="E59" s="15" t="s">
        <v>118</v>
      </c>
      <c r="F59" s="15" t="s">
        <v>99</v>
      </c>
      <c r="G59" s="15" t="s">
        <v>186</v>
      </c>
      <c r="H59" s="15" t="s">
        <v>130</v>
      </c>
      <c r="I59" s="32">
        <v>71.0</v>
      </c>
      <c r="J59" s="72">
        <v>3000.0</v>
      </c>
      <c r="K59" s="72" t="s">
        <v>84</v>
      </c>
      <c r="L59" s="23" t="s">
        <v>5259</v>
      </c>
      <c r="M59" s="81" t="s">
        <v>4610</v>
      </c>
      <c r="N59" s="81" t="s">
        <v>40</v>
      </c>
      <c r="O59" s="88">
        <v>0.16666666666666666</v>
      </c>
      <c r="P59" s="88">
        <v>0.875</v>
      </c>
      <c r="Q59" s="93" t="s">
        <v>28</v>
      </c>
      <c r="R59" s="93" t="s">
        <v>50</v>
      </c>
      <c r="S59" s="93" t="s">
        <v>50</v>
      </c>
      <c r="T59" s="93" t="s">
        <v>50</v>
      </c>
      <c r="U59" s="93" t="s">
        <v>50</v>
      </c>
      <c r="V59" s="93" t="s">
        <v>28</v>
      </c>
      <c r="W59" s="93" t="s">
        <v>28</v>
      </c>
      <c r="X59" s="93" t="s">
        <v>28</v>
      </c>
      <c r="Y59" s="93" t="s">
        <v>28</v>
      </c>
      <c r="Z59" s="93" t="s">
        <v>28</v>
      </c>
      <c r="AA59" s="93" t="s">
        <v>28</v>
      </c>
      <c r="AB59" s="93" t="s">
        <v>28</v>
      </c>
    </row>
    <row r="60" ht="56.25" customHeight="1">
      <c r="A60" s="86" t="s">
        <v>5311</v>
      </c>
      <c r="B60" s="87" t="str">
        <f>IMAGE("https://i.imgur.com/ihC46yp.png")</f>
        <v/>
      </c>
      <c r="C60" s="41" t="str">
        <f>image("https://i.imgur.com/DEssjTQ.png")</f>
        <v/>
      </c>
      <c r="D60" s="15">
        <v>2267.0</v>
      </c>
      <c r="E60" s="15" t="s">
        <v>208</v>
      </c>
      <c r="F60" s="15" t="s">
        <v>99</v>
      </c>
      <c r="G60" s="15" t="s">
        <v>186</v>
      </c>
      <c r="H60" s="15" t="s">
        <v>38</v>
      </c>
      <c r="I60" s="32">
        <v>60.0</v>
      </c>
      <c r="J60" s="72">
        <v>3000.0</v>
      </c>
      <c r="K60" s="72" t="s">
        <v>84</v>
      </c>
      <c r="L60" s="23" t="s">
        <v>5224</v>
      </c>
      <c r="M60" s="23" t="s">
        <v>4631</v>
      </c>
      <c r="N60" s="23" t="s">
        <v>40</v>
      </c>
      <c r="O60" s="72" t="s">
        <v>4632</v>
      </c>
      <c r="P60" s="72" t="s">
        <v>4632</v>
      </c>
      <c r="Q60" s="93" t="s">
        <v>50</v>
      </c>
      <c r="R60" s="93" t="s">
        <v>50</v>
      </c>
      <c r="S60" s="93" t="s">
        <v>50</v>
      </c>
      <c r="T60" s="93" t="s">
        <v>50</v>
      </c>
      <c r="U60" s="93" t="s">
        <v>50</v>
      </c>
      <c r="V60" s="93" t="s">
        <v>50</v>
      </c>
      <c r="W60" s="93" t="s">
        <v>50</v>
      </c>
      <c r="X60" s="93" t="s">
        <v>50</v>
      </c>
      <c r="Y60" s="93" t="s">
        <v>50</v>
      </c>
      <c r="Z60" s="93" t="s">
        <v>50</v>
      </c>
      <c r="AA60" s="93" t="s">
        <v>50</v>
      </c>
      <c r="AB60" s="93" t="s">
        <v>50</v>
      </c>
    </row>
    <row r="61" ht="56.25" customHeight="1">
      <c r="A61" s="86" t="s">
        <v>5312</v>
      </c>
      <c r="B61" s="87" t="str">
        <f>IMAGE("https://i.imgur.com/YX11P9w.png")</f>
        <v/>
      </c>
      <c r="C61" s="41" t="str">
        <f>image("https://i.imgur.com/e0rV1TX.png")</f>
        <v/>
      </c>
      <c r="D61" s="15">
        <v>2272.0</v>
      </c>
      <c r="E61" s="15" t="s">
        <v>112</v>
      </c>
      <c r="F61" s="15" t="s">
        <v>99</v>
      </c>
      <c r="G61" s="15" t="s">
        <v>186</v>
      </c>
      <c r="H61" s="15" t="s">
        <v>130</v>
      </c>
      <c r="I61" s="32">
        <v>65.0</v>
      </c>
      <c r="J61" s="72">
        <v>600.0</v>
      </c>
      <c r="K61" s="72" t="s">
        <v>84</v>
      </c>
      <c r="L61" s="23" t="s">
        <v>5289</v>
      </c>
      <c r="M61" s="23" t="s">
        <v>4631</v>
      </c>
      <c r="N61" s="23" t="s">
        <v>40</v>
      </c>
      <c r="O61" s="72" t="s">
        <v>4632</v>
      </c>
      <c r="P61" s="72" t="s">
        <v>4632</v>
      </c>
      <c r="Q61" s="93" t="s">
        <v>50</v>
      </c>
      <c r="R61" s="93" t="s">
        <v>50</v>
      </c>
      <c r="S61" s="93" t="s">
        <v>50</v>
      </c>
      <c r="T61" s="93" t="s">
        <v>50</v>
      </c>
      <c r="U61" s="93" t="s">
        <v>28</v>
      </c>
      <c r="V61" s="93" t="s">
        <v>28</v>
      </c>
      <c r="W61" s="93" t="s">
        <v>28</v>
      </c>
      <c r="X61" s="93" t="s">
        <v>28</v>
      </c>
      <c r="Y61" s="93" t="s">
        <v>28</v>
      </c>
      <c r="Z61" s="93" t="s">
        <v>28</v>
      </c>
      <c r="AA61" s="93" t="s">
        <v>28</v>
      </c>
      <c r="AB61" s="93" t="s">
        <v>50</v>
      </c>
    </row>
    <row r="62" ht="56.25" customHeight="1">
      <c r="A62" s="86" t="s">
        <v>5313</v>
      </c>
      <c r="B62" s="87" t="str">
        <f>IMAGE("https://i.imgur.com/cfaAkFt.png")</f>
        <v/>
      </c>
      <c r="C62" s="41" t="str">
        <f>image("https://i.imgur.com/Pr9wvAw.png")</f>
        <v/>
      </c>
      <c r="D62" s="15">
        <v>2254.0</v>
      </c>
      <c r="E62" s="15" t="s">
        <v>118</v>
      </c>
      <c r="F62" s="15" t="s">
        <v>99</v>
      </c>
      <c r="G62" s="15" t="s">
        <v>186</v>
      </c>
      <c r="H62" s="15" t="s">
        <v>130</v>
      </c>
      <c r="I62" s="32">
        <v>45.0</v>
      </c>
      <c r="J62" s="72">
        <v>4000.0</v>
      </c>
      <c r="K62" s="72" t="s">
        <v>5220</v>
      </c>
      <c r="L62" s="23" t="s">
        <v>5224</v>
      </c>
      <c r="M62" s="81" t="s">
        <v>4610</v>
      </c>
      <c r="N62" s="81" t="s">
        <v>40</v>
      </c>
      <c r="O62" s="88">
        <v>0.875</v>
      </c>
      <c r="P62" s="88">
        <v>0.16666666666666666</v>
      </c>
      <c r="Q62" s="93" t="s">
        <v>50</v>
      </c>
      <c r="R62" s="93" t="s">
        <v>50</v>
      </c>
      <c r="S62" s="93" t="s">
        <v>50</v>
      </c>
      <c r="T62" s="93" t="s">
        <v>28</v>
      </c>
      <c r="U62" s="93" t="s">
        <v>28</v>
      </c>
      <c r="V62" s="93" t="s">
        <v>28</v>
      </c>
      <c r="W62" s="93" t="s">
        <v>28</v>
      </c>
      <c r="X62" s="93" t="s">
        <v>28</v>
      </c>
      <c r="Y62" s="93" t="s">
        <v>28</v>
      </c>
      <c r="Z62" s="93" t="s">
        <v>28</v>
      </c>
      <c r="AA62" s="93" t="s">
        <v>28</v>
      </c>
      <c r="AB62" s="93" t="s">
        <v>50</v>
      </c>
    </row>
    <row r="63" ht="56.25" customHeight="1">
      <c r="A63" s="86" t="s">
        <v>5315</v>
      </c>
      <c r="B63" s="87" t="str">
        <f>IMAGE("https://i.imgur.com/HPUTybs.png")</f>
        <v/>
      </c>
      <c r="C63" s="41" t="str">
        <f>image("https://i.imgur.com/E1IOH2Z.png")</f>
        <v/>
      </c>
      <c r="D63" s="15">
        <v>2242.0</v>
      </c>
      <c r="E63" s="15" t="s">
        <v>118</v>
      </c>
      <c r="F63" s="15" t="s">
        <v>99</v>
      </c>
      <c r="G63" s="15" t="s">
        <v>186</v>
      </c>
      <c r="H63" s="15" t="s">
        <v>130</v>
      </c>
      <c r="I63" s="32">
        <v>31.0</v>
      </c>
      <c r="J63" s="72">
        <v>700.0</v>
      </c>
      <c r="K63" s="72" t="s">
        <v>5281</v>
      </c>
      <c r="L63" s="23" t="s">
        <v>5224</v>
      </c>
      <c r="M63" s="23" t="s">
        <v>4631</v>
      </c>
      <c r="N63" s="23" t="s">
        <v>40</v>
      </c>
      <c r="O63" s="72" t="s">
        <v>4632</v>
      </c>
      <c r="P63" s="72" t="s">
        <v>4632</v>
      </c>
      <c r="Q63" s="93" t="s">
        <v>28</v>
      </c>
      <c r="R63" s="93" t="s">
        <v>28</v>
      </c>
      <c r="S63" s="93" t="s">
        <v>50</v>
      </c>
      <c r="T63" s="93" t="s">
        <v>28</v>
      </c>
      <c r="U63" s="93" t="s">
        <v>28</v>
      </c>
      <c r="V63" s="93" t="s">
        <v>28</v>
      </c>
      <c r="W63" s="93" t="s">
        <v>28</v>
      </c>
      <c r="X63" s="93" t="s">
        <v>28</v>
      </c>
      <c r="Y63" s="93" t="s">
        <v>28</v>
      </c>
      <c r="Z63" s="93" t="s">
        <v>28</v>
      </c>
      <c r="AA63" s="93" t="s">
        <v>28</v>
      </c>
      <c r="AB63" s="93" t="s">
        <v>28</v>
      </c>
    </row>
    <row r="64" ht="56.25" customHeight="1">
      <c r="A64" s="86" t="s">
        <v>5316</v>
      </c>
      <c r="B64" s="87" t="str">
        <f>IMAGE("https://i.imgur.com/WyBOZQ0.png")</f>
        <v/>
      </c>
      <c r="C64" s="41" t="str">
        <f>image("https://i.imgur.com/N9hBA0V.png")</f>
        <v/>
      </c>
      <c r="D64" s="15">
        <v>2281.0</v>
      </c>
      <c r="E64" s="15" t="s">
        <v>118</v>
      </c>
      <c r="F64" s="15" t="s">
        <v>99</v>
      </c>
      <c r="G64" s="15" t="s">
        <v>186</v>
      </c>
      <c r="H64" s="15" t="s">
        <v>130</v>
      </c>
      <c r="I64" s="32">
        <v>72.0</v>
      </c>
      <c r="J64" s="72">
        <v>12000.0</v>
      </c>
      <c r="K64" s="72" t="s">
        <v>84</v>
      </c>
      <c r="L64" s="23" t="s">
        <v>5273</v>
      </c>
      <c r="M64" s="81" t="s">
        <v>4643</v>
      </c>
      <c r="N64" s="81" t="s">
        <v>40</v>
      </c>
      <c r="O64" s="88">
        <v>0.6666666666666666</v>
      </c>
      <c r="P64" s="88">
        <v>0.375</v>
      </c>
      <c r="Q64" s="93" t="s">
        <v>50</v>
      </c>
      <c r="R64" s="93" t="s">
        <v>50</v>
      </c>
      <c r="S64" s="93" t="s">
        <v>50</v>
      </c>
      <c r="T64" s="93" t="s">
        <v>28</v>
      </c>
      <c r="U64" s="93" t="s">
        <v>28</v>
      </c>
      <c r="V64" s="93" t="s">
        <v>28</v>
      </c>
      <c r="W64" s="93" t="s">
        <v>28</v>
      </c>
      <c r="X64" s="93" t="s">
        <v>28</v>
      </c>
      <c r="Y64" s="93" t="s">
        <v>28</v>
      </c>
      <c r="Z64" s="93" t="s">
        <v>28</v>
      </c>
      <c r="AA64" s="93" t="s">
        <v>28</v>
      </c>
      <c r="AB64" s="93" t="s">
        <v>50</v>
      </c>
    </row>
    <row r="65" ht="56.25" customHeight="1">
      <c r="A65" s="86" t="s">
        <v>5317</v>
      </c>
      <c r="B65" s="87" t="str">
        <f>IMAGE("https://i.imgur.com/doHPXwJ.png")</f>
        <v/>
      </c>
      <c r="C65" s="41" t="str">
        <f>image("https://i.imgur.com/KQa2tgt.png")</f>
        <v/>
      </c>
      <c r="D65" s="15">
        <v>2266.0</v>
      </c>
      <c r="E65" s="15" t="s">
        <v>94</v>
      </c>
      <c r="F65" s="15" t="s">
        <v>99</v>
      </c>
      <c r="G65" s="15" t="s">
        <v>186</v>
      </c>
      <c r="H65" s="15" t="s">
        <v>130</v>
      </c>
      <c r="I65" s="32">
        <v>59.0</v>
      </c>
      <c r="J65" s="72">
        <v>400.0</v>
      </c>
      <c r="K65" s="72" t="s">
        <v>84</v>
      </c>
      <c r="L65" s="23" t="s">
        <v>5259</v>
      </c>
      <c r="M65" s="23" t="s">
        <v>4631</v>
      </c>
      <c r="N65" s="23" t="s">
        <v>40</v>
      </c>
      <c r="O65" s="72" t="s">
        <v>4632</v>
      </c>
      <c r="P65" s="72" t="s">
        <v>4632</v>
      </c>
      <c r="Q65" s="93" t="s">
        <v>50</v>
      </c>
      <c r="R65" s="93" t="s">
        <v>50</v>
      </c>
      <c r="S65" s="93" t="s">
        <v>50</v>
      </c>
      <c r="T65" s="93" t="s">
        <v>50</v>
      </c>
      <c r="U65" s="93" t="s">
        <v>50</v>
      </c>
      <c r="V65" s="93" t="s">
        <v>50</v>
      </c>
      <c r="W65" s="93" t="s">
        <v>50</v>
      </c>
      <c r="X65" s="93" t="s">
        <v>50</v>
      </c>
      <c r="Y65" s="93" t="s">
        <v>50</v>
      </c>
      <c r="Z65" s="93" t="s">
        <v>50</v>
      </c>
      <c r="AA65" s="93" t="s">
        <v>50</v>
      </c>
      <c r="AB65" s="93" t="s">
        <v>50</v>
      </c>
    </row>
    <row r="66" ht="56.25" customHeight="1">
      <c r="A66" s="86" t="s">
        <v>5319</v>
      </c>
      <c r="B66" s="87" t="str">
        <f>IMAGE("https://imgur.com/CWo0Eeq.png")</f>
        <v/>
      </c>
      <c r="C66" s="41" t="str">
        <f>image("https://i.imgur.com/DJcmUNC.png")</f>
        <v/>
      </c>
      <c r="D66" s="15">
        <v>2255.0</v>
      </c>
      <c r="E66" s="15" t="s">
        <v>82</v>
      </c>
      <c r="F66" s="15" t="s">
        <v>99</v>
      </c>
      <c r="G66" s="15" t="s">
        <v>186</v>
      </c>
      <c r="H66" s="15" t="s">
        <v>38</v>
      </c>
      <c r="I66" s="32">
        <v>47.0</v>
      </c>
      <c r="J66" s="72">
        <v>1000.0</v>
      </c>
      <c r="K66" s="72" t="s">
        <v>84</v>
      </c>
      <c r="L66" s="23" t="s">
        <v>5232</v>
      </c>
      <c r="M66" s="23" t="s">
        <v>4631</v>
      </c>
      <c r="N66" s="23" t="s">
        <v>40</v>
      </c>
      <c r="O66" s="72" t="s">
        <v>4632</v>
      </c>
      <c r="P66" s="72" t="s">
        <v>4632</v>
      </c>
      <c r="Q66" s="93" t="s">
        <v>28</v>
      </c>
      <c r="R66" s="93" t="s">
        <v>28</v>
      </c>
      <c r="S66" s="93" t="s">
        <v>28</v>
      </c>
      <c r="T66" s="93" t="s">
        <v>28</v>
      </c>
      <c r="U66" s="93" t="s">
        <v>28</v>
      </c>
      <c r="V66" s="93" t="s">
        <v>50</v>
      </c>
      <c r="W66" s="93" t="s">
        <v>50</v>
      </c>
      <c r="X66" s="93" t="s">
        <v>50</v>
      </c>
      <c r="Y66" s="93" t="s">
        <v>50</v>
      </c>
      <c r="Z66" s="93" t="s">
        <v>28</v>
      </c>
      <c r="AA66" s="93" t="s">
        <v>28</v>
      </c>
      <c r="AB66" s="93" t="s">
        <v>28</v>
      </c>
    </row>
    <row r="67" ht="56.25" customHeight="1">
      <c r="A67" s="86" t="s">
        <v>5320</v>
      </c>
      <c r="B67" s="87" t="str">
        <f>IMAGE("http://imgur.com/SNZr1nu.png")</f>
        <v/>
      </c>
      <c r="C67" s="41" t="str">
        <f>image("https://i.imgur.com/MqDybM8.png")</f>
        <v/>
      </c>
      <c r="D67" s="15">
        <v>2256.0</v>
      </c>
      <c r="E67" s="15" t="s">
        <v>521</v>
      </c>
      <c r="F67" s="15" t="s">
        <v>99</v>
      </c>
      <c r="G67" s="15" t="s">
        <v>186</v>
      </c>
      <c r="H67" s="15" t="s">
        <v>38</v>
      </c>
      <c r="I67" s="32">
        <v>48.0</v>
      </c>
      <c r="J67" s="72">
        <v>1100.0</v>
      </c>
      <c r="K67" s="72" t="s">
        <v>84</v>
      </c>
      <c r="L67" s="23" t="s">
        <v>5232</v>
      </c>
      <c r="M67" s="23" t="s">
        <v>4631</v>
      </c>
      <c r="N67" s="23" t="s">
        <v>40</v>
      </c>
      <c r="O67" s="72" t="s">
        <v>4632</v>
      </c>
      <c r="P67" s="72" t="s">
        <v>4632</v>
      </c>
      <c r="Q67" s="93" t="s">
        <v>50</v>
      </c>
      <c r="R67" s="93" t="s">
        <v>50</v>
      </c>
      <c r="S67" s="93" t="s">
        <v>50</v>
      </c>
      <c r="T67" s="93" t="s">
        <v>50</v>
      </c>
      <c r="U67" s="93" t="s">
        <v>50</v>
      </c>
      <c r="V67" s="93" t="s">
        <v>28</v>
      </c>
      <c r="W67" s="93" t="s">
        <v>28</v>
      </c>
      <c r="X67" s="93" t="s">
        <v>28</v>
      </c>
      <c r="Y67" s="93" t="s">
        <v>28</v>
      </c>
      <c r="Z67" s="93" t="s">
        <v>50</v>
      </c>
      <c r="AA67" s="93" t="s">
        <v>50</v>
      </c>
      <c r="AB67" s="93" t="s">
        <v>50</v>
      </c>
    </row>
    <row r="68" ht="56.25" customHeight="1">
      <c r="A68" s="86" t="s">
        <v>5321</v>
      </c>
      <c r="B68" s="87" t="str">
        <f>IMAGE("https://i.imgur.com/H3lbVGH.png")</f>
        <v/>
      </c>
      <c r="C68" s="41" t="str">
        <f>image("https://i.imgur.com/BTs4prP.png")</f>
        <v/>
      </c>
      <c r="D68" s="15">
        <v>4192.0</v>
      </c>
      <c r="E68" s="15" t="s">
        <v>118</v>
      </c>
      <c r="F68" s="15" t="s">
        <v>99</v>
      </c>
      <c r="G68" s="15" t="s">
        <v>41</v>
      </c>
      <c r="H68" s="15" t="s">
        <v>38</v>
      </c>
      <c r="I68" s="32">
        <v>13.0</v>
      </c>
      <c r="J68" s="72">
        <v>5000.0</v>
      </c>
      <c r="K68" s="72" t="s">
        <v>5220</v>
      </c>
      <c r="L68" s="23" t="s">
        <v>5224</v>
      </c>
      <c r="M68" s="81" t="s">
        <v>4631</v>
      </c>
      <c r="N68" s="81" t="s">
        <v>40</v>
      </c>
      <c r="O68" s="88">
        <v>0.875</v>
      </c>
      <c r="P68" s="88">
        <v>0.16666666666666666</v>
      </c>
      <c r="Q68" s="93" t="s">
        <v>50</v>
      </c>
      <c r="R68" s="93" t="s">
        <v>50</v>
      </c>
      <c r="S68" s="93" t="s">
        <v>50</v>
      </c>
      <c r="T68" s="93" t="s">
        <v>50</v>
      </c>
      <c r="U68" s="93" t="s">
        <v>28</v>
      </c>
      <c r="V68" s="93" t="s">
        <v>28</v>
      </c>
      <c r="W68" s="93" t="s">
        <v>28</v>
      </c>
      <c r="X68" s="93" t="s">
        <v>28</v>
      </c>
      <c r="Y68" s="93" t="s">
        <v>28</v>
      </c>
      <c r="Z68" s="93" t="s">
        <v>50</v>
      </c>
      <c r="AA68" s="93" t="s">
        <v>50</v>
      </c>
      <c r="AB68" s="93" t="s">
        <v>50</v>
      </c>
    </row>
    <row r="69" ht="56.25" customHeight="1">
      <c r="A69" s="89" t="s">
        <v>5323</v>
      </c>
      <c r="B69" s="87" t="str">
        <f>IMAGE("https://i.imgur.com/uSzay0T.png")</f>
        <v/>
      </c>
      <c r="C69" s="41" t="str">
        <f>image("https://i.imgur.com/KD8M1Wi.png")</f>
        <v/>
      </c>
      <c r="D69" s="15">
        <v>2224.0</v>
      </c>
      <c r="E69" s="15" t="s">
        <v>369</v>
      </c>
      <c r="F69" s="15" t="s">
        <v>99</v>
      </c>
      <c r="G69" s="15" t="s">
        <v>41</v>
      </c>
      <c r="H69" s="15" t="s">
        <v>38</v>
      </c>
      <c r="I69" s="32">
        <v>12.0</v>
      </c>
      <c r="J69" s="72">
        <v>3750.0</v>
      </c>
      <c r="K69" s="72" t="s">
        <v>5220</v>
      </c>
      <c r="L69" s="23" t="s">
        <v>5224</v>
      </c>
      <c r="M69" s="81" t="s">
        <v>4610</v>
      </c>
      <c r="N69" s="81" t="s">
        <v>40</v>
      </c>
      <c r="O69" s="88">
        <v>0.6666666666666666</v>
      </c>
      <c r="P69" s="88">
        <v>0.375</v>
      </c>
      <c r="Q69" s="93" t="s">
        <v>28</v>
      </c>
      <c r="R69" s="93" t="s">
        <v>50</v>
      </c>
      <c r="S69" s="93" t="s">
        <v>50</v>
      </c>
      <c r="T69" s="93" t="s">
        <v>28</v>
      </c>
      <c r="U69" s="93" t="s">
        <v>28</v>
      </c>
      <c r="V69" s="93" t="s">
        <v>28</v>
      </c>
      <c r="W69" s="93" t="s">
        <v>28</v>
      </c>
      <c r="X69" s="93" t="s">
        <v>28</v>
      </c>
      <c r="Y69" s="93" t="s">
        <v>28</v>
      </c>
      <c r="Z69" s="93" t="s">
        <v>28</v>
      </c>
      <c r="AA69" s="93" t="s">
        <v>28</v>
      </c>
      <c r="AB69" s="93" t="s">
        <v>28</v>
      </c>
    </row>
    <row r="70" ht="56.25" customHeight="1">
      <c r="A70" s="86" t="s">
        <v>5324</v>
      </c>
      <c r="B70" s="87" t="str">
        <f>IMAGE("https://i.imgur.com/qBreH53.png")</f>
        <v/>
      </c>
      <c r="C70" s="41" t="str">
        <f>image("https://i.imgur.com/Jsq5MHY.png")</f>
        <v/>
      </c>
      <c r="D70" s="15">
        <v>2270.0</v>
      </c>
      <c r="E70" s="15" t="s">
        <v>1608</v>
      </c>
      <c r="F70" s="15" t="s">
        <v>99</v>
      </c>
      <c r="G70" s="15" t="s">
        <v>186</v>
      </c>
      <c r="H70" s="15" t="s">
        <v>38</v>
      </c>
      <c r="I70" s="32">
        <v>63.0</v>
      </c>
      <c r="J70" s="72">
        <v>500.0</v>
      </c>
      <c r="K70" s="72" t="s">
        <v>84</v>
      </c>
      <c r="L70" s="23" t="s">
        <v>5227</v>
      </c>
      <c r="M70" s="23" t="s">
        <v>4631</v>
      </c>
      <c r="N70" s="23" t="s">
        <v>40</v>
      </c>
      <c r="O70" s="72" t="s">
        <v>4632</v>
      </c>
      <c r="P70" s="72" t="s">
        <v>4632</v>
      </c>
      <c r="Q70" s="93" t="s">
        <v>50</v>
      </c>
      <c r="R70" s="93" t="s">
        <v>50</v>
      </c>
      <c r="S70" s="93" t="s">
        <v>28</v>
      </c>
      <c r="T70" s="93" t="s">
        <v>28</v>
      </c>
      <c r="U70" s="93" t="s">
        <v>28</v>
      </c>
      <c r="V70" s="93" t="s">
        <v>50</v>
      </c>
      <c r="W70" s="93" t="s">
        <v>50</v>
      </c>
      <c r="X70" s="93" t="s">
        <v>50</v>
      </c>
      <c r="Y70" s="93" t="s">
        <v>50</v>
      </c>
      <c r="Z70" s="93" t="s">
        <v>50</v>
      </c>
      <c r="AA70" s="93" t="s">
        <v>50</v>
      </c>
      <c r="AB70" s="93" t="s">
        <v>50</v>
      </c>
    </row>
    <row r="71" ht="56.25" customHeight="1">
      <c r="A71" s="86" t="s">
        <v>5325</v>
      </c>
      <c r="B71" s="87" t="str">
        <f>IMAGE("https://i.imgur.com/Je8MTMi.png")</f>
        <v/>
      </c>
      <c r="C71" s="41" t="str">
        <f>image("https://i.imgur.com/fhLh3rq.png")</f>
        <v/>
      </c>
      <c r="D71" s="15">
        <v>2241.0</v>
      </c>
      <c r="E71" s="15" t="s">
        <v>118</v>
      </c>
      <c r="F71" s="15" t="s">
        <v>99</v>
      </c>
      <c r="G71" s="15" t="s">
        <v>186</v>
      </c>
      <c r="H71" s="15" t="s">
        <v>130</v>
      </c>
      <c r="I71" s="32">
        <v>30.0</v>
      </c>
      <c r="J71" s="72">
        <v>15000.0</v>
      </c>
      <c r="K71" s="72" t="s">
        <v>5246</v>
      </c>
      <c r="L71" s="23" t="s">
        <v>5259</v>
      </c>
      <c r="M71" s="81" t="s">
        <v>4697</v>
      </c>
      <c r="N71" s="81" t="s">
        <v>40</v>
      </c>
      <c r="O71" s="88">
        <v>0.6666666666666666</v>
      </c>
      <c r="P71" s="88">
        <v>0.375</v>
      </c>
      <c r="Q71" s="93" t="s">
        <v>28</v>
      </c>
      <c r="R71" s="93" t="s">
        <v>28</v>
      </c>
      <c r="S71" s="93" t="s">
        <v>28</v>
      </c>
      <c r="T71" s="93" t="s">
        <v>28</v>
      </c>
      <c r="U71" s="93" t="s">
        <v>28</v>
      </c>
      <c r="V71" s="93" t="s">
        <v>50</v>
      </c>
      <c r="W71" s="93" t="s">
        <v>50</v>
      </c>
      <c r="X71" s="93" t="s">
        <v>50</v>
      </c>
      <c r="Y71" s="93" t="s">
        <v>50</v>
      </c>
      <c r="Z71" s="93" t="s">
        <v>28</v>
      </c>
      <c r="AA71" s="93" t="s">
        <v>28</v>
      </c>
      <c r="AB71" s="93" t="s">
        <v>28</v>
      </c>
    </row>
    <row r="72" ht="56.25" customHeight="1">
      <c r="A72" s="86" t="s">
        <v>5326</v>
      </c>
      <c r="B72" s="87" t="str">
        <f>IMAGE("https://i.imgur.com/lONOoFV.png")</f>
        <v/>
      </c>
      <c r="C72" s="41" t="str">
        <f>image("https://i.imgur.com/9c9dJ8f.png")</f>
        <v/>
      </c>
      <c r="D72" s="15">
        <v>4189.0</v>
      </c>
      <c r="E72" s="15" t="s">
        <v>99</v>
      </c>
      <c r="F72" s="15" t="s">
        <v>99</v>
      </c>
      <c r="G72" s="15" t="s">
        <v>186</v>
      </c>
      <c r="H72" s="15" t="s">
        <v>130</v>
      </c>
      <c r="I72" s="32">
        <v>46.0</v>
      </c>
      <c r="J72" s="72">
        <v>10000.0</v>
      </c>
      <c r="K72" s="72" t="s">
        <v>5281</v>
      </c>
      <c r="L72" s="23" t="s">
        <v>5222</v>
      </c>
      <c r="M72" s="23" t="s">
        <v>4610</v>
      </c>
      <c r="N72" s="23" t="s">
        <v>53</v>
      </c>
      <c r="O72" s="72" t="s">
        <v>4632</v>
      </c>
      <c r="P72" s="72" t="s">
        <v>4632</v>
      </c>
      <c r="Q72" s="93" t="s">
        <v>28</v>
      </c>
      <c r="R72" s="93" t="s">
        <v>28</v>
      </c>
      <c r="S72" s="93" t="s">
        <v>50</v>
      </c>
      <c r="T72" s="93" t="s">
        <v>50</v>
      </c>
      <c r="U72" s="93" t="s">
        <v>50</v>
      </c>
      <c r="V72" s="93" t="s">
        <v>50</v>
      </c>
      <c r="W72" s="93" t="s">
        <v>50</v>
      </c>
      <c r="X72" s="93" t="s">
        <v>50</v>
      </c>
      <c r="Y72" s="93" t="s">
        <v>50</v>
      </c>
      <c r="Z72" s="93" t="s">
        <v>28</v>
      </c>
      <c r="AA72" s="93" t="s">
        <v>28</v>
      </c>
      <c r="AB72" s="93" t="s">
        <v>28</v>
      </c>
    </row>
    <row r="73" ht="56.25" customHeight="1">
      <c r="A73" s="86" t="s">
        <v>5328</v>
      </c>
      <c r="B73" s="87" t="str">
        <f>IMAGE("https://i.imgur.com/X57NXnl.png")</f>
        <v/>
      </c>
      <c r="C73" s="41" t="str">
        <f>image("https://i.imgur.com/L6n3z0s.png")</f>
        <v/>
      </c>
      <c r="D73" s="15">
        <v>4203.0</v>
      </c>
      <c r="E73" s="15" t="s">
        <v>99</v>
      </c>
      <c r="F73" s="15" t="s">
        <v>99</v>
      </c>
      <c r="G73" s="15" t="s">
        <v>186</v>
      </c>
      <c r="H73" s="15" t="s">
        <v>38</v>
      </c>
      <c r="I73" s="32">
        <v>76.0</v>
      </c>
      <c r="J73" s="72">
        <v>1500.0</v>
      </c>
      <c r="K73" s="72" t="s">
        <v>84</v>
      </c>
      <c r="L73" s="23" t="s">
        <v>5329</v>
      </c>
      <c r="M73" s="23" t="s">
        <v>4610</v>
      </c>
      <c r="N73" s="23" t="s">
        <v>40</v>
      </c>
      <c r="O73" s="72" t="s">
        <v>4632</v>
      </c>
      <c r="P73" s="72" t="s">
        <v>4632</v>
      </c>
      <c r="Q73" s="93" t="s">
        <v>50</v>
      </c>
      <c r="R73" s="93" t="s">
        <v>50</v>
      </c>
      <c r="S73" s="93" t="s">
        <v>50</v>
      </c>
      <c r="T73" s="93" t="s">
        <v>28</v>
      </c>
      <c r="U73" s="93" t="s">
        <v>28</v>
      </c>
      <c r="V73" s="93" t="s">
        <v>28</v>
      </c>
      <c r="W73" s="93" t="s">
        <v>28</v>
      </c>
      <c r="X73" s="93" t="s">
        <v>28</v>
      </c>
      <c r="Y73" s="93" t="s">
        <v>28</v>
      </c>
      <c r="Z73" s="93" t="s">
        <v>28</v>
      </c>
      <c r="AA73" s="93" t="s">
        <v>28</v>
      </c>
      <c r="AB73" s="93" t="s">
        <v>50</v>
      </c>
    </row>
    <row r="74" ht="56.25" customHeight="1">
      <c r="A74" s="86" t="s">
        <v>5330</v>
      </c>
      <c r="B74" s="87" t="str">
        <f>IMAGE("https://i.imgur.com/qfWTnni.png")</f>
        <v/>
      </c>
      <c r="C74" s="41" t="str">
        <f>image("https://i.imgur.com/XD2NwWc.png")</f>
        <v/>
      </c>
      <c r="D74" s="15">
        <v>2258.0</v>
      </c>
      <c r="E74" s="15" t="s">
        <v>112</v>
      </c>
      <c r="F74" s="15" t="s">
        <v>99</v>
      </c>
      <c r="G74" s="15" t="s">
        <v>186</v>
      </c>
      <c r="H74" s="15" t="s">
        <v>38</v>
      </c>
      <c r="I74" s="32">
        <v>50.0</v>
      </c>
      <c r="J74" s="72">
        <v>1000.0</v>
      </c>
      <c r="K74" s="72" t="s">
        <v>84</v>
      </c>
      <c r="L74" s="23" t="s">
        <v>5217</v>
      </c>
      <c r="M74" s="23" t="s">
        <v>4631</v>
      </c>
      <c r="N74" s="23" t="s">
        <v>40</v>
      </c>
      <c r="O74" s="72" t="s">
        <v>4632</v>
      </c>
      <c r="P74" s="72" t="s">
        <v>4632</v>
      </c>
      <c r="Q74" s="93" t="s">
        <v>50</v>
      </c>
      <c r="R74" s="93" t="s">
        <v>50</v>
      </c>
      <c r="S74" s="93" t="s">
        <v>50</v>
      </c>
      <c r="T74" s="93" t="s">
        <v>28</v>
      </c>
      <c r="U74" s="93" t="s">
        <v>28</v>
      </c>
      <c r="V74" s="93" t="s">
        <v>28</v>
      </c>
      <c r="W74" s="93" t="s">
        <v>28</v>
      </c>
      <c r="X74" s="93" t="s">
        <v>28</v>
      </c>
      <c r="Y74" s="93" t="s">
        <v>28</v>
      </c>
      <c r="Z74" s="93" t="s">
        <v>50</v>
      </c>
      <c r="AA74" s="93" t="s">
        <v>50</v>
      </c>
      <c r="AB74" s="93" t="s">
        <v>50</v>
      </c>
    </row>
    <row r="75" ht="56.25" customHeight="1">
      <c r="A75" s="86" t="s">
        <v>5331</v>
      </c>
      <c r="B75" s="87" t="str">
        <f>IMAGE("https://i.imgur.com/tXKSYzW.png")</f>
        <v/>
      </c>
      <c r="C75" s="41" t="str">
        <f>image("https://i.imgur.com/MOhqBsg.png")</f>
        <v/>
      </c>
      <c r="D75" s="15">
        <v>2237.0</v>
      </c>
      <c r="E75" s="15" t="s">
        <v>369</v>
      </c>
      <c r="F75" s="15" t="s">
        <v>99</v>
      </c>
      <c r="G75" s="15" t="s">
        <v>186</v>
      </c>
      <c r="H75" s="15" t="s">
        <v>38</v>
      </c>
      <c r="I75" s="32">
        <v>26.0</v>
      </c>
      <c r="J75" s="72">
        <v>900.0</v>
      </c>
      <c r="K75" s="72" t="s">
        <v>5220</v>
      </c>
      <c r="L75" s="23" t="s">
        <v>5227</v>
      </c>
      <c r="M75" s="23" t="s">
        <v>4631</v>
      </c>
      <c r="N75" s="23" t="s">
        <v>40</v>
      </c>
      <c r="O75" s="72" t="s">
        <v>4632</v>
      </c>
      <c r="P75" s="72" t="s">
        <v>4632</v>
      </c>
      <c r="Q75" s="93" t="s">
        <v>50</v>
      </c>
      <c r="R75" s="93" t="s">
        <v>50</v>
      </c>
      <c r="S75" s="93" t="s">
        <v>50</v>
      </c>
      <c r="T75" s="93" t="s">
        <v>28</v>
      </c>
      <c r="U75" s="93" t="s">
        <v>28</v>
      </c>
      <c r="V75" s="93" t="s">
        <v>28</v>
      </c>
      <c r="W75" s="93" t="s">
        <v>28</v>
      </c>
      <c r="X75" s="93" t="s">
        <v>28</v>
      </c>
      <c r="Y75" s="93" t="s">
        <v>28</v>
      </c>
      <c r="Z75" s="93" t="s">
        <v>28</v>
      </c>
      <c r="AA75" s="93" t="s">
        <v>28</v>
      </c>
      <c r="AB75" s="93" t="s">
        <v>28</v>
      </c>
    </row>
    <row r="76" ht="56.25" customHeight="1">
      <c r="A76" s="86" t="s">
        <v>5333</v>
      </c>
      <c r="B76" s="87" t="str">
        <f>IMAGE("https://i.imgur.com/IYsxgQ0.png")</f>
        <v/>
      </c>
      <c r="C76" s="41" t="str">
        <f>image("https://i.imgur.com/NxONhc3.png")</f>
        <v/>
      </c>
      <c r="D76" s="15">
        <v>2225.0</v>
      </c>
      <c r="E76" s="15" t="s">
        <v>99</v>
      </c>
      <c r="F76" s="15" t="s">
        <v>112</v>
      </c>
      <c r="G76" s="15" t="s">
        <v>41</v>
      </c>
      <c r="H76" s="15" t="s">
        <v>38</v>
      </c>
      <c r="I76" s="32">
        <v>14.0</v>
      </c>
      <c r="J76" s="72">
        <v>100.0</v>
      </c>
      <c r="K76" s="72" t="s">
        <v>5242</v>
      </c>
      <c r="L76" s="23" t="s">
        <v>5232</v>
      </c>
      <c r="M76" s="23" t="s">
        <v>4631</v>
      </c>
      <c r="N76" s="23" t="s">
        <v>40</v>
      </c>
      <c r="O76" s="72" t="s">
        <v>4632</v>
      </c>
      <c r="P76" s="72" t="s">
        <v>4632</v>
      </c>
      <c r="Q76" s="93" t="s">
        <v>50</v>
      </c>
      <c r="R76" s="93" t="s">
        <v>28</v>
      </c>
      <c r="S76" s="93" t="s">
        <v>28</v>
      </c>
      <c r="T76" s="93" t="s">
        <v>28</v>
      </c>
      <c r="U76" s="93" t="s">
        <v>28</v>
      </c>
      <c r="V76" s="93" t="s">
        <v>28</v>
      </c>
      <c r="W76" s="93" t="s">
        <v>28</v>
      </c>
      <c r="X76" s="93" t="s">
        <v>28</v>
      </c>
      <c r="Y76" s="93" t="s">
        <v>50</v>
      </c>
      <c r="Z76" s="93" t="s">
        <v>50</v>
      </c>
      <c r="AA76" s="93" t="s">
        <v>50</v>
      </c>
      <c r="AB76" s="93" t="s">
        <v>50</v>
      </c>
    </row>
    <row r="77" ht="56.25" customHeight="1">
      <c r="A77" s="86" t="s">
        <v>5334</v>
      </c>
      <c r="B77" s="87" t="str">
        <f>IMAGE("http://imgur.com/wSDCDVy.png")</f>
        <v/>
      </c>
      <c r="C77" s="41" t="str">
        <f>image("https://i.imgur.com/68s5EhF.png")</f>
        <v/>
      </c>
      <c r="D77" s="15">
        <v>4190.0</v>
      </c>
      <c r="E77" s="15" t="s">
        <v>99</v>
      </c>
      <c r="F77" s="15" t="s">
        <v>99</v>
      </c>
      <c r="G77" s="15" t="s">
        <v>186</v>
      </c>
      <c r="H77" s="15" t="s">
        <v>38</v>
      </c>
      <c r="I77" s="32">
        <v>23.0</v>
      </c>
      <c r="J77" s="72">
        <v>800.0</v>
      </c>
      <c r="K77" s="72" t="s">
        <v>5220</v>
      </c>
      <c r="L77" s="23" t="s">
        <v>5227</v>
      </c>
      <c r="M77" s="23" t="s">
        <v>4631</v>
      </c>
      <c r="N77" s="23" t="s">
        <v>40</v>
      </c>
      <c r="O77" s="72" t="s">
        <v>4632</v>
      </c>
      <c r="P77" s="72" t="s">
        <v>4632</v>
      </c>
      <c r="Q77" s="93" t="s">
        <v>50</v>
      </c>
      <c r="R77" s="93" t="s">
        <v>50</v>
      </c>
      <c r="S77" s="93" t="s">
        <v>50</v>
      </c>
      <c r="T77" s="93" t="s">
        <v>50</v>
      </c>
      <c r="U77" s="93" t="s">
        <v>28</v>
      </c>
      <c r="V77" s="93" t="s">
        <v>28</v>
      </c>
      <c r="W77" s="93" t="s">
        <v>28</v>
      </c>
      <c r="X77" s="93" t="s">
        <v>28</v>
      </c>
      <c r="Y77" s="93" t="s">
        <v>28</v>
      </c>
      <c r="Z77" s="93" t="s">
        <v>28</v>
      </c>
      <c r="AA77" s="93" t="s">
        <v>28</v>
      </c>
      <c r="AB77" s="93" t="s">
        <v>50</v>
      </c>
    </row>
    <row r="78" ht="56.25" customHeight="1">
      <c r="A78" s="86" t="s">
        <v>5335</v>
      </c>
      <c r="B78" s="87" t="str">
        <f>IMAGE("https://i.imgur.com/uWJT9rN.png")</f>
        <v/>
      </c>
      <c r="C78" s="41" t="str">
        <f>image("https://i.imgur.com/Ugn52X2.png")</f>
        <v/>
      </c>
      <c r="D78" s="15">
        <v>2274.0</v>
      </c>
      <c r="E78" s="15" t="s">
        <v>112</v>
      </c>
      <c r="F78" s="15" t="s">
        <v>99</v>
      </c>
      <c r="G78" s="15" t="s">
        <v>186</v>
      </c>
      <c r="H78" s="15" t="s">
        <v>130</v>
      </c>
      <c r="I78" s="32">
        <v>66.0</v>
      </c>
      <c r="J78" s="72">
        <v>7000.0</v>
      </c>
      <c r="K78" s="72" t="s">
        <v>5237</v>
      </c>
      <c r="L78" s="23" t="s">
        <v>5222</v>
      </c>
      <c r="M78" s="23" t="s">
        <v>4643</v>
      </c>
      <c r="N78" s="23" t="s">
        <v>53</v>
      </c>
      <c r="O78" s="72" t="s">
        <v>4632</v>
      </c>
      <c r="P78" s="72" t="s">
        <v>4632</v>
      </c>
      <c r="Q78" s="93" t="s">
        <v>28</v>
      </c>
      <c r="R78" s="93" t="s">
        <v>28</v>
      </c>
      <c r="S78" s="93" t="s">
        <v>28</v>
      </c>
      <c r="T78" s="93" t="s">
        <v>28</v>
      </c>
      <c r="U78" s="93" t="s">
        <v>50</v>
      </c>
      <c r="V78" s="93" t="s">
        <v>50</v>
      </c>
      <c r="W78" s="93" t="s">
        <v>50</v>
      </c>
      <c r="X78" s="93" t="s">
        <v>50</v>
      </c>
      <c r="Y78" s="93" t="s">
        <v>50</v>
      </c>
      <c r="Z78" s="93" t="s">
        <v>50</v>
      </c>
      <c r="AA78" s="93" t="s">
        <v>28</v>
      </c>
      <c r="AB78" s="93" t="s">
        <v>28</v>
      </c>
    </row>
    <row r="79" ht="56.25" customHeight="1">
      <c r="A79" s="86" t="s">
        <v>5337</v>
      </c>
      <c r="B79" s="87" t="str">
        <f>IMAGE("https://i.imgur.com/U75MFAQ.png")</f>
        <v/>
      </c>
      <c r="C79" s="41" t="str">
        <f>image("https://i.imgur.com/2vp5flx.png")</f>
        <v/>
      </c>
      <c r="D79" s="15">
        <v>2282.0</v>
      </c>
      <c r="E79" s="15" t="s">
        <v>99</v>
      </c>
      <c r="F79" s="15" t="s">
        <v>112</v>
      </c>
      <c r="G79" s="15" t="s">
        <v>41</v>
      </c>
      <c r="H79" s="15" t="s">
        <v>1748</v>
      </c>
      <c r="I79" s="32">
        <v>75.0</v>
      </c>
      <c r="J79" s="72">
        <v>13000.0</v>
      </c>
      <c r="K79" s="72" t="s">
        <v>84</v>
      </c>
      <c r="L79" s="23" t="s">
        <v>5273</v>
      </c>
      <c r="M79" s="23" t="s">
        <v>4643</v>
      </c>
      <c r="N79" s="23" t="s">
        <v>53</v>
      </c>
      <c r="O79" s="72" t="s">
        <v>4632</v>
      </c>
      <c r="P79" s="72" t="s">
        <v>4632</v>
      </c>
      <c r="Q79" s="93" t="s">
        <v>50</v>
      </c>
      <c r="R79" s="93" t="s">
        <v>50</v>
      </c>
      <c r="S79" s="93" t="s">
        <v>50</v>
      </c>
      <c r="T79" s="93" t="s">
        <v>28</v>
      </c>
      <c r="U79" s="93" t="s">
        <v>28</v>
      </c>
      <c r="V79" s="93" t="s">
        <v>28</v>
      </c>
      <c r="W79" s="93" t="s">
        <v>28</v>
      </c>
      <c r="X79" s="93" t="s">
        <v>28</v>
      </c>
      <c r="Y79" s="93" t="s">
        <v>28</v>
      </c>
      <c r="Z79" s="93" t="s">
        <v>28</v>
      </c>
      <c r="AA79" s="93" t="s">
        <v>28</v>
      </c>
      <c r="AB79" s="93" t="s">
        <v>50</v>
      </c>
    </row>
    <row r="80" ht="56.25" customHeight="1">
      <c r="A80" s="86" t="s">
        <v>5338</v>
      </c>
      <c r="B80" s="87" t="str">
        <f>IMAGE("https://i.imgur.com/MMdzoJt.png")</f>
        <v/>
      </c>
      <c r="C80" s="41" t="str">
        <f>image("https://i.imgur.com/p8FQnkO.png")</f>
        <v/>
      </c>
      <c r="D80" s="15">
        <v>2233.0</v>
      </c>
      <c r="E80" s="15" t="s">
        <v>211</v>
      </c>
      <c r="F80" s="15" t="s">
        <v>99</v>
      </c>
      <c r="G80" s="15" t="s">
        <v>186</v>
      </c>
      <c r="H80" s="15" t="s">
        <v>38</v>
      </c>
      <c r="I80" s="32">
        <v>21.0</v>
      </c>
      <c r="J80" s="72">
        <v>300.0</v>
      </c>
      <c r="K80" s="72" t="s">
        <v>5220</v>
      </c>
      <c r="L80" s="23" t="s">
        <v>5227</v>
      </c>
      <c r="M80" s="23" t="s">
        <v>4631</v>
      </c>
      <c r="N80" s="23" t="s">
        <v>40</v>
      </c>
      <c r="O80" s="72" t="s">
        <v>4632</v>
      </c>
      <c r="P80" s="72" t="s">
        <v>4632</v>
      </c>
      <c r="Q80" s="93" t="s">
        <v>28</v>
      </c>
      <c r="R80" s="93" t="s">
        <v>28</v>
      </c>
      <c r="S80" s="93" t="s">
        <v>28</v>
      </c>
      <c r="T80" s="93" t="s">
        <v>50</v>
      </c>
      <c r="U80" s="93" t="s">
        <v>50</v>
      </c>
      <c r="V80" s="93" t="s">
        <v>50</v>
      </c>
      <c r="W80" s="93" t="s">
        <v>50</v>
      </c>
      <c r="X80" s="93" t="s">
        <v>50</v>
      </c>
      <c r="Y80" s="93" t="s">
        <v>50</v>
      </c>
      <c r="Z80" s="93" t="s">
        <v>28</v>
      </c>
      <c r="AA80" s="93" t="s">
        <v>28</v>
      </c>
      <c r="AB80" s="93" t="s">
        <v>28</v>
      </c>
    </row>
    <row r="81" ht="56.25" customHeight="1">
      <c r="A81" s="86" t="s">
        <v>5340</v>
      </c>
      <c r="B81" s="87" t="str">
        <f>IMAGE("https://i.imgur.com/GdwR6xc.png")</f>
        <v/>
      </c>
      <c r="C81" s="41" t="str">
        <f>image("https://i.imgur.com/oRmkhvC.png")</f>
        <v/>
      </c>
      <c r="D81" s="15">
        <v>2261.0</v>
      </c>
      <c r="E81" s="15" t="s">
        <v>208</v>
      </c>
      <c r="F81" s="15" t="s">
        <v>99</v>
      </c>
      <c r="G81" s="15" t="s">
        <v>186</v>
      </c>
      <c r="H81" s="15" t="s">
        <v>38</v>
      </c>
      <c r="I81" s="32">
        <v>53.0</v>
      </c>
      <c r="J81" s="72">
        <v>500.0</v>
      </c>
      <c r="K81" s="72" t="s">
        <v>84</v>
      </c>
      <c r="L81" s="23" t="s">
        <v>5227</v>
      </c>
      <c r="M81" s="23" t="s">
        <v>4631</v>
      </c>
      <c r="N81" s="23" t="s">
        <v>40</v>
      </c>
      <c r="O81" s="72" t="s">
        <v>4632</v>
      </c>
      <c r="P81" s="72" t="s">
        <v>4632</v>
      </c>
      <c r="Q81" s="93" t="s">
        <v>50</v>
      </c>
      <c r="R81" s="93" t="s">
        <v>50</v>
      </c>
      <c r="S81" s="93" t="s">
        <v>50</v>
      </c>
      <c r="T81" s="93" t="s">
        <v>50</v>
      </c>
      <c r="U81" s="93" t="s">
        <v>50</v>
      </c>
      <c r="V81" s="93" t="s">
        <v>28</v>
      </c>
      <c r="W81" s="93" t="s">
        <v>28</v>
      </c>
      <c r="X81" s="93" t="s">
        <v>28</v>
      </c>
      <c r="Y81" s="93" t="s">
        <v>28</v>
      </c>
      <c r="Z81" s="93" t="s">
        <v>50</v>
      </c>
      <c r="AA81" s="93" t="s">
        <v>50</v>
      </c>
      <c r="AB81" s="93" t="s">
        <v>50</v>
      </c>
    </row>
    <row r="82" ht="56.25" customHeight="1">
      <c r="A82" s="89" t="s">
        <v>5341</v>
      </c>
      <c r="B82" s="15" t="str">
        <f>image("https://i.imgur.com/eziidR4.png")</f>
        <v/>
      </c>
      <c r="C82" s="71" t="s">
        <v>5342</v>
      </c>
      <c r="D82" s="15"/>
      <c r="E82" s="15"/>
      <c r="F82" s="15"/>
      <c r="G82" s="15"/>
      <c r="H82" s="7"/>
      <c r="I82" s="71" t="s">
        <v>5342</v>
      </c>
      <c r="J82" s="94">
        <v>10.0</v>
      </c>
      <c r="K82" s="94" t="s">
        <v>5343</v>
      </c>
      <c r="L82" s="23" t="s">
        <v>5217</v>
      </c>
      <c r="M82" s="23" t="s">
        <v>4631</v>
      </c>
      <c r="N82" s="23" t="s">
        <v>40</v>
      </c>
      <c r="O82" s="94" t="s">
        <v>4632</v>
      </c>
      <c r="P82" s="94" t="s">
        <v>4632</v>
      </c>
      <c r="Q82" s="95" t="s">
        <v>50</v>
      </c>
      <c r="R82" s="95" t="s">
        <v>50</v>
      </c>
      <c r="S82" s="95" t="s">
        <v>50</v>
      </c>
      <c r="T82" s="95" t="s">
        <v>50</v>
      </c>
      <c r="U82" s="95" t="s">
        <v>50</v>
      </c>
      <c r="V82" s="95" t="s">
        <v>50</v>
      </c>
      <c r="W82" s="95" t="s">
        <v>50</v>
      </c>
      <c r="X82" s="95" t="s">
        <v>50</v>
      </c>
      <c r="Y82" s="95" t="s">
        <v>50</v>
      </c>
      <c r="Z82" s="95" t="s">
        <v>50</v>
      </c>
      <c r="AA82" s="95" t="s">
        <v>50</v>
      </c>
      <c r="AB82" s="95" t="s">
        <v>50</v>
      </c>
    </row>
    <row r="83" ht="56.25" customHeight="1">
      <c r="A83" s="89" t="s">
        <v>5344</v>
      </c>
      <c r="B83" s="15" t="str">
        <f>image("https://i.imgur.com/eDRbO9w.png")</f>
        <v/>
      </c>
      <c r="C83" s="71" t="s">
        <v>5342</v>
      </c>
      <c r="D83" s="15"/>
      <c r="E83" s="15"/>
      <c r="F83" s="15"/>
      <c r="G83" s="15"/>
      <c r="H83" s="15"/>
      <c r="I83" s="71" t="s">
        <v>5342</v>
      </c>
      <c r="J83" s="94">
        <v>10.0</v>
      </c>
      <c r="K83" s="94" t="s">
        <v>5343</v>
      </c>
      <c r="L83" s="23" t="s">
        <v>5224</v>
      </c>
      <c r="M83" s="23" t="s">
        <v>4631</v>
      </c>
      <c r="N83" s="23" t="s">
        <v>40</v>
      </c>
      <c r="O83" s="94" t="s">
        <v>4632</v>
      </c>
      <c r="P83" s="94" t="s">
        <v>4632</v>
      </c>
      <c r="Q83" s="95" t="s">
        <v>50</v>
      </c>
      <c r="R83" s="95" t="s">
        <v>50</v>
      </c>
      <c r="S83" s="95" t="s">
        <v>50</v>
      </c>
      <c r="T83" s="95" t="s">
        <v>50</v>
      </c>
      <c r="U83" s="95" t="s">
        <v>50</v>
      </c>
      <c r="V83" s="95" t="s">
        <v>50</v>
      </c>
      <c r="W83" s="95" t="s">
        <v>50</v>
      </c>
      <c r="X83" s="95" t="s">
        <v>50</v>
      </c>
      <c r="Y83" s="95" t="s">
        <v>50</v>
      </c>
      <c r="Z83" s="95" t="s">
        <v>50</v>
      </c>
      <c r="AA83" s="95" t="s">
        <v>50</v>
      </c>
      <c r="AB83" s="95" t="s">
        <v>50</v>
      </c>
    </row>
    <row r="84" ht="56.25" customHeight="1">
      <c r="A84" s="89" t="s">
        <v>5345</v>
      </c>
      <c r="B84" s="15" t="str">
        <f>image("https://i.imgur.com/d8YTLgJ.png")</f>
        <v/>
      </c>
      <c r="C84" s="71" t="s">
        <v>5342</v>
      </c>
      <c r="D84" s="15"/>
      <c r="E84" s="15"/>
      <c r="F84" s="15"/>
      <c r="G84" s="15"/>
      <c r="H84" s="15"/>
      <c r="I84" s="71" t="s">
        <v>5342</v>
      </c>
      <c r="J84" s="94">
        <v>10.0</v>
      </c>
      <c r="K84" s="94" t="s">
        <v>5343</v>
      </c>
      <c r="L84" s="23" t="s">
        <v>5227</v>
      </c>
      <c r="M84" s="23" t="s">
        <v>4631</v>
      </c>
      <c r="N84" s="23" t="s">
        <v>40</v>
      </c>
      <c r="O84" s="94" t="s">
        <v>4632</v>
      </c>
      <c r="P84" s="94" t="s">
        <v>4632</v>
      </c>
      <c r="Q84" s="95" t="s">
        <v>50</v>
      </c>
      <c r="R84" s="95" t="s">
        <v>50</v>
      </c>
      <c r="S84" s="95" t="s">
        <v>50</v>
      </c>
      <c r="T84" s="95" t="s">
        <v>50</v>
      </c>
      <c r="U84" s="95" t="s">
        <v>50</v>
      </c>
      <c r="V84" s="95" t="s">
        <v>50</v>
      </c>
      <c r="W84" s="95" t="s">
        <v>50</v>
      </c>
      <c r="X84" s="95" t="s">
        <v>50</v>
      </c>
      <c r="Y84" s="95" t="s">
        <v>50</v>
      </c>
      <c r="Z84" s="95" t="s">
        <v>50</v>
      </c>
      <c r="AA84" s="95" t="s">
        <v>50</v>
      </c>
      <c r="AB84" s="95" t="s">
        <v>50</v>
      </c>
    </row>
    <row r="85" ht="56.25" customHeight="1">
      <c r="A85" s="89" t="s">
        <v>5346</v>
      </c>
      <c r="B85" s="15" t="str">
        <f>image("https://i.imgur.com/NWWSyvA.png")</f>
        <v/>
      </c>
      <c r="C85" s="71" t="s">
        <v>5342</v>
      </c>
      <c r="D85" s="15"/>
      <c r="E85" s="15"/>
      <c r="F85" s="15"/>
      <c r="G85" s="15"/>
      <c r="H85" s="15"/>
      <c r="I85" s="71" t="s">
        <v>5342</v>
      </c>
      <c r="J85" s="15">
        <v>75.0</v>
      </c>
      <c r="K85" s="94" t="s">
        <v>5343</v>
      </c>
      <c r="L85" s="23" t="s">
        <v>5232</v>
      </c>
      <c r="M85" s="23" t="s">
        <v>4631</v>
      </c>
      <c r="N85" s="23" t="s">
        <v>40</v>
      </c>
      <c r="O85" s="94" t="s">
        <v>4632</v>
      </c>
      <c r="P85" s="94" t="s">
        <v>4632</v>
      </c>
      <c r="Q85" s="95" t="s">
        <v>50</v>
      </c>
      <c r="R85" s="95" t="s">
        <v>50</v>
      </c>
      <c r="S85" s="95" t="s">
        <v>50</v>
      </c>
      <c r="T85" s="95" t="s">
        <v>50</v>
      </c>
      <c r="U85" s="95" t="s">
        <v>50</v>
      </c>
      <c r="V85" s="95" t="s">
        <v>50</v>
      </c>
      <c r="W85" s="95" t="s">
        <v>50</v>
      </c>
      <c r="X85" s="95" t="s">
        <v>50</v>
      </c>
      <c r="Y85" s="95" t="s">
        <v>50</v>
      </c>
      <c r="Z85" s="95" t="s">
        <v>50</v>
      </c>
      <c r="AA85" s="95" t="s">
        <v>50</v>
      </c>
      <c r="AB85" s="95" t="s">
        <v>50</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57"/>
    <col customWidth="1" min="2" max="2" width="10.86"/>
    <col customWidth="1" min="3" max="3" width="5.29"/>
    <col customWidth="1" min="4" max="4" width="11.43"/>
    <col customWidth="1" min="5" max="5" width="9.0"/>
    <col customWidth="1" min="6" max="6" width="9.86"/>
    <col customWidth="1" min="7" max="7" width="5.14"/>
    <col customWidth="1" min="8" max="8" width="14.57"/>
  </cols>
  <sheetData>
    <row r="1" ht="21.0" customHeight="1">
      <c r="A1" s="47" t="s">
        <v>0</v>
      </c>
      <c r="B1" s="3" t="s">
        <v>1</v>
      </c>
      <c r="C1" s="1" t="s">
        <v>7</v>
      </c>
      <c r="D1" s="7" t="s">
        <v>8</v>
      </c>
      <c r="E1" s="7" t="s">
        <v>1602</v>
      </c>
      <c r="F1" s="7" t="s">
        <v>1603</v>
      </c>
      <c r="G1" s="7" t="s">
        <v>12</v>
      </c>
      <c r="H1" s="7" t="s">
        <v>16</v>
      </c>
    </row>
    <row r="2" ht="56.25" customHeight="1">
      <c r="A2" s="23" t="s">
        <v>5348</v>
      </c>
      <c r="B2" s="15" t="str">
        <f>image("https://i.imgur.com/OI3Lg9f.png")</f>
        <v/>
      </c>
      <c r="C2" s="96">
        <v>2000.0</v>
      </c>
      <c r="D2" s="15">
        <v>4664.0</v>
      </c>
      <c r="E2" s="15" t="s">
        <v>1608</v>
      </c>
      <c r="F2" s="15" t="s">
        <v>118</v>
      </c>
      <c r="G2" s="15" t="s">
        <v>38</v>
      </c>
      <c r="H2" s="15" t="s">
        <v>40</v>
      </c>
    </row>
    <row r="3" ht="56.25" customHeight="1">
      <c r="A3" s="23" t="s">
        <v>5350</v>
      </c>
      <c r="B3" s="15" t="str">
        <f>image("https://i.imgur.com/2ey2Nrv.png")</f>
        <v/>
      </c>
      <c r="C3" s="96">
        <v>1200.0</v>
      </c>
      <c r="D3" s="15">
        <v>294.0</v>
      </c>
      <c r="E3" s="15" t="s">
        <v>211</v>
      </c>
      <c r="F3" s="15" t="s">
        <v>211</v>
      </c>
      <c r="G3" s="15" t="s">
        <v>38</v>
      </c>
      <c r="H3" s="15" t="s">
        <v>40</v>
      </c>
    </row>
    <row r="4" ht="56.25" customHeight="1">
      <c r="A4" s="23" t="s">
        <v>5351</v>
      </c>
      <c r="B4" s="15" t="str">
        <f>image("https://i.imgur.com/KFacFJn.png")</f>
        <v/>
      </c>
      <c r="C4" s="96">
        <v>1100.0</v>
      </c>
      <c r="D4" s="15">
        <v>295.0</v>
      </c>
      <c r="E4" s="15" t="s">
        <v>1608</v>
      </c>
      <c r="F4" s="15" t="s">
        <v>118</v>
      </c>
      <c r="G4" s="15" t="s">
        <v>38</v>
      </c>
      <c r="H4" s="15" t="s">
        <v>40</v>
      </c>
    </row>
    <row r="5" ht="56.25" customHeight="1">
      <c r="A5" s="23" t="s">
        <v>5352</v>
      </c>
      <c r="B5" s="15" t="str">
        <f>image("https://i.imgur.com/eeNe2Er.png")</f>
        <v/>
      </c>
      <c r="C5" s="96">
        <v>3500.0</v>
      </c>
      <c r="D5" s="15">
        <v>169.0</v>
      </c>
      <c r="E5" s="15" t="s">
        <v>118</v>
      </c>
      <c r="F5" s="15" t="s">
        <v>118</v>
      </c>
      <c r="G5" s="15" t="s">
        <v>106</v>
      </c>
      <c r="H5" s="15" t="s">
        <v>40</v>
      </c>
    </row>
    <row r="6" ht="56.25" customHeight="1">
      <c r="A6" s="23" t="s">
        <v>5353</v>
      </c>
      <c r="B6" s="15" t="str">
        <f>image("https://i.imgur.com/netlJaL.png")</f>
        <v/>
      </c>
      <c r="C6" s="96">
        <v>2500.0</v>
      </c>
      <c r="D6" s="15">
        <v>171.0</v>
      </c>
      <c r="E6" s="15" t="s">
        <v>118</v>
      </c>
      <c r="F6" s="15" t="s">
        <v>118</v>
      </c>
      <c r="G6" s="15" t="s">
        <v>106</v>
      </c>
      <c r="H6" s="15" t="s">
        <v>40</v>
      </c>
    </row>
    <row r="7" ht="56.25" customHeight="1">
      <c r="A7" s="23" t="s">
        <v>5354</v>
      </c>
      <c r="B7" s="15" t="str">
        <f>image("https://i.imgur.com/wtzGne7.png")</f>
        <v/>
      </c>
      <c r="C7" s="96">
        <v>3000.0</v>
      </c>
      <c r="D7" s="15">
        <v>170.0</v>
      </c>
      <c r="E7" s="15" t="s">
        <v>118</v>
      </c>
      <c r="F7" s="15" t="s">
        <v>118</v>
      </c>
      <c r="G7" s="15" t="s">
        <v>106</v>
      </c>
      <c r="H7" s="15" t="s">
        <v>40</v>
      </c>
    </row>
    <row r="8" ht="56.25" customHeight="1">
      <c r="A8" s="23" t="s">
        <v>5355</v>
      </c>
      <c r="B8" s="15" t="str">
        <f>image("https://i.imgur.com/sXv4E07.png")</f>
        <v/>
      </c>
      <c r="C8" s="96">
        <v>2000.0</v>
      </c>
      <c r="D8" s="15">
        <v>4651.0</v>
      </c>
      <c r="E8" s="15" t="s">
        <v>99</v>
      </c>
      <c r="F8" s="15" t="s">
        <v>94</v>
      </c>
      <c r="G8" s="15" t="s">
        <v>38</v>
      </c>
      <c r="H8" s="15" t="s">
        <v>40</v>
      </c>
    </row>
    <row r="9" ht="56.25" customHeight="1">
      <c r="A9" s="23" t="s">
        <v>5356</v>
      </c>
      <c r="B9" s="15" t="str">
        <f>image("https://i.imgur.com/UDWeEkq.png")</f>
        <v/>
      </c>
      <c r="C9" s="96">
        <v>1300.0</v>
      </c>
      <c r="D9" s="15">
        <v>298.0</v>
      </c>
      <c r="E9" s="15" t="s">
        <v>1608</v>
      </c>
      <c r="F9" s="15" t="s">
        <v>118</v>
      </c>
      <c r="G9" s="15" t="s">
        <v>38</v>
      </c>
      <c r="H9" s="15" t="s">
        <v>40</v>
      </c>
    </row>
    <row r="10" ht="56.25" customHeight="1">
      <c r="A10" s="23" t="s">
        <v>5358</v>
      </c>
      <c r="B10" s="15" t="str">
        <f>image("https://i.imgur.com/lfOm6Vq.png")</f>
        <v/>
      </c>
      <c r="C10" s="96">
        <v>4000.0</v>
      </c>
      <c r="D10" s="15">
        <v>177.0</v>
      </c>
      <c r="E10" s="15" t="s">
        <v>118</v>
      </c>
      <c r="F10" s="15" t="s">
        <v>118</v>
      </c>
      <c r="G10" s="15" t="s">
        <v>106</v>
      </c>
      <c r="H10" s="15" t="s">
        <v>40</v>
      </c>
    </row>
    <row r="11" ht="56.25" customHeight="1">
      <c r="A11" s="37" t="s">
        <v>5359</v>
      </c>
      <c r="B11" s="15" t="str">
        <f>image("https://i.imgur.com/QWyuHkW.png")</f>
        <v/>
      </c>
      <c r="C11" s="96">
        <v>3500.0</v>
      </c>
      <c r="D11" s="15">
        <v>178.0</v>
      </c>
      <c r="E11" s="15" t="s">
        <v>118</v>
      </c>
      <c r="F11" s="15" t="s">
        <v>118</v>
      </c>
      <c r="G11" s="15" t="s">
        <v>106</v>
      </c>
      <c r="H11" s="15" t="s">
        <v>40</v>
      </c>
    </row>
    <row r="12" ht="56.25" customHeight="1">
      <c r="A12" s="37" t="s">
        <v>5362</v>
      </c>
      <c r="B12" s="15" t="str">
        <f>image("https://i.imgur.com/KLYPFWy.png")</f>
        <v/>
      </c>
      <c r="C12" s="96">
        <v>1100.0</v>
      </c>
      <c r="D12" s="15">
        <v>301.0</v>
      </c>
      <c r="E12" s="15" t="s">
        <v>1608</v>
      </c>
      <c r="F12" s="15" t="s">
        <v>118</v>
      </c>
      <c r="G12" s="15" t="s">
        <v>38</v>
      </c>
      <c r="H12" s="15" t="s">
        <v>40</v>
      </c>
    </row>
    <row r="13" ht="56.25" customHeight="1">
      <c r="A13" s="37" t="s">
        <v>5366</v>
      </c>
      <c r="B13" s="15" t="str">
        <f>image("https://i.imgur.com/SCVfvMm.png")</f>
        <v/>
      </c>
      <c r="C13" s="96">
        <v>5500.0</v>
      </c>
      <c r="D13" s="15">
        <v>4689.0</v>
      </c>
      <c r="E13" s="15" t="s">
        <v>118</v>
      </c>
      <c r="F13" s="15" t="s">
        <v>118</v>
      </c>
      <c r="G13" s="15" t="s">
        <v>106</v>
      </c>
      <c r="H13" s="15" t="s">
        <v>40</v>
      </c>
    </row>
    <row r="14" ht="56.25" customHeight="1">
      <c r="A14" s="37" t="s">
        <v>5370</v>
      </c>
      <c r="B14" s="15" t="str">
        <f>image("https://i.imgur.com/ek0qB1a.png")</f>
        <v/>
      </c>
      <c r="C14" s="96">
        <v>5000.0</v>
      </c>
      <c r="D14" s="15">
        <v>4690.0</v>
      </c>
      <c r="E14" s="15" t="s">
        <v>118</v>
      </c>
      <c r="F14" s="15" t="s">
        <v>118</v>
      </c>
      <c r="G14" s="15" t="s">
        <v>106</v>
      </c>
      <c r="H14" s="15" t="s">
        <v>40</v>
      </c>
    </row>
    <row r="15" ht="56.25" customHeight="1">
      <c r="A15" s="37" t="s">
        <v>5373</v>
      </c>
      <c r="B15" s="15" t="str">
        <f>image("https://i.imgur.com/F1jCXOG.png")</f>
        <v/>
      </c>
      <c r="C15" s="96">
        <v>6000.0</v>
      </c>
      <c r="D15" s="15">
        <v>4688.0</v>
      </c>
      <c r="E15" s="15" t="s">
        <v>118</v>
      </c>
      <c r="F15" s="15" t="s">
        <v>118</v>
      </c>
      <c r="G15" s="15" t="s">
        <v>106</v>
      </c>
      <c r="H15" s="15" t="s">
        <v>40</v>
      </c>
    </row>
    <row r="16" ht="56.25" customHeight="1">
      <c r="A16" s="37" t="s">
        <v>5376</v>
      </c>
      <c r="B16" s="15" t="str">
        <f>image("https://i.imgur.com/KNqPoWd.png")</f>
        <v/>
      </c>
      <c r="C16" s="96">
        <v>5500.0</v>
      </c>
      <c r="D16" s="15">
        <v>4691.0</v>
      </c>
      <c r="E16" s="15" t="s">
        <v>118</v>
      </c>
      <c r="F16" s="15" t="s">
        <v>118</v>
      </c>
      <c r="G16" s="15" t="s">
        <v>106</v>
      </c>
      <c r="H16" s="15" t="s">
        <v>40</v>
      </c>
    </row>
    <row r="17" ht="56.25" customHeight="1">
      <c r="A17" s="23" t="s">
        <v>5381</v>
      </c>
      <c r="B17" s="15" t="str">
        <f>image("https://i.imgur.com/g4ex6Mi.png")</f>
        <v/>
      </c>
      <c r="C17" s="96">
        <v>1100.0</v>
      </c>
      <c r="D17" s="15">
        <v>296.0</v>
      </c>
      <c r="E17" s="15" t="s">
        <v>118</v>
      </c>
      <c r="F17" s="15" t="s">
        <v>118</v>
      </c>
      <c r="G17" s="15" t="s">
        <v>38</v>
      </c>
      <c r="H17" s="15" t="s">
        <v>40</v>
      </c>
    </row>
    <row r="18" ht="56.25" customHeight="1">
      <c r="A18" s="37" t="s">
        <v>5385</v>
      </c>
      <c r="B18" s="15" t="str">
        <f>image("https://i.imgur.com/rB3Hb8q.png")</f>
        <v/>
      </c>
      <c r="C18" s="96">
        <v>2500.0</v>
      </c>
      <c r="D18" s="15">
        <v>211.0</v>
      </c>
      <c r="E18" s="15" t="s">
        <v>118</v>
      </c>
      <c r="F18" s="15" t="s">
        <v>118</v>
      </c>
      <c r="G18" s="15" t="s">
        <v>106</v>
      </c>
      <c r="H18" s="15" t="s">
        <v>40</v>
      </c>
    </row>
    <row r="19" ht="56.25" customHeight="1">
      <c r="A19" s="37" t="s">
        <v>5389</v>
      </c>
      <c r="B19" s="15" t="str">
        <f>image("https://i.imgur.com/qQSeWLA.png")</f>
        <v/>
      </c>
      <c r="C19" s="96">
        <v>3000.0</v>
      </c>
      <c r="D19" s="15">
        <v>210.0</v>
      </c>
      <c r="E19" s="15" t="s">
        <v>118</v>
      </c>
      <c r="F19" s="15" t="s">
        <v>118</v>
      </c>
      <c r="G19" s="15" t="s">
        <v>106</v>
      </c>
      <c r="H19" s="15" t="s">
        <v>40</v>
      </c>
    </row>
    <row r="20" ht="56.25" customHeight="1">
      <c r="A20" s="23" t="s">
        <v>5391</v>
      </c>
      <c r="B20" s="15" t="str">
        <f>image("https://i.imgur.com/xbm54Mq.png")</f>
        <v/>
      </c>
      <c r="C20" s="96">
        <v>5500.0</v>
      </c>
      <c r="D20" s="15">
        <v>184.0</v>
      </c>
      <c r="E20" s="15" t="s">
        <v>118</v>
      </c>
      <c r="F20" s="15" t="s">
        <v>118</v>
      </c>
      <c r="G20" s="15" t="s">
        <v>106</v>
      </c>
      <c r="H20" s="15" t="s">
        <v>40</v>
      </c>
    </row>
    <row r="21" ht="56.25" customHeight="1">
      <c r="A21" s="37" t="s">
        <v>5393</v>
      </c>
      <c r="B21" s="15" t="str">
        <f>image("https://i.imgur.com/gzT9iTv.png")</f>
        <v/>
      </c>
      <c r="C21" s="96">
        <v>5000.0</v>
      </c>
      <c r="D21" s="15">
        <v>185.0</v>
      </c>
      <c r="E21" s="15" t="s">
        <v>118</v>
      </c>
      <c r="F21" s="15" t="s">
        <v>118</v>
      </c>
      <c r="G21" s="15" t="s">
        <v>106</v>
      </c>
      <c r="H21" s="15" t="s">
        <v>40</v>
      </c>
    </row>
    <row r="22" ht="56.25" customHeight="1">
      <c r="A22" s="23" t="s">
        <v>5396</v>
      </c>
      <c r="B22" s="15" t="str">
        <f>image("https://i.imgur.com/qsHUYfH.png")</f>
        <v/>
      </c>
      <c r="C22" s="96">
        <v>1000.0</v>
      </c>
      <c r="D22" s="15">
        <v>300.0</v>
      </c>
      <c r="E22" s="15" t="s">
        <v>1608</v>
      </c>
      <c r="F22" s="15" t="s">
        <v>118</v>
      </c>
      <c r="G22" s="15" t="s">
        <v>38</v>
      </c>
      <c r="H22" s="15" t="s">
        <v>40</v>
      </c>
    </row>
    <row r="23" ht="56.25" customHeight="1">
      <c r="A23" s="37" t="s">
        <v>5398</v>
      </c>
      <c r="B23" s="15" t="str">
        <f>image("https://i.imgur.com/dzAsuRK.png")</f>
        <v/>
      </c>
      <c r="C23" s="96">
        <v>4000.0</v>
      </c>
      <c r="D23" s="15">
        <v>218.0</v>
      </c>
      <c r="E23" s="15" t="s">
        <v>118</v>
      </c>
      <c r="F23" s="15" t="s">
        <v>118</v>
      </c>
      <c r="G23" s="15" t="s">
        <v>106</v>
      </c>
      <c r="H23" s="15" t="s">
        <v>40</v>
      </c>
    </row>
    <row r="24" ht="56.25" customHeight="1">
      <c r="A24" s="37" t="s">
        <v>5400</v>
      </c>
      <c r="B24" s="15" t="str">
        <f>image("https://i.imgur.com/zqnaCPl.png")</f>
        <v/>
      </c>
      <c r="C24" s="96">
        <v>4500.0</v>
      </c>
      <c r="D24" s="15">
        <v>217.0</v>
      </c>
      <c r="E24" s="15" t="s">
        <v>118</v>
      </c>
      <c r="F24" s="15" t="s">
        <v>118</v>
      </c>
      <c r="G24" s="15" t="s">
        <v>106</v>
      </c>
      <c r="H24" s="15" t="s">
        <v>40</v>
      </c>
    </row>
    <row r="25" ht="56.25" customHeight="1">
      <c r="A25" s="37" t="s">
        <v>5403</v>
      </c>
      <c r="B25" s="15" t="str">
        <f>image("https://i.imgur.com/UpDXY6a.png")</f>
        <v/>
      </c>
      <c r="C25" s="96">
        <v>4500.0</v>
      </c>
      <c r="D25" s="15">
        <v>219.0</v>
      </c>
      <c r="E25" s="15" t="s">
        <v>118</v>
      </c>
      <c r="F25" s="15" t="s">
        <v>118</v>
      </c>
      <c r="G25" s="15" t="s">
        <v>106</v>
      </c>
      <c r="H25" s="15" t="s">
        <v>40</v>
      </c>
    </row>
    <row r="26" ht="56.25" customHeight="1">
      <c r="A26" s="37" t="s">
        <v>5405</v>
      </c>
      <c r="B26" s="15" t="str">
        <f>image("https://i.imgur.com/6eaWqUG.png")</f>
        <v/>
      </c>
      <c r="C26" s="96">
        <v>5000.0</v>
      </c>
      <c r="D26" s="15">
        <v>216.0</v>
      </c>
      <c r="E26" s="15" t="s">
        <v>118</v>
      </c>
      <c r="F26" s="15" t="s">
        <v>118</v>
      </c>
      <c r="G26" s="15" t="s">
        <v>106</v>
      </c>
      <c r="H26" s="15" t="s">
        <v>40</v>
      </c>
    </row>
    <row r="27" ht="56.25" customHeight="1">
      <c r="A27" s="37" t="s">
        <v>5408</v>
      </c>
      <c r="B27" s="15" t="str">
        <f>image("https://i.imgur.com/9CZPdEt.png")</f>
        <v/>
      </c>
      <c r="C27" s="96">
        <v>5000.0</v>
      </c>
      <c r="D27" s="15">
        <v>220.0</v>
      </c>
      <c r="E27" s="15" t="s">
        <v>118</v>
      </c>
      <c r="F27" s="15" t="s">
        <v>118</v>
      </c>
      <c r="G27" s="15" t="s">
        <v>106</v>
      </c>
      <c r="H27" s="15" t="s">
        <v>40</v>
      </c>
    </row>
    <row r="28" ht="56.25" customHeight="1">
      <c r="A28" s="37" t="s">
        <v>5411</v>
      </c>
      <c r="B28" s="15" t="str">
        <f>image("https://i.imgur.com/cr5pCJj.png")</f>
        <v/>
      </c>
      <c r="C28" s="96">
        <v>4000.0</v>
      </c>
      <c r="D28" s="15">
        <v>7251.0</v>
      </c>
      <c r="E28" s="15" t="s">
        <v>118</v>
      </c>
      <c r="F28" s="15" t="s">
        <v>118</v>
      </c>
      <c r="G28" s="15" t="s">
        <v>106</v>
      </c>
      <c r="H28" s="15" t="s">
        <v>40</v>
      </c>
    </row>
    <row r="29" ht="56.25" customHeight="1">
      <c r="A29" s="37" t="s">
        <v>5415</v>
      </c>
      <c r="B29" s="15" t="str">
        <f>image("https://i.imgur.com/6gQpoZe.png")</f>
        <v/>
      </c>
      <c r="C29" s="96">
        <v>3500.0</v>
      </c>
      <c r="D29" s="15">
        <v>4660.0</v>
      </c>
      <c r="E29" s="15" t="s">
        <v>94</v>
      </c>
      <c r="F29" s="15" t="s">
        <v>118</v>
      </c>
      <c r="G29" s="15" t="s">
        <v>106</v>
      </c>
      <c r="H29" s="15" t="s">
        <v>40</v>
      </c>
    </row>
    <row r="30" ht="56.25" customHeight="1">
      <c r="A30" s="37" t="s">
        <v>5418</v>
      </c>
      <c r="B30" s="15" t="str">
        <f>image("https://i.imgur.com/ZBDuHWy.png")</f>
        <v/>
      </c>
      <c r="C30" s="96">
        <v>2000.0</v>
      </c>
      <c r="D30" s="15">
        <v>4663.0</v>
      </c>
      <c r="E30" s="15" t="s">
        <v>118</v>
      </c>
      <c r="F30" s="15" t="s">
        <v>118</v>
      </c>
      <c r="G30" s="15" t="s">
        <v>38</v>
      </c>
      <c r="H30" s="15" t="s">
        <v>40</v>
      </c>
    </row>
    <row r="31" ht="56.25" customHeight="1">
      <c r="A31" s="23" t="s">
        <v>5420</v>
      </c>
      <c r="B31" s="15" t="str">
        <f>image("https://i.imgur.com/8QUEo5U.png")</f>
        <v/>
      </c>
      <c r="C31" s="96">
        <v>4000.0</v>
      </c>
      <c r="D31" s="15">
        <v>188.0</v>
      </c>
      <c r="E31" s="15" t="s">
        <v>118</v>
      </c>
      <c r="F31" s="15" t="s">
        <v>118</v>
      </c>
      <c r="G31" s="15" t="s">
        <v>106</v>
      </c>
      <c r="H31" s="15" t="s">
        <v>40</v>
      </c>
    </row>
    <row r="32" ht="56.25" customHeight="1">
      <c r="A32" s="23" t="s">
        <v>5423</v>
      </c>
      <c r="B32" s="15" t="str">
        <f>image("https://i.imgur.com/5w24p9Z.png")</f>
        <v/>
      </c>
      <c r="C32" s="96">
        <v>3000.0</v>
      </c>
      <c r="D32" s="15">
        <v>190.0</v>
      </c>
      <c r="E32" s="15" t="s">
        <v>118</v>
      </c>
      <c r="F32" s="15" t="s">
        <v>118</v>
      </c>
      <c r="G32" s="15" t="s">
        <v>106</v>
      </c>
      <c r="H32" s="15" t="s">
        <v>40</v>
      </c>
    </row>
    <row r="33" ht="56.25" customHeight="1">
      <c r="A33" s="23" t="s">
        <v>5427</v>
      </c>
      <c r="B33" s="15" t="str">
        <f>image("https://i.imgur.com/jO6iZLM.png")</f>
        <v/>
      </c>
      <c r="C33" s="96">
        <v>3500.0</v>
      </c>
      <c r="D33" s="15">
        <v>189.0</v>
      </c>
      <c r="E33" s="15" t="s">
        <v>118</v>
      </c>
      <c r="F33" s="15" t="s">
        <v>118</v>
      </c>
      <c r="G33" s="15" t="s">
        <v>106</v>
      </c>
      <c r="H33" s="15" t="s">
        <v>40</v>
      </c>
    </row>
    <row r="34" ht="56.25" customHeight="1">
      <c r="A34" s="37" t="s">
        <v>5429</v>
      </c>
      <c r="B34" s="15" t="str">
        <f>image("https://i.imgur.com/7nrBuwy.png")</f>
        <v/>
      </c>
      <c r="C34" s="96">
        <v>1500.0</v>
      </c>
      <c r="D34" s="15">
        <v>4665.0</v>
      </c>
      <c r="E34" s="15" t="s">
        <v>1608</v>
      </c>
      <c r="F34" s="15" t="s">
        <v>118</v>
      </c>
      <c r="G34" s="15" t="s">
        <v>38</v>
      </c>
      <c r="H34" s="15" t="s">
        <v>40</v>
      </c>
    </row>
    <row r="35" ht="56.25" customHeight="1">
      <c r="A35" s="37" t="s">
        <v>5432</v>
      </c>
      <c r="B35" s="15" t="str">
        <f>image("https://i.imgur.com/MLdBeRx.png")</f>
        <v/>
      </c>
      <c r="C35" s="96">
        <v>4000.0</v>
      </c>
      <c r="D35" s="15">
        <v>4659.0</v>
      </c>
      <c r="E35" s="15" t="s">
        <v>1608</v>
      </c>
      <c r="F35" s="15" t="s">
        <v>118</v>
      </c>
      <c r="G35" s="15" t="s">
        <v>106</v>
      </c>
      <c r="H35" s="15" t="s">
        <v>40</v>
      </c>
    </row>
    <row r="36" ht="56.25" customHeight="1">
      <c r="A36" s="37" t="s">
        <v>5435</v>
      </c>
      <c r="B36" s="15" t="str">
        <f>image("https://i.imgur.com/1ULm9Zt.png")</f>
        <v/>
      </c>
      <c r="C36" s="96">
        <v>4500.0</v>
      </c>
      <c r="D36" s="15">
        <v>208.0</v>
      </c>
      <c r="E36" s="15" t="s">
        <v>118</v>
      </c>
      <c r="F36" s="15" t="s">
        <v>118</v>
      </c>
      <c r="G36" s="15" t="s">
        <v>106</v>
      </c>
      <c r="H36" s="15" t="s">
        <v>40</v>
      </c>
    </row>
    <row r="37" ht="56.25" customHeight="1">
      <c r="A37" s="37" t="s">
        <v>5438</v>
      </c>
      <c r="B37" s="15" t="str">
        <f>image("https://i.imgur.com/eBNmzfw.png")</f>
        <v/>
      </c>
      <c r="C37" s="96">
        <v>5000.0</v>
      </c>
      <c r="D37" s="15">
        <v>4699.0</v>
      </c>
      <c r="E37" s="15" t="s">
        <v>118</v>
      </c>
      <c r="F37" s="15" t="s">
        <v>118</v>
      </c>
      <c r="G37" s="15" t="s">
        <v>106</v>
      </c>
      <c r="H37" s="15" t="s">
        <v>40</v>
      </c>
    </row>
    <row r="38" ht="56.25" customHeight="1">
      <c r="A38" s="23" t="s">
        <v>5440</v>
      </c>
      <c r="B38" s="15" t="str">
        <f>image("https://i.imgur.com/Drc1jv5.png")</f>
        <v/>
      </c>
      <c r="C38" s="96">
        <v>3000.0</v>
      </c>
      <c r="D38" s="15">
        <v>195.0</v>
      </c>
      <c r="E38" s="15" t="s">
        <v>1608</v>
      </c>
      <c r="F38" s="15" t="s">
        <v>118</v>
      </c>
      <c r="G38" s="15" t="s">
        <v>106</v>
      </c>
      <c r="H38" s="15" t="s">
        <v>40</v>
      </c>
    </row>
    <row r="39" ht="56.25" customHeight="1">
      <c r="A39" s="23" t="s">
        <v>5442</v>
      </c>
      <c r="B39" s="15" t="str">
        <f>image("https://i.imgur.com/k8YWwH2.png")</f>
        <v/>
      </c>
      <c r="C39" s="96">
        <v>2500.0</v>
      </c>
      <c r="D39" s="15">
        <v>196.0</v>
      </c>
      <c r="E39" s="15" t="s">
        <v>1608</v>
      </c>
      <c r="F39" s="15" t="s">
        <v>118</v>
      </c>
      <c r="G39" s="15" t="s">
        <v>106</v>
      </c>
      <c r="H39" s="15" t="s">
        <v>40</v>
      </c>
    </row>
    <row r="40" ht="56.25" customHeight="1">
      <c r="A40" s="35" t="s">
        <v>5445</v>
      </c>
      <c r="B40" s="15" t="str">
        <f>image("https://i.imgur.com/KpvDcAM.png")</f>
        <v/>
      </c>
      <c r="C40" s="96">
        <v>4500.0</v>
      </c>
      <c r="D40" s="15">
        <v>180.0</v>
      </c>
      <c r="E40" s="15" t="s">
        <v>118</v>
      </c>
      <c r="F40" s="15" t="s">
        <v>118</v>
      </c>
      <c r="G40" s="15" t="s">
        <v>106</v>
      </c>
      <c r="H40" s="15" t="s">
        <v>40</v>
      </c>
    </row>
    <row r="41" ht="56.25" customHeight="1">
      <c r="A41" s="99" t="s">
        <v>5447</v>
      </c>
      <c r="B41" s="15" t="str">
        <f>image("https://i.imgur.com/FqCP4gw.png")</f>
        <v/>
      </c>
      <c r="C41" s="96">
        <v>3000.0</v>
      </c>
      <c r="D41" s="15">
        <v>182.0</v>
      </c>
      <c r="E41" s="15" t="s">
        <v>118</v>
      </c>
      <c r="F41" s="15" t="s">
        <v>118</v>
      </c>
      <c r="G41" s="15" t="s">
        <v>106</v>
      </c>
      <c r="H41" s="15" t="s">
        <v>40</v>
      </c>
    </row>
    <row r="42" ht="56.25" customHeight="1">
      <c r="A42" s="35" t="s">
        <v>5454</v>
      </c>
      <c r="B42" s="15" t="str">
        <f>image("https://i.imgur.com/W5KU324.png")</f>
        <v/>
      </c>
      <c r="C42" s="96">
        <v>3500.0</v>
      </c>
      <c r="D42" s="15">
        <v>181.0</v>
      </c>
      <c r="E42" s="15" t="s">
        <v>118</v>
      </c>
      <c r="F42" s="15" t="s">
        <v>118</v>
      </c>
      <c r="G42" s="15" t="s">
        <v>106</v>
      </c>
      <c r="H42" s="15" t="s">
        <v>40</v>
      </c>
    </row>
    <row r="43" ht="56.25" customHeight="1">
      <c r="A43" s="37" t="s">
        <v>5456</v>
      </c>
      <c r="B43" s="15" t="str">
        <f>image("https://i.imgur.com/SaAHAuc.png")</f>
        <v/>
      </c>
      <c r="C43" s="96">
        <v>1500.0</v>
      </c>
      <c r="D43" s="15">
        <v>4662.0</v>
      </c>
      <c r="E43" s="15" t="s">
        <v>94</v>
      </c>
      <c r="F43" s="15" t="s">
        <v>94</v>
      </c>
      <c r="G43" s="15" t="s">
        <v>38</v>
      </c>
      <c r="H43" s="15" t="s">
        <v>40</v>
      </c>
    </row>
    <row r="44" ht="56.25" customHeight="1">
      <c r="A44" s="37" t="s">
        <v>5458</v>
      </c>
      <c r="B44" s="15" t="str">
        <f>image("https://i.imgur.com/TWXN0UW.png")</f>
        <v/>
      </c>
      <c r="C44" s="96">
        <v>2500.0</v>
      </c>
      <c r="D44" s="15">
        <v>192.0</v>
      </c>
      <c r="E44" s="15" t="s">
        <v>118</v>
      </c>
      <c r="F44" s="15" t="s">
        <v>118</v>
      </c>
      <c r="G44" s="15" t="s">
        <v>106</v>
      </c>
      <c r="H44" s="15" t="s">
        <v>40</v>
      </c>
    </row>
    <row r="45" ht="56.25" customHeight="1">
      <c r="A45" s="37" t="s">
        <v>5460</v>
      </c>
      <c r="B45" s="15" t="str">
        <f>image("https://i.imgur.com/tCX37wv.png")</f>
        <v/>
      </c>
      <c r="C45" s="96">
        <v>2000.0</v>
      </c>
      <c r="D45" s="15">
        <v>193.0</v>
      </c>
      <c r="E45" s="15" t="s">
        <v>118</v>
      </c>
      <c r="F45" s="15" t="s">
        <v>118</v>
      </c>
      <c r="G45" s="15" t="s">
        <v>106</v>
      </c>
      <c r="H45" s="15" t="s">
        <v>40</v>
      </c>
    </row>
    <row r="46" ht="56.25" customHeight="1">
      <c r="A46" s="37" t="s">
        <v>5462</v>
      </c>
      <c r="B46" s="15" t="str">
        <f>image("https://i.imgur.com/sUs3Km7.png")</f>
        <v/>
      </c>
      <c r="C46" s="96">
        <v>4000.0</v>
      </c>
      <c r="D46" s="15">
        <v>198.0</v>
      </c>
      <c r="E46" s="15" t="s">
        <v>118</v>
      </c>
      <c r="F46" s="15" t="s">
        <v>118</v>
      </c>
      <c r="G46" s="15" t="s">
        <v>106</v>
      </c>
      <c r="H46" s="15" t="s">
        <v>53</v>
      </c>
    </row>
    <row r="47" ht="56.25" customHeight="1">
      <c r="A47" s="37" t="s">
        <v>5464</v>
      </c>
      <c r="B47" s="15" t="str">
        <f>image("https://i.imgur.com/Tz3U6sa.png")</f>
        <v/>
      </c>
      <c r="C47" s="96">
        <v>3500.0</v>
      </c>
      <c r="D47" s="15">
        <v>199.0</v>
      </c>
      <c r="E47" s="15" t="s">
        <v>118</v>
      </c>
      <c r="F47" s="15" t="s">
        <v>118</v>
      </c>
      <c r="G47" s="15" t="s">
        <v>106</v>
      </c>
      <c r="H47" s="15" t="s">
        <v>40</v>
      </c>
    </row>
    <row r="48" ht="56.25" customHeight="1">
      <c r="A48" s="37" t="s">
        <v>5466</v>
      </c>
      <c r="B48" s="15" t="str">
        <f>image("https://i.imgur.com/y4uUQvg.png")</f>
        <v/>
      </c>
      <c r="C48" s="96">
        <v>3500.0</v>
      </c>
      <c r="D48" s="15">
        <v>202.0</v>
      </c>
      <c r="E48" s="15" t="s">
        <v>118</v>
      </c>
      <c r="F48" s="15" t="s">
        <v>118</v>
      </c>
      <c r="G48" s="15" t="s">
        <v>106</v>
      </c>
      <c r="H48" s="15" t="s">
        <v>40</v>
      </c>
    </row>
    <row r="49" ht="56.25" customHeight="1">
      <c r="A49" s="37" t="s">
        <v>5469</v>
      </c>
      <c r="B49" s="15" t="str">
        <f>image("https://i.imgur.com/hDGgorR.png")</f>
        <v/>
      </c>
      <c r="C49" s="96">
        <v>2500.0</v>
      </c>
      <c r="D49" s="15">
        <v>204.0</v>
      </c>
      <c r="E49" s="15" t="s">
        <v>118</v>
      </c>
      <c r="F49" s="15" t="s">
        <v>118</v>
      </c>
      <c r="G49" s="15" t="s">
        <v>106</v>
      </c>
      <c r="H49" s="15" t="s">
        <v>40</v>
      </c>
    </row>
    <row r="50" ht="56.25" customHeight="1">
      <c r="A50" s="37" t="s">
        <v>5470</v>
      </c>
      <c r="B50" s="15" t="str">
        <f>image("https://i.imgur.com/M3I3vrd.png")</f>
        <v/>
      </c>
      <c r="C50" s="96">
        <v>3000.0</v>
      </c>
      <c r="D50" s="15">
        <v>203.0</v>
      </c>
      <c r="E50" s="15" t="s">
        <v>118</v>
      </c>
      <c r="F50" s="15" t="s">
        <v>118</v>
      </c>
      <c r="G50" s="15" t="s">
        <v>106</v>
      </c>
      <c r="H50" s="15" t="s">
        <v>40</v>
      </c>
    </row>
    <row r="51" ht="56.25" customHeight="1">
      <c r="A51" s="37" t="s">
        <v>5473</v>
      </c>
      <c r="B51" s="15" t="str">
        <f>image("https://i.imgur.com/QhWX7Iq.png")</f>
        <v/>
      </c>
      <c r="C51" s="96">
        <v>4500.0</v>
      </c>
      <c r="D51" s="15">
        <v>235.0</v>
      </c>
      <c r="E51" s="15" t="s">
        <v>118</v>
      </c>
      <c r="F51" s="15" t="s">
        <v>118</v>
      </c>
      <c r="G51" s="15" t="s">
        <v>106</v>
      </c>
      <c r="H51" s="15" t="s">
        <v>40</v>
      </c>
    </row>
    <row r="52" ht="56.25" customHeight="1">
      <c r="A52" s="37" t="s">
        <v>5475</v>
      </c>
      <c r="B52" s="15" t="str">
        <f>image("https://i.imgur.com/JF4MTJK.png")</f>
        <v/>
      </c>
      <c r="C52" s="96">
        <v>4000.0</v>
      </c>
      <c r="D52" s="15">
        <v>234.0</v>
      </c>
      <c r="E52" s="15" t="s">
        <v>118</v>
      </c>
      <c r="F52" s="15" t="s">
        <v>118</v>
      </c>
      <c r="G52" s="15" t="s">
        <v>106</v>
      </c>
      <c r="H52" s="15" t="s">
        <v>40</v>
      </c>
    </row>
    <row r="53" ht="56.25" customHeight="1">
      <c r="A53" s="37" t="s">
        <v>5476</v>
      </c>
      <c r="B53" s="15" t="str">
        <f>image("https://i.imgur.com/Qi2Cn4c.png")</f>
        <v/>
      </c>
      <c r="C53" s="96">
        <v>4500.0</v>
      </c>
      <c r="D53" s="15">
        <v>236.0</v>
      </c>
      <c r="E53" s="15" t="s">
        <v>118</v>
      </c>
      <c r="F53" s="15" t="s">
        <v>118</v>
      </c>
      <c r="G53" s="15" t="s">
        <v>106</v>
      </c>
      <c r="H53" s="15" t="s">
        <v>40</v>
      </c>
    </row>
    <row r="54" ht="56.25" customHeight="1">
      <c r="A54" s="37" t="s">
        <v>5478</v>
      </c>
      <c r="B54" s="15" t="str">
        <f>image("https://i.imgur.com/gl235eK.png")</f>
        <v/>
      </c>
      <c r="C54" s="96">
        <v>4000.0</v>
      </c>
      <c r="D54" s="15">
        <v>206.0</v>
      </c>
      <c r="E54" s="15" t="s">
        <v>118</v>
      </c>
      <c r="F54" s="15" t="s">
        <v>118</v>
      </c>
      <c r="G54" s="15" t="s">
        <v>106</v>
      </c>
      <c r="H54" s="15" t="s">
        <v>40</v>
      </c>
    </row>
    <row r="55" ht="56.25" customHeight="1">
      <c r="A55" s="37" t="s">
        <v>5481</v>
      </c>
      <c r="B55" s="15" t="str">
        <f>image("https://i.imgur.com/pg2JOTJ.png")</f>
        <v/>
      </c>
      <c r="C55" s="96">
        <v>4500.0</v>
      </c>
      <c r="D55" s="15">
        <v>4697.0</v>
      </c>
      <c r="E55" s="15" t="s">
        <v>118</v>
      </c>
      <c r="F55" s="15" t="s">
        <v>118</v>
      </c>
      <c r="G55" s="15" t="s">
        <v>106</v>
      </c>
      <c r="H55" s="15" t="s">
        <v>40</v>
      </c>
    </row>
    <row r="56" ht="56.25" customHeight="1">
      <c r="A56" s="37" t="s">
        <v>5483</v>
      </c>
      <c r="B56" s="15" t="str">
        <f>image("https://i.imgur.com/Ty5pm5M.png")</f>
        <v/>
      </c>
      <c r="C56" s="96">
        <v>5500.0</v>
      </c>
      <c r="D56" s="15">
        <v>4658.0</v>
      </c>
      <c r="E56" s="15" t="s">
        <v>1608</v>
      </c>
      <c r="F56" s="15" t="s">
        <v>118</v>
      </c>
      <c r="G56" s="15" t="s">
        <v>106</v>
      </c>
      <c r="H56" s="15" t="s">
        <v>40</v>
      </c>
    </row>
    <row r="57" ht="56.25" customHeight="1">
      <c r="A57" s="37" t="s">
        <v>5485</v>
      </c>
      <c r="B57" s="15" t="str">
        <f>image("https://i.imgur.com/rWEdIFz.png")</f>
        <v/>
      </c>
      <c r="C57" s="96">
        <v>4500.0</v>
      </c>
      <c r="D57" s="15">
        <v>207.0</v>
      </c>
      <c r="E57" s="15" t="s">
        <v>118</v>
      </c>
      <c r="F57" s="15" t="s">
        <v>118</v>
      </c>
      <c r="G57" s="15" t="s">
        <v>106</v>
      </c>
      <c r="H57" s="15" t="s">
        <v>40</v>
      </c>
    </row>
    <row r="58" ht="56.25" customHeight="1">
      <c r="A58" s="37" t="s">
        <v>5487</v>
      </c>
      <c r="B58" s="15" t="str">
        <f>image("https://i.imgur.com/N507fSx.png")</f>
        <v/>
      </c>
      <c r="C58" s="96">
        <v>5000.0</v>
      </c>
      <c r="D58" s="15">
        <v>4698.0</v>
      </c>
      <c r="E58" s="15" t="s">
        <v>118</v>
      </c>
      <c r="F58" s="15" t="s">
        <v>118</v>
      </c>
      <c r="G58" s="15" t="s">
        <v>106</v>
      </c>
      <c r="H58" s="15" t="s">
        <v>40</v>
      </c>
    </row>
    <row r="59" ht="56.25" customHeight="1">
      <c r="A59" s="23" t="s">
        <v>5489</v>
      </c>
      <c r="B59" s="15" t="str">
        <f>image("https://i.imgur.com/XcJBP4l.png")</f>
        <v/>
      </c>
      <c r="C59" s="96">
        <v>2500.0</v>
      </c>
      <c r="D59" s="15">
        <v>213.0</v>
      </c>
      <c r="E59" s="15" t="s">
        <v>118</v>
      </c>
      <c r="F59" s="15" t="s">
        <v>118</v>
      </c>
      <c r="G59" s="15" t="s">
        <v>106</v>
      </c>
      <c r="H59" s="15" t="s">
        <v>40</v>
      </c>
    </row>
    <row r="60" ht="56.25" customHeight="1">
      <c r="A60" s="37" t="s">
        <v>5491</v>
      </c>
      <c r="B60" s="15" t="str">
        <f>image("https://i.imgur.com/JKpOsBo.png")</f>
        <v/>
      </c>
      <c r="C60" s="96">
        <v>2000.0</v>
      </c>
      <c r="D60" s="15">
        <v>214.0</v>
      </c>
      <c r="E60" s="15" t="s">
        <v>118</v>
      </c>
      <c r="F60" s="15" t="s">
        <v>118</v>
      </c>
      <c r="G60" s="15" t="s">
        <v>106</v>
      </c>
      <c r="H60" s="15" t="s">
        <v>40</v>
      </c>
    </row>
    <row r="61" ht="56.25" customHeight="1">
      <c r="A61" s="37" t="s">
        <v>5493</v>
      </c>
      <c r="B61" s="15" t="str">
        <f>image("https://i.imgur.com/RPVJsyp.png")</f>
        <v/>
      </c>
      <c r="C61" s="96">
        <v>1000.0</v>
      </c>
      <c r="D61" s="15">
        <v>302.0</v>
      </c>
      <c r="E61" s="15" t="s">
        <v>1608</v>
      </c>
      <c r="F61" s="15" t="s">
        <v>118</v>
      </c>
      <c r="G61" s="15" t="s">
        <v>38</v>
      </c>
      <c r="H61" s="15" t="s">
        <v>40</v>
      </c>
    </row>
    <row r="62" ht="56.25" customHeight="1">
      <c r="A62" s="37" t="s">
        <v>5496</v>
      </c>
      <c r="B62" s="15" t="str">
        <f>image("https://i.imgur.com/g1q64Jw.png")</f>
        <v/>
      </c>
      <c r="C62" s="96">
        <v>4000.0</v>
      </c>
      <c r="D62" s="15">
        <v>222.0</v>
      </c>
      <c r="E62" s="15" t="s">
        <v>118</v>
      </c>
      <c r="F62" s="15" t="s">
        <v>118</v>
      </c>
      <c r="G62" s="15" t="s">
        <v>106</v>
      </c>
      <c r="H62" s="15" t="s">
        <v>53</v>
      </c>
    </row>
    <row r="63" ht="56.25" customHeight="1">
      <c r="A63" s="37" t="s">
        <v>5498</v>
      </c>
      <c r="B63" s="15" t="str">
        <f>image("https://i.imgur.com/WJshuqO.png")</f>
        <v/>
      </c>
      <c r="C63" s="96">
        <v>2500.0</v>
      </c>
      <c r="D63" s="15">
        <v>224.0</v>
      </c>
      <c r="E63" s="15" t="s">
        <v>118</v>
      </c>
      <c r="F63" s="15" t="s">
        <v>118</v>
      </c>
      <c r="G63" s="15" t="s">
        <v>106</v>
      </c>
      <c r="H63" s="15" t="s">
        <v>40</v>
      </c>
    </row>
    <row r="64" ht="56.25" customHeight="1">
      <c r="A64" s="37" t="s">
        <v>5500</v>
      </c>
      <c r="B64" s="15" t="str">
        <f>image("https://i.imgur.com/4eoJuwq.png")</f>
        <v/>
      </c>
      <c r="C64" s="96">
        <v>3000.0</v>
      </c>
      <c r="D64" s="15">
        <v>223.0</v>
      </c>
      <c r="E64" s="15" t="s">
        <v>118</v>
      </c>
      <c r="F64" s="15" t="s">
        <v>118</v>
      </c>
      <c r="G64" s="15" t="s">
        <v>106</v>
      </c>
      <c r="H64" s="15" t="s">
        <v>40</v>
      </c>
    </row>
    <row r="65" ht="56.25" customHeight="1">
      <c r="A65" s="37" t="s">
        <v>5502</v>
      </c>
      <c r="B65" s="15" t="str">
        <f>image("https://i.imgur.com/7IyjTOK.png")</f>
        <v/>
      </c>
      <c r="C65" s="96">
        <v>5000.0</v>
      </c>
      <c r="D65" s="15">
        <v>226.0</v>
      </c>
      <c r="E65" s="15" t="s">
        <v>118</v>
      </c>
      <c r="F65" s="15" t="s">
        <v>118</v>
      </c>
      <c r="G65" s="15" t="s">
        <v>106</v>
      </c>
      <c r="H65" s="15" t="s">
        <v>40</v>
      </c>
    </row>
    <row r="66" ht="56.25" customHeight="1">
      <c r="A66" s="37" t="s">
        <v>5504</v>
      </c>
      <c r="B66" s="15" t="str">
        <f>image("https://i.imgur.com/XssfLTg.png")</f>
        <v/>
      </c>
      <c r="C66" s="96">
        <v>4000.0</v>
      </c>
      <c r="D66" s="15">
        <v>228.0</v>
      </c>
      <c r="E66" s="15" t="s">
        <v>118</v>
      </c>
      <c r="F66" s="15" t="s">
        <v>118</v>
      </c>
      <c r="G66" s="15" t="s">
        <v>106</v>
      </c>
      <c r="H66" s="15" t="s">
        <v>40</v>
      </c>
    </row>
    <row r="67" ht="56.25" customHeight="1">
      <c r="A67" s="37" t="s">
        <v>5506</v>
      </c>
      <c r="B67" s="15" t="str">
        <f>image("https://i.imgur.com/P9yh3IU.png")</f>
        <v/>
      </c>
      <c r="C67" s="96">
        <v>4500.0</v>
      </c>
      <c r="D67" s="15">
        <v>227.0</v>
      </c>
      <c r="E67" s="15" t="s">
        <v>118</v>
      </c>
      <c r="F67" s="15" t="s">
        <v>118</v>
      </c>
      <c r="G67" s="15" t="s">
        <v>106</v>
      </c>
      <c r="H67" s="15" t="s">
        <v>40</v>
      </c>
    </row>
    <row r="68" ht="56.25" customHeight="1">
      <c r="A68" s="37" t="s">
        <v>5507</v>
      </c>
      <c r="B68" s="15" t="str">
        <f>image("https://i.imgur.com/7a9QRk7.png")</f>
        <v/>
      </c>
      <c r="C68" s="96">
        <v>6000.0</v>
      </c>
      <c r="D68" s="15">
        <v>238.0</v>
      </c>
      <c r="E68" s="15" t="s">
        <v>118</v>
      </c>
      <c r="F68" s="15" t="s">
        <v>118</v>
      </c>
      <c r="G68" s="15" t="s">
        <v>106</v>
      </c>
      <c r="H68" s="15" t="s">
        <v>53</v>
      </c>
    </row>
    <row r="69" ht="56.25" customHeight="1">
      <c r="A69" s="37" t="s">
        <v>5509</v>
      </c>
      <c r="B69" s="15" t="str">
        <f>image("https://i.imgur.com/wgaD6WH.png")</f>
        <v/>
      </c>
      <c r="C69" s="96">
        <v>5000.0</v>
      </c>
      <c r="D69" s="15">
        <v>240.0</v>
      </c>
      <c r="E69" s="15" t="s">
        <v>118</v>
      </c>
      <c r="F69" s="15" t="s">
        <v>118</v>
      </c>
      <c r="G69" s="15" t="s">
        <v>106</v>
      </c>
      <c r="H69" s="15" t="s">
        <v>40</v>
      </c>
    </row>
    <row r="70" ht="56.25" customHeight="1">
      <c r="A70" s="37" t="s">
        <v>5512</v>
      </c>
      <c r="B70" s="15" t="str">
        <f>image("https://i.imgur.com/hHlqKVn.png")</f>
        <v/>
      </c>
      <c r="C70" s="96">
        <v>5500.0</v>
      </c>
      <c r="D70" s="15">
        <v>239.0</v>
      </c>
      <c r="E70" s="15" t="s">
        <v>118</v>
      </c>
      <c r="F70" s="15" t="s">
        <v>118</v>
      </c>
      <c r="G70" s="15" t="s">
        <v>106</v>
      </c>
      <c r="H70" s="15" t="s">
        <v>40</v>
      </c>
    </row>
    <row r="71" ht="56.25" customHeight="1">
      <c r="A71" s="37" t="s">
        <v>5514</v>
      </c>
      <c r="B71" s="15" t="str">
        <f>image("https://i.imgur.com/qTEDGmG.png")</f>
        <v/>
      </c>
      <c r="C71" s="96">
        <v>5500.0</v>
      </c>
      <c r="D71" s="15">
        <v>242.0</v>
      </c>
      <c r="E71" s="15" t="s">
        <v>118</v>
      </c>
      <c r="F71" s="15" t="s">
        <v>118</v>
      </c>
      <c r="G71" s="15" t="s">
        <v>106</v>
      </c>
      <c r="H71" s="15" t="s">
        <v>53</v>
      </c>
    </row>
    <row r="72" ht="56.25" customHeight="1">
      <c r="A72" s="37" t="s">
        <v>5516</v>
      </c>
      <c r="B72" s="15" t="str">
        <f>image("https://i.imgur.com/rAAwqwu.png")</f>
        <v/>
      </c>
      <c r="C72" s="96">
        <v>4500.0</v>
      </c>
      <c r="D72" s="15">
        <v>244.0</v>
      </c>
      <c r="E72" s="15" t="s">
        <v>118</v>
      </c>
      <c r="F72" s="15" t="s">
        <v>118</v>
      </c>
      <c r="G72" s="15" t="s">
        <v>106</v>
      </c>
      <c r="H72" s="15" t="s">
        <v>40</v>
      </c>
    </row>
    <row r="73" ht="56.25" customHeight="1">
      <c r="A73" s="37" t="s">
        <v>5519</v>
      </c>
      <c r="B73" s="15" t="str">
        <f>image("https://i.imgur.com/xp0LbDo.png")</f>
        <v/>
      </c>
      <c r="C73" s="96">
        <v>5000.0</v>
      </c>
      <c r="D73" s="15">
        <v>243.0</v>
      </c>
      <c r="E73" s="15" t="s">
        <v>118</v>
      </c>
      <c r="F73" s="15" t="s">
        <v>118</v>
      </c>
      <c r="G73" s="15" t="s">
        <v>106</v>
      </c>
      <c r="H73" s="15" t="s">
        <v>40</v>
      </c>
    </row>
    <row r="74" ht="56.25" customHeight="1">
      <c r="A74" s="23" t="s">
        <v>5521</v>
      </c>
      <c r="B74" s="15" t="str">
        <f>image("https://i.imgur.com/2iiNXdc.png")</f>
        <v/>
      </c>
      <c r="C74" s="96">
        <v>1300.0</v>
      </c>
      <c r="D74" s="15">
        <v>303.0</v>
      </c>
      <c r="E74" s="15" t="s">
        <v>1608</v>
      </c>
      <c r="F74" s="15" t="s">
        <v>118</v>
      </c>
      <c r="G74" s="15" t="s">
        <v>38</v>
      </c>
      <c r="H74" s="15" t="s">
        <v>40</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4.71"/>
    <col customWidth="1" min="2" max="2" width="10.86"/>
    <col customWidth="1" min="3" max="3" width="7.14"/>
    <col customWidth="1" min="4" max="4" width="9.71"/>
    <col customWidth="1" min="5" max="5" width="29.29"/>
  </cols>
  <sheetData>
    <row r="1" ht="15.75" customHeight="1">
      <c r="A1" s="97" t="s">
        <v>0</v>
      </c>
      <c r="B1" s="3" t="s">
        <v>1</v>
      </c>
      <c r="C1" s="1" t="s">
        <v>6</v>
      </c>
      <c r="D1" s="98" t="s">
        <v>4455</v>
      </c>
      <c r="E1" s="98" t="s">
        <v>5360</v>
      </c>
    </row>
    <row r="2" ht="56.25" customHeight="1">
      <c r="A2" s="23" t="s">
        <v>5361</v>
      </c>
      <c r="B2" s="15" t="str">
        <f>image("https://i.imgur.com/wfqkJP4.png")</f>
        <v/>
      </c>
      <c r="C2" s="13">
        <v>198000.0</v>
      </c>
      <c r="D2" s="24" t="s">
        <v>5363</v>
      </c>
      <c r="E2" s="24" t="s">
        <v>5364</v>
      </c>
    </row>
    <row r="3" ht="56.25" customHeight="1">
      <c r="A3" s="23" t="s">
        <v>5365</v>
      </c>
      <c r="B3" s="15" t="str">
        <f>image("https://i.imgur.com/HtcyceK.png")</f>
        <v/>
      </c>
      <c r="C3" s="13">
        <v>228000.0</v>
      </c>
      <c r="D3" s="24" t="s">
        <v>5363</v>
      </c>
      <c r="E3" s="24" t="s">
        <v>5364</v>
      </c>
    </row>
    <row r="4" ht="56.25" customHeight="1">
      <c r="A4" s="23" t="s">
        <v>5367</v>
      </c>
      <c r="B4" s="15" t="str">
        <f>image("https://i.imgur.com/L2DBxtY.png")</f>
        <v/>
      </c>
      <c r="C4" s="13">
        <v>98000.0</v>
      </c>
      <c r="D4" s="24" t="s">
        <v>5363</v>
      </c>
      <c r="E4" s="24" t="s">
        <v>5364</v>
      </c>
    </row>
    <row r="5" ht="56.25" customHeight="1">
      <c r="A5" s="23" t="s">
        <v>5368</v>
      </c>
      <c r="B5" s="15" t="str">
        <f>image("https://i.imgur.com/OX10za8.png")</f>
        <v/>
      </c>
      <c r="C5" s="13">
        <v>228000.0</v>
      </c>
      <c r="D5" s="24" t="s">
        <v>5363</v>
      </c>
      <c r="E5" s="24" t="s">
        <v>5364</v>
      </c>
    </row>
    <row r="6" ht="56.25" customHeight="1">
      <c r="A6" s="23" t="s">
        <v>5369</v>
      </c>
      <c r="B6" s="15" t="str">
        <f>image("https://i.imgur.com/mFAMkfS.png")</f>
        <v/>
      </c>
      <c r="C6" s="13">
        <v>168000.0</v>
      </c>
      <c r="D6" s="24" t="s">
        <v>5363</v>
      </c>
      <c r="E6" s="24" t="s">
        <v>5364</v>
      </c>
    </row>
    <row r="7" ht="56.25" customHeight="1">
      <c r="A7" s="23" t="s">
        <v>5371</v>
      </c>
      <c r="B7" s="15" t="str">
        <f>image("https://i.imgur.com/JlSYdXq.png")</f>
        <v/>
      </c>
      <c r="C7" s="13">
        <v>129800.0</v>
      </c>
      <c r="D7" s="24" t="s">
        <v>5363</v>
      </c>
      <c r="E7" s="24" t="s">
        <v>5364</v>
      </c>
    </row>
    <row r="8" ht="56.25" customHeight="1">
      <c r="A8" s="23" t="s">
        <v>5372</v>
      </c>
      <c r="B8" s="15" t="str">
        <f>image("https://i.imgur.com/cEiL7Xr.png")</f>
        <v/>
      </c>
      <c r="C8" s="13">
        <v>168000.0</v>
      </c>
      <c r="D8" s="24" t="s">
        <v>5363</v>
      </c>
      <c r="E8" s="24" t="s">
        <v>5364</v>
      </c>
    </row>
    <row r="9" ht="56.25" customHeight="1">
      <c r="A9" s="23" t="s">
        <v>5374</v>
      </c>
      <c r="B9" s="15" t="str">
        <f>image("https://i.imgur.com/8tjpe5G.png")</f>
        <v/>
      </c>
      <c r="C9" s="13">
        <v>228000.0</v>
      </c>
      <c r="D9" s="24" t="s">
        <v>5363</v>
      </c>
      <c r="E9" s="24" t="s">
        <v>5364</v>
      </c>
    </row>
    <row r="10" ht="56.25" customHeight="1">
      <c r="A10" s="37" t="s">
        <v>5375</v>
      </c>
      <c r="B10" s="15" t="str">
        <f>image("https://i.imgur.com/baXVzWI.png")</f>
        <v/>
      </c>
      <c r="C10" s="24">
        <v>5000.0</v>
      </c>
      <c r="D10" s="24" t="s">
        <v>5377</v>
      </c>
      <c r="E10" s="24" t="s">
        <v>5378</v>
      </c>
    </row>
    <row r="11" ht="56.25" customHeight="1">
      <c r="A11" s="37" t="s">
        <v>5379</v>
      </c>
      <c r="B11" s="15" t="str">
        <f>image("https://i.imgur.com/qVLeFR9.png")</f>
        <v/>
      </c>
      <c r="C11" s="24">
        <v>5000.0</v>
      </c>
      <c r="D11" s="24" t="s">
        <v>5377</v>
      </c>
      <c r="E11" s="24" t="s">
        <v>5378</v>
      </c>
    </row>
    <row r="12" ht="56.25" customHeight="1">
      <c r="A12" s="37" t="s">
        <v>5380</v>
      </c>
      <c r="B12" s="15" t="str">
        <f>image("https://i.imgur.com/pSZXpQx.png")</f>
        <v/>
      </c>
      <c r="C12" s="24">
        <v>5000.0</v>
      </c>
      <c r="D12" s="24" t="s">
        <v>5377</v>
      </c>
      <c r="E12" s="24" t="s">
        <v>5378</v>
      </c>
    </row>
    <row r="13" ht="56.25" customHeight="1">
      <c r="A13" s="37" t="s">
        <v>5382</v>
      </c>
      <c r="B13" s="15" t="str">
        <f>image("https://i.imgur.com/p9AdIHH.png")</f>
        <v/>
      </c>
      <c r="C13" s="24">
        <v>5000.0</v>
      </c>
      <c r="D13" s="24" t="s">
        <v>5377</v>
      </c>
      <c r="E13" s="24" t="s">
        <v>5378</v>
      </c>
    </row>
    <row r="14" ht="56.25" customHeight="1">
      <c r="A14" s="37" t="s">
        <v>5383</v>
      </c>
      <c r="B14" s="15" t="str">
        <f>image("https://i.imgur.com/fH7aGv3.png")</f>
        <v/>
      </c>
      <c r="C14" s="24">
        <v>5000.0</v>
      </c>
      <c r="D14" s="24" t="s">
        <v>5377</v>
      </c>
      <c r="E14" s="24" t="s">
        <v>5378</v>
      </c>
    </row>
    <row r="15" ht="56.25" customHeight="1">
      <c r="A15" s="37" t="s">
        <v>5386</v>
      </c>
      <c r="B15" s="15" t="str">
        <f>image("https://i.imgur.com/9WgkE4q.png")</f>
        <v/>
      </c>
      <c r="C15" s="24">
        <v>5000.0</v>
      </c>
      <c r="D15" s="24" t="s">
        <v>5377</v>
      </c>
      <c r="E15" s="24" t="s">
        <v>5378</v>
      </c>
    </row>
    <row r="16" ht="56.25" customHeight="1">
      <c r="A16" s="37" t="s">
        <v>5387</v>
      </c>
      <c r="B16" s="15" t="str">
        <f>image("https://i.imgur.com/FiNPhBd.png")</f>
        <v/>
      </c>
      <c r="C16" s="24">
        <v>5000.0</v>
      </c>
      <c r="D16" s="24" t="s">
        <v>5377</v>
      </c>
      <c r="E16" s="24" t="s">
        <v>5378</v>
      </c>
    </row>
    <row r="17" ht="56.25" customHeight="1">
      <c r="A17" s="37" t="s">
        <v>5388</v>
      </c>
      <c r="B17" s="15" t="str">
        <f>image("https://i.imgur.com/wrhpUgI.png")</f>
        <v/>
      </c>
      <c r="C17" s="24">
        <v>5000.0</v>
      </c>
      <c r="D17" s="24" t="s">
        <v>5377</v>
      </c>
      <c r="E17" s="24" t="s">
        <v>5378</v>
      </c>
    </row>
    <row r="18" ht="56.25" customHeight="1">
      <c r="A18" s="37" t="s">
        <v>5390</v>
      </c>
      <c r="B18" s="15" t="str">
        <f>image("https://i.imgur.com/QxSPf6S.png")</f>
        <v/>
      </c>
      <c r="C18" s="24">
        <v>5000.0</v>
      </c>
      <c r="D18" s="24" t="s">
        <v>5377</v>
      </c>
      <c r="E18" s="24" t="s">
        <v>5378</v>
      </c>
    </row>
    <row r="19" ht="56.25" customHeight="1">
      <c r="A19" s="37" t="s">
        <v>5392</v>
      </c>
      <c r="B19" s="15" t="str">
        <f>image("https://i.imgur.com/z9kGZbt.png")</f>
        <v/>
      </c>
      <c r="C19" s="24">
        <v>5000.0</v>
      </c>
      <c r="D19" s="24" t="s">
        <v>5377</v>
      </c>
      <c r="E19" s="24" t="s">
        <v>5378</v>
      </c>
    </row>
    <row r="20" ht="56.25" customHeight="1">
      <c r="A20" s="37" t="s">
        <v>5394</v>
      </c>
      <c r="B20" s="15" t="str">
        <f>image("https://i.imgur.com/yTdRv84.png")</f>
        <v/>
      </c>
      <c r="C20" s="24">
        <v>5000.0</v>
      </c>
      <c r="D20" s="24" t="s">
        <v>5377</v>
      </c>
      <c r="E20" s="24" t="s">
        <v>5378</v>
      </c>
    </row>
    <row r="21" ht="56.25" customHeight="1">
      <c r="A21" s="37" t="s">
        <v>5395</v>
      </c>
      <c r="B21" s="15" t="str">
        <f>image("https://i.imgur.com/xIAHyFd.png")</f>
        <v/>
      </c>
      <c r="C21" s="24">
        <v>5000.0</v>
      </c>
      <c r="D21" s="24" t="s">
        <v>5377</v>
      </c>
      <c r="E21" s="24" t="s">
        <v>5378</v>
      </c>
    </row>
    <row r="22" ht="56.25" customHeight="1">
      <c r="A22" s="37" t="s">
        <v>5397</v>
      </c>
      <c r="B22" s="15" t="str">
        <f>image("https://i.imgur.com/3L7m5CK.png")</f>
        <v/>
      </c>
      <c r="C22" s="24">
        <v>5000.0</v>
      </c>
      <c r="D22" s="24" t="s">
        <v>5377</v>
      </c>
      <c r="E22" s="24" t="s">
        <v>5378</v>
      </c>
    </row>
    <row r="23" ht="56.25" customHeight="1">
      <c r="A23" s="37" t="s">
        <v>5399</v>
      </c>
      <c r="B23" s="15" t="str">
        <f>image("https://i.imgur.com/E81xkid.png")</f>
        <v/>
      </c>
      <c r="C23" s="24">
        <v>5000.0</v>
      </c>
      <c r="D23" s="24" t="s">
        <v>5377</v>
      </c>
      <c r="E23" s="24" t="s">
        <v>5378</v>
      </c>
    </row>
    <row r="24" ht="56.25" customHeight="1">
      <c r="A24" s="37" t="s">
        <v>5401</v>
      </c>
      <c r="B24" s="15" t="str">
        <f>image("https://i.imgur.com/79SrKz6.png")</f>
        <v/>
      </c>
      <c r="C24" s="24">
        <v>5000.0</v>
      </c>
      <c r="D24" s="24" t="s">
        <v>5377</v>
      </c>
      <c r="E24" s="24" t="s">
        <v>5378</v>
      </c>
    </row>
    <row r="25" ht="56.25" customHeight="1">
      <c r="A25" s="37" t="s">
        <v>5402</v>
      </c>
      <c r="B25" s="15" t="str">
        <f>image("https://i.imgur.com/eaxnzHr.png")</f>
        <v/>
      </c>
      <c r="C25" s="24">
        <v>5000.0</v>
      </c>
      <c r="D25" s="24" t="s">
        <v>5377</v>
      </c>
      <c r="E25" s="24" t="s">
        <v>5378</v>
      </c>
    </row>
    <row r="26" ht="56.25" customHeight="1">
      <c r="A26" s="37" t="s">
        <v>5404</v>
      </c>
      <c r="B26" s="15" t="str">
        <f>image("https://i.imgur.com/GHd5s88.png")</f>
        <v/>
      </c>
      <c r="C26" s="24">
        <v>5000.0</v>
      </c>
      <c r="D26" s="24" t="s">
        <v>5377</v>
      </c>
      <c r="E26" s="24" t="s">
        <v>5378</v>
      </c>
    </row>
    <row r="27" ht="56.25" customHeight="1">
      <c r="A27" s="37" t="s">
        <v>5406</v>
      </c>
      <c r="B27" s="15" t="str">
        <f>image("https://i.imgur.com/1EcGjna.png")</f>
        <v/>
      </c>
      <c r="C27" s="24">
        <v>5000.0</v>
      </c>
      <c r="D27" s="24" t="s">
        <v>5377</v>
      </c>
      <c r="E27" s="24" t="s">
        <v>5378</v>
      </c>
    </row>
    <row r="28" ht="56.25" customHeight="1">
      <c r="A28" s="37" t="s">
        <v>5407</v>
      </c>
      <c r="B28" s="15" t="str">
        <f>image("https://i.imgur.com/yeb6Z8x.png")</f>
        <v/>
      </c>
      <c r="C28" s="24">
        <v>5000.0</v>
      </c>
      <c r="D28" s="24" t="s">
        <v>5377</v>
      </c>
      <c r="E28" s="24" t="s">
        <v>5378</v>
      </c>
    </row>
    <row r="29" ht="56.25" customHeight="1">
      <c r="A29" s="37" t="s">
        <v>5410</v>
      </c>
      <c r="B29" s="15" t="str">
        <f>image("https://i.imgur.com/d44fSH9.png")</f>
        <v/>
      </c>
      <c r="C29" s="24">
        <v>5000.0</v>
      </c>
      <c r="D29" s="24" t="s">
        <v>5377</v>
      </c>
      <c r="E29" s="24" t="s">
        <v>5378</v>
      </c>
    </row>
    <row r="30" ht="56.25" customHeight="1">
      <c r="A30" s="37" t="s">
        <v>5412</v>
      </c>
      <c r="B30" s="15" t="str">
        <f>image("https://i.imgur.com/hdD6xY6.png")</f>
        <v/>
      </c>
      <c r="C30" s="24">
        <v>5000.0</v>
      </c>
      <c r="D30" s="24" t="s">
        <v>5377</v>
      </c>
      <c r="E30" s="24" t="s">
        <v>5378</v>
      </c>
    </row>
    <row r="31" ht="56.25" customHeight="1">
      <c r="A31" s="37" t="s">
        <v>5413</v>
      </c>
      <c r="B31" s="15" t="str">
        <f>image("https://i.imgur.com/NG8nTao.png")</f>
        <v/>
      </c>
      <c r="C31" s="24">
        <v>5000.0</v>
      </c>
      <c r="D31" s="24" t="s">
        <v>5377</v>
      </c>
      <c r="E31" s="24" t="s">
        <v>5378</v>
      </c>
    </row>
    <row r="32" ht="56.25" customHeight="1">
      <c r="A32" s="37" t="s">
        <v>5414</v>
      </c>
      <c r="B32" s="15" t="str">
        <f>image("https://i.imgur.com/JR1ZuEL.png")</f>
        <v/>
      </c>
      <c r="C32" s="24">
        <v>5000.0</v>
      </c>
      <c r="D32" s="24" t="s">
        <v>5377</v>
      </c>
      <c r="E32" s="24" t="s">
        <v>5378</v>
      </c>
    </row>
    <row r="33" ht="56.25" customHeight="1">
      <c r="A33" s="37" t="s">
        <v>5416</v>
      </c>
      <c r="B33" s="15" t="str">
        <f>image("https://i.imgur.com/XbCcLGK.png")</f>
        <v/>
      </c>
      <c r="C33" s="24">
        <v>5000.0</v>
      </c>
      <c r="D33" s="24" t="s">
        <v>5377</v>
      </c>
      <c r="E33" s="24" t="s">
        <v>5378</v>
      </c>
    </row>
    <row r="34" ht="56.25" customHeight="1">
      <c r="A34" s="37" t="s">
        <v>5417</v>
      </c>
      <c r="B34" s="15" t="str">
        <f>image("https://i.imgur.com/qdZy67u.png")</f>
        <v/>
      </c>
      <c r="C34" s="24">
        <v>5000.0</v>
      </c>
      <c r="D34" s="24" t="s">
        <v>5377</v>
      </c>
      <c r="E34" s="24" t="s">
        <v>5378</v>
      </c>
    </row>
    <row r="35" ht="56.25" customHeight="1">
      <c r="A35" s="37" t="s">
        <v>5419</v>
      </c>
      <c r="B35" s="15" t="str">
        <f>image("https://i.imgur.com/tbvBM9V.png")</f>
        <v/>
      </c>
      <c r="C35" s="24">
        <v>5000.0</v>
      </c>
      <c r="D35" s="24" t="s">
        <v>5377</v>
      </c>
      <c r="E35" s="24" t="s">
        <v>5378</v>
      </c>
    </row>
    <row r="36" ht="56.25" customHeight="1">
      <c r="A36" s="37" t="s">
        <v>5421</v>
      </c>
      <c r="B36" s="15" t="str">
        <f>image("https://i.imgur.com/O0JKCL0.png")</f>
        <v/>
      </c>
      <c r="C36" s="24">
        <v>5000.0</v>
      </c>
      <c r="D36" s="24" t="s">
        <v>5377</v>
      </c>
      <c r="E36" s="24" t="s">
        <v>5378</v>
      </c>
    </row>
    <row r="37" ht="56.25" customHeight="1">
      <c r="A37" s="37" t="s">
        <v>5422</v>
      </c>
      <c r="B37" s="15" t="str">
        <f>image("https://i.imgur.com/n30f4IS.png")</f>
        <v/>
      </c>
      <c r="C37" s="24">
        <v>5000.0</v>
      </c>
      <c r="D37" s="24" t="s">
        <v>5377</v>
      </c>
      <c r="E37" s="24" t="s">
        <v>5378</v>
      </c>
    </row>
    <row r="38" ht="56.25" customHeight="1">
      <c r="A38" s="37" t="s">
        <v>5424</v>
      </c>
      <c r="B38" s="15" t="str">
        <f>image("https://i.imgur.com/76wYE3H.png")</f>
        <v/>
      </c>
      <c r="C38" s="24">
        <v>5000.0</v>
      </c>
      <c r="D38" s="24" t="s">
        <v>5377</v>
      </c>
      <c r="E38" s="24" t="s">
        <v>5378</v>
      </c>
    </row>
    <row r="39" ht="56.25" customHeight="1">
      <c r="A39" s="37" t="s">
        <v>5425</v>
      </c>
      <c r="B39" s="15" t="str">
        <f>image("https://i.imgur.com/iHulGET.png")</f>
        <v/>
      </c>
      <c r="C39" s="24">
        <v>5000.0</v>
      </c>
      <c r="D39" s="24" t="s">
        <v>5377</v>
      </c>
      <c r="E39" s="24" t="s">
        <v>5378</v>
      </c>
    </row>
    <row r="40" ht="56.25" customHeight="1">
      <c r="A40" s="37" t="s">
        <v>5426</v>
      </c>
      <c r="B40" s="15" t="str">
        <f>image("https://i.imgur.com/T9xgKF8.png")</f>
        <v/>
      </c>
      <c r="C40" s="24">
        <v>5000.0</v>
      </c>
      <c r="D40" s="24" t="s">
        <v>5377</v>
      </c>
      <c r="E40" s="24" t="s">
        <v>5378</v>
      </c>
    </row>
    <row r="41" ht="56.25" customHeight="1">
      <c r="A41" s="37" t="s">
        <v>5428</v>
      </c>
      <c r="B41" s="15" t="str">
        <f>image("https://i.imgur.com/8HquqGH.png")</f>
        <v/>
      </c>
      <c r="C41" s="24">
        <v>5000.0</v>
      </c>
      <c r="D41" s="24" t="s">
        <v>5377</v>
      </c>
      <c r="E41" s="24" t="s">
        <v>5378</v>
      </c>
    </row>
    <row r="42" ht="56.25" customHeight="1">
      <c r="A42" s="37" t="s">
        <v>5430</v>
      </c>
      <c r="B42" s="15" t="str">
        <f>image("https://i.imgur.com/fsnXcjv.png")</f>
        <v/>
      </c>
      <c r="C42" s="24">
        <v>5000.0</v>
      </c>
      <c r="D42" s="24" t="s">
        <v>5377</v>
      </c>
      <c r="E42" s="24" t="s">
        <v>5378</v>
      </c>
    </row>
    <row r="43" ht="56.25" customHeight="1">
      <c r="A43" s="37" t="s">
        <v>5431</v>
      </c>
      <c r="B43" s="15" t="str">
        <f>image("https://i.imgur.com/f6fD6No.png")</f>
        <v/>
      </c>
      <c r="C43" s="24">
        <v>5000.0</v>
      </c>
      <c r="D43" s="24" t="s">
        <v>5377</v>
      </c>
      <c r="E43" s="24" t="s">
        <v>5378</v>
      </c>
    </row>
    <row r="44" ht="56.25" customHeight="1">
      <c r="A44" s="37" t="s">
        <v>5434</v>
      </c>
      <c r="B44" s="15" t="str">
        <f>image("https://i.imgur.com/ncFzAS9.png")</f>
        <v/>
      </c>
      <c r="C44" s="24">
        <v>5000.0</v>
      </c>
      <c r="D44" s="24" t="s">
        <v>5377</v>
      </c>
      <c r="E44" s="24" t="s">
        <v>5378</v>
      </c>
    </row>
    <row r="45" ht="56.25" customHeight="1">
      <c r="A45" s="37" t="s">
        <v>5436</v>
      </c>
      <c r="B45" s="15" t="str">
        <f>image("https://i.imgur.com/CY7OmOO.png")</f>
        <v/>
      </c>
      <c r="C45" s="24">
        <v>5000.0</v>
      </c>
      <c r="D45" s="24" t="s">
        <v>5377</v>
      </c>
      <c r="E45" s="24" t="s">
        <v>5378</v>
      </c>
    </row>
    <row r="46" ht="56.25" customHeight="1">
      <c r="A46" s="37" t="s">
        <v>5437</v>
      </c>
      <c r="B46" s="15" t="str">
        <f>image("https://i.imgur.com/VW0jTRe.png")</f>
        <v/>
      </c>
      <c r="C46" s="24">
        <v>5000.0</v>
      </c>
      <c r="D46" s="24" t="s">
        <v>5377</v>
      </c>
      <c r="E46" s="24" t="s">
        <v>5378</v>
      </c>
    </row>
    <row r="47" ht="56.25" customHeight="1">
      <c r="A47" s="37" t="s">
        <v>5439</v>
      </c>
      <c r="B47" s="15" t="str">
        <f>image("https://i.imgur.com/OHOCDaq.png")</f>
        <v/>
      </c>
      <c r="C47" s="24">
        <v>5000.0</v>
      </c>
      <c r="D47" s="24" t="s">
        <v>5377</v>
      </c>
      <c r="E47" s="24" t="s">
        <v>5378</v>
      </c>
    </row>
    <row r="48" ht="56.25" customHeight="1">
      <c r="A48" s="37" t="s">
        <v>5441</v>
      </c>
      <c r="B48" s="15" t="str">
        <f>image("https://i.imgur.com/JB4OMII.png")</f>
        <v/>
      </c>
      <c r="C48" s="24">
        <v>5000.0</v>
      </c>
      <c r="D48" s="24" t="s">
        <v>5377</v>
      </c>
      <c r="E48" s="24" t="s">
        <v>5378</v>
      </c>
    </row>
    <row r="49" ht="56.25" customHeight="1">
      <c r="A49" s="37" t="s">
        <v>5443</v>
      </c>
      <c r="B49" s="15" t="str">
        <f>image("https://i.imgur.com/rud06lw.png")</f>
        <v/>
      </c>
      <c r="C49" s="24">
        <v>5000.0</v>
      </c>
      <c r="D49" s="24" t="s">
        <v>5377</v>
      </c>
      <c r="E49" s="24" t="s">
        <v>5378</v>
      </c>
    </row>
    <row r="50" ht="56.25" customHeight="1">
      <c r="A50" s="37" t="s">
        <v>5444</v>
      </c>
      <c r="B50" s="15" t="str">
        <f>image("https://i.imgur.com/YCxODoz.png")</f>
        <v/>
      </c>
      <c r="C50" s="24">
        <v>5000.0</v>
      </c>
      <c r="D50" s="24" t="s">
        <v>5377</v>
      </c>
      <c r="E50" s="24" t="s">
        <v>5378</v>
      </c>
    </row>
    <row r="51" ht="56.25" customHeight="1">
      <c r="A51" s="37" t="s">
        <v>5446</v>
      </c>
      <c r="B51" s="15" t="str">
        <f>image("https://i.imgur.com/qTv3Fyf.png")</f>
        <v/>
      </c>
      <c r="C51" s="24">
        <v>5000.0</v>
      </c>
      <c r="D51" s="24" t="s">
        <v>5377</v>
      </c>
      <c r="E51" s="24" t="s">
        <v>5378</v>
      </c>
    </row>
    <row r="52" ht="56.25" customHeight="1">
      <c r="A52" s="37" t="s">
        <v>5448</v>
      </c>
      <c r="B52" s="15" t="str">
        <f>image("https://i.imgur.com/a9MP5UV.png")</f>
        <v/>
      </c>
      <c r="C52" s="24">
        <v>5000.0</v>
      </c>
      <c r="D52" s="24" t="s">
        <v>5377</v>
      </c>
      <c r="E52" s="24" t="s">
        <v>5378</v>
      </c>
    </row>
    <row r="53" ht="56.25" customHeight="1">
      <c r="A53" s="37" t="s">
        <v>5449</v>
      </c>
      <c r="B53" s="15" t="str">
        <f>image("https://i.imgur.com/Ms2Pzvr.png")</f>
        <v/>
      </c>
      <c r="C53" s="24">
        <v>5000.0</v>
      </c>
      <c r="D53" s="24" t="s">
        <v>5377</v>
      </c>
      <c r="E53" s="24" t="s">
        <v>5378</v>
      </c>
    </row>
    <row r="54" ht="56.25" customHeight="1">
      <c r="A54" s="37" t="s">
        <v>5450</v>
      </c>
      <c r="B54" s="15" t="str">
        <f>image("https://i.imgur.com/W5E0eUK.png")</f>
        <v/>
      </c>
      <c r="C54" s="24">
        <v>5000.0</v>
      </c>
      <c r="D54" s="24" t="s">
        <v>5377</v>
      </c>
      <c r="E54" s="24" t="s">
        <v>5378</v>
      </c>
    </row>
    <row r="55" ht="56.25" customHeight="1">
      <c r="A55" s="37" t="s">
        <v>5452</v>
      </c>
      <c r="B55" s="15" t="str">
        <f>image("https://i.imgur.com/gtPSnjC.png")</f>
        <v/>
      </c>
      <c r="C55" s="24">
        <v>5000.0</v>
      </c>
      <c r="D55" s="24" t="s">
        <v>5377</v>
      </c>
      <c r="E55" s="24" t="s">
        <v>5378</v>
      </c>
    </row>
    <row r="56" ht="56.25" customHeight="1">
      <c r="A56" s="37" t="s">
        <v>5453</v>
      </c>
      <c r="B56" s="15" t="str">
        <f>image("https://i.imgur.com/4dcPLYR.png")</f>
        <v/>
      </c>
      <c r="C56" s="24">
        <v>5000.0</v>
      </c>
      <c r="D56" s="24" t="s">
        <v>5377</v>
      </c>
      <c r="E56" s="24" t="s">
        <v>5378</v>
      </c>
    </row>
    <row r="57" ht="56.25" customHeight="1">
      <c r="A57" s="37" t="s">
        <v>5455</v>
      </c>
      <c r="B57" s="15" t="str">
        <f>image("https://i.imgur.com/qW8f3tm.png")</f>
        <v/>
      </c>
      <c r="C57" s="24">
        <v>5000.0</v>
      </c>
      <c r="D57" s="24" t="s">
        <v>5377</v>
      </c>
      <c r="E57" s="24" t="s">
        <v>5378</v>
      </c>
    </row>
    <row r="58" ht="56.25" customHeight="1">
      <c r="A58" s="37" t="s">
        <v>5457</v>
      </c>
      <c r="B58" s="15" t="str">
        <f>image("https://i.imgur.com/XgzBhH2.png")</f>
        <v/>
      </c>
      <c r="C58" s="24">
        <v>5000.0</v>
      </c>
      <c r="D58" s="24" t="s">
        <v>5377</v>
      </c>
      <c r="E58" s="24" t="s">
        <v>5378</v>
      </c>
    </row>
    <row r="59" ht="56.25" customHeight="1">
      <c r="A59" s="37" t="s">
        <v>5459</v>
      </c>
      <c r="B59" s="15" t="str">
        <f>image("https://i.imgur.com/pUCmpMg.png")</f>
        <v/>
      </c>
      <c r="C59" s="24">
        <v>5000.0</v>
      </c>
      <c r="D59" s="24" t="s">
        <v>5377</v>
      </c>
      <c r="E59" s="24" t="s">
        <v>5378</v>
      </c>
    </row>
    <row r="60" ht="56.25" customHeight="1">
      <c r="A60" s="37" t="s">
        <v>5461</v>
      </c>
      <c r="B60" s="15" t="str">
        <f>image("https://i.imgur.com/mYXAwZi.png")</f>
        <v/>
      </c>
      <c r="C60" s="24">
        <v>5000.0</v>
      </c>
      <c r="D60" s="24" t="s">
        <v>5377</v>
      </c>
      <c r="E60" s="24" t="s">
        <v>5378</v>
      </c>
    </row>
    <row r="61" ht="56.25" customHeight="1">
      <c r="A61" s="37" t="s">
        <v>5463</v>
      </c>
      <c r="B61" s="15" t="str">
        <f>image("https://i.imgur.com/bk3eZte.png")</f>
        <v/>
      </c>
      <c r="C61" s="24">
        <v>5000.0</v>
      </c>
      <c r="D61" s="24" t="s">
        <v>5377</v>
      </c>
      <c r="E61" s="24" t="s">
        <v>5378</v>
      </c>
    </row>
    <row r="62" ht="56.25" customHeight="1">
      <c r="A62" s="37" t="s">
        <v>5465</v>
      </c>
      <c r="B62" s="15" t="str">
        <f>image("https://i.imgur.com/fpDkIWz.png")</f>
        <v/>
      </c>
      <c r="C62" s="24">
        <v>5000.0</v>
      </c>
      <c r="D62" s="24" t="s">
        <v>5377</v>
      </c>
      <c r="E62" s="24" t="s">
        <v>5378</v>
      </c>
    </row>
    <row r="63" ht="56.25" customHeight="1">
      <c r="A63" s="37" t="s">
        <v>5467</v>
      </c>
      <c r="B63" s="15" t="str">
        <f>image("https://i.imgur.com/6qH4dbP.png")</f>
        <v/>
      </c>
      <c r="C63" s="24">
        <v>5000.0</v>
      </c>
      <c r="D63" s="24" t="s">
        <v>5377</v>
      </c>
      <c r="E63" s="24" t="s">
        <v>5378</v>
      </c>
    </row>
    <row r="64" ht="56.25" customHeight="1">
      <c r="A64" s="37" t="s">
        <v>5468</v>
      </c>
      <c r="B64" s="15" t="str">
        <f>image("https://i.imgur.com/WdpUruA.png")</f>
        <v/>
      </c>
      <c r="C64" s="24">
        <v>5000.0</v>
      </c>
      <c r="D64" s="24" t="s">
        <v>5377</v>
      </c>
      <c r="E64" s="24" t="s">
        <v>5378</v>
      </c>
    </row>
    <row r="65" ht="56.25" customHeight="1">
      <c r="A65" s="37" t="s">
        <v>5471</v>
      </c>
      <c r="B65" s="15" t="str">
        <f>image("https://i.imgur.com/7y9AJbk.png")</f>
        <v/>
      </c>
      <c r="C65" s="24">
        <v>5000.0</v>
      </c>
      <c r="D65" s="24" t="s">
        <v>5377</v>
      </c>
      <c r="E65" s="24" t="s">
        <v>5378</v>
      </c>
    </row>
    <row r="66" ht="56.25" customHeight="1">
      <c r="A66" s="37" t="s">
        <v>5472</v>
      </c>
      <c r="B66" s="15" t="str">
        <f>image("https://i.imgur.com/yOmvRvd.png")</f>
        <v/>
      </c>
      <c r="C66" s="24">
        <v>5000.0</v>
      </c>
      <c r="D66" s="24" t="s">
        <v>5377</v>
      </c>
      <c r="E66" s="24" t="s">
        <v>5378</v>
      </c>
    </row>
    <row r="67" ht="56.25" customHeight="1">
      <c r="A67" s="37" t="s">
        <v>5477</v>
      </c>
      <c r="B67" s="15" t="str">
        <f>image("https://i.imgur.com/vts2eru.png")</f>
        <v/>
      </c>
      <c r="C67" s="24">
        <v>5000.0</v>
      </c>
      <c r="D67" s="24" t="s">
        <v>5377</v>
      </c>
      <c r="E67" s="24" t="s">
        <v>5378</v>
      </c>
    </row>
    <row r="68" ht="56.25" customHeight="1">
      <c r="A68" s="37" t="s">
        <v>5479</v>
      </c>
      <c r="B68" s="15" t="str">
        <f>image("https://i.imgur.com/9dt9LQy.png")</f>
        <v/>
      </c>
      <c r="C68" s="24">
        <v>5000.0</v>
      </c>
      <c r="D68" s="24" t="s">
        <v>5377</v>
      </c>
      <c r="E68" s="24" t="s">
        <v>5378</v>
      </c>
    </row>
    <row r="69" ht="56.25" customHeight="1">
      <c r="A69" s="37" t="s">
        <v>5480</v>
      </c>
      <c r="B69" s="15" t="str">
        <f>image("https://i.imgur.com/XgA2RFU.png")</f>
        <v/>
      </c>
      <c r="C69" s="24">
        <v>5000.0</v>
      </c>
      <c r="D69" s="24" t="s">
        <v>5377</v>
      </c>
      <c r="E69" s="24" t="s">
        <v>5378</v>
      </c>
    </row>
    <row r="70" ht="56.25" customHeight="1">
      <c r="A70" s="37" t="s">
        <v>5482</v>
      </c>
      <c r="B70" s="15" t="str">
        <f>image("https://i.imgur.com/StYtwhQ.png")</f>
        <v/>
      </c>
      <c r="C70" s="24">
        <v>5000.0</v>
      </c>
      <c r="D70" s="24" t="s">
        <v>5377</v>
      </c>
      <c r="E70" s="24" t="s">
        <v>5378</v>
      </c>
    </row>
    <row r="71" ht="56.25" customHeight="1">
      <c r="A71" s="37" t="s">
        <v>5484</v>
      </c>
      <c r="B71" s="15" t="str">
        <f>image("https://i.imgur.com/W25UUtS.png")</f>
        <v/>
      </c>
      <c r="C71" s="24">
        <v>5000.0</v>
      </c>
      <c r="D71" s="24" t="s">
        <v>5377</v>
      </c>
      <c r="E71" s="24" t="s">
        <v>5378</v>
      </c>
    </row>
    <row r="72" ht="56.25" customHeight="1">
      <c r="A72" s="37" t="s">
        <v>5486</v>
      </c>
      <c r="B72" s="15" t="str">
        <f>image("https://i.imgur.com/Dj1zqJv.png")</f>
        <v/>
      </c>
      <c r="C72" s="24">
        <v>5000.0</v>
      </c>
      <c r="D72" s="24" t="s">
        <v>5377</v>
      </c>
      <c r="E72" s="24" t="s">
        <v>5378</v>
      </c>
    </row>
    <row r="73" ht="56.25" customHeight="1">
      <c r="A73" s="37" t="s">
        <v>5488</v>
      </c>
      <c r="B73" s="15" t="str">
        <f>image("https://i.imgur.com/BdBOQ2o.png")</f>
        <v/>
      </c>
      <c r="C73" s="24">
        <v>5000.0</v>
      </c>
      <c r="D73" s="24" t="s">
        <v>5377</v>
      </c>
      <c r="E73" s="24" t="s">
        <v>5378</v>
      </c>
    </row>
    <row r="74" ht="56.25" customHeight="1">
      <c r="A74" s="37" t="s">
        <v>5490</v>
      </c>
      <c r="B74" s="15" t="str">
        <f>image("https://i.imgur.com/6W6y2ia.png")</f>
        <v/>
      </c>
      <c r="C74" s="24">
        <v>5000.0</v>
      </c>
      <c r="D74" s="24" t="s">
        <v>5377</v>
      </c>
      <c r="E74" s="24" t="s">
        <v>5378</v>
      </c>
    </row>
    <row r="75" ht="56.25" customHeight="1">
      <c r="A75" s="37" t="s">
        <v>5492</v>
      </c>
      <c r="B75" s="15" t="str">
        <f>image("https://i.imgur.com/6nUZWmI.png")</f>
        <v/>
      </c>
      <c r="C75" s="24">
        <v>5000.0</v>
      </c>
      <c r="D75" s="24" t="s">
        <v>5377</v>
      </c>
      <c r="E75" s="24" t="s">
        <v>5378</v>
      </c>
    </row>
    <row r="76" ht="56.25" customHeight="1">
      <c r="A76" s="37" t="s">
        <v>5495</v>
      </c>
      <c r="B76" s="15" t="str">
        <f>image("https://i.imgur.com/Epv6oZK.png")</f>
        <v/>
      </c>
      <c r="C76" s="24">
        <v>5000.0</v>
      </c>
      <c r="D76" s="24" t="s">
        <v>5377</v>
      </c>
      <c r="E76" s="24" t="s">
        <v>5378</v>
      </c>
    </row>
    <row r="77" ht="56.25" customHeight="1">
      <c r="A77" s="37" t="s">
        <v>5497</v>
      </c>
      <c r="B77" s="15" t="str">
        <f>image("https://i.imgur.com/L08WdHg.png")</f>
        <v/>
      </c>
      <c r="C77" s="24">
        <v>5000.0</v>
      </c>
      <c r="D77" s="24" t="s">
        <v>5377</v>
      </c>
      <c r="E77" s="24" t="s">
        <v>5378</v>
      </c>
    </row>
    <row r="78" ht="56.25" customHeight="1">
      <c r="A78" s="37" t="s">
        <v>5499</v>
      </c>
      <c r="B78" s="15" t="str">
        <f>image("https://i.imgur.com/p8Y6Cq1.png")</f>
        <v/>
      </c>
      <c r="C78" s="24">
        <v>5000.0</v>
      </c>
      <c r="D78" s="24" t="s">
        <v>5377</v>
      </c>
      <c r="E78" s="24" t="s">
        <v>5378</v>
      </c>
    </row>
    <row r="79" ht="56.25" customHeight="1">
      <c r="A79" s="37" t="s">
        <v>5501</v>
      </c>
      <c r="B79" s="15" t="str">
        <f>image("https://i.imgur.com/Y1nRdjR.png")</f>
        <v/>
      </c>
      <c r="C79" s="24">
        <v>5000.0</v>
      </c>
      <c r="D79" s="24" t="s">
        <v>5377</v>
      </c>
      <c r="E79" s="24" t="s">
        <v>5378</v>
      </c>
    </row>
    <row r="80" ht="56.25" customHeight="1">
      <c r="A80" s="37" t="s">
        <v>5503</v>
      </c>
      <c r="B80" s="15" t="str">
        <f>image("https://i.imgur.com/lHtosvF.png")</f>
        <v/>
      </c>
      <c r="C80" s="24">
        <v>5000.0</v>
      </c>
      <c r="D80" s="24" t="s">
        <v>5377</v>
      </c>
      <c r="E80" s="24" t="s">
        <v>5378</v>
      </c>
    </row>
    <row r="81" ht="56.25" customHeight="1">
      <c r="A81" s="37" t="s">
        <v>5505</v>
      </c>
      <c r="B81" s="15" t="str">
        <f>image("https://i.imgur.com/AtVKHAq.png")</f>
        <v/>
      </c>
      <c r="C81" s="24">
        <v>5000.0</v>
      </c>
      <c r="D81" s="24" t="s">
        <v>5377</v>
      </c>
      <c r="E81" s="24" t="s">
        <v>5378</v>
      </c>
    </row>
    <row r="82" ht="56.25" customHeight="1">
      <c r="A82" s="37" t="s">
        <v>5508</v>
      </c>
      <c r="B82" s="15" t="str">
        <f>image("https://i.imgur.com/Ty9Sv4z.png")</f>
        <v/>
      </c>
      <c r="C82" s="24">
        <v>5000.0</v>
      </c>
      <c r="D82" s="24" t="s">
        <v>5377</v>
      </c>
      <c r="E82" s="24" t="s">
        <v>5378</v>
      </c>
    </row>
    <row r="83" ht="56.25" customHeight="1">
      <c r="A83" s="37" t="s">
        <v>5510</v>
      </c>
      <c r="B83" s="15" t="str">
        <f>image("https://i.imgur.com/q8EAtPt.png")</f>
        <v/>
      </c>
      <c r="C83" s="24">
        <v>5000.0</v>
      </c>
      <c r="D83" s="24" t="s">
        <v>5377</v>
      </c>
      <c r="E83" s="24" t="s">
        <v>5378</v>
      </c>
    </row>
    <row r="84" ht="56.25" customHeight="1">
      <c r="A84" s="37" t="s">
        <v>5511</v>
      </c>
      <c r="B84" s="15" t="str">
        <f>image("https://i.imgur.com/soaQM8h.png")</f>
        <v/>
      </c>
      <c r="C84" s="24">
        <v>5000.0</v>
      </c>
      <c r="D84" s="24" t="s">
        <v>5377</v>
      </c>
      <c r="E84" s="24" t="s">
        <v>5378</v>
      </c>
    </row>
    <row r="85" ht="56.25" customHeight="1">
      <c r="A85" s="37" t="s">
        <v>5513</v>
      </c>
      <c r="B85" s="15" t="str">
        <f>image("https://i.imgur.com/BxQxjpv.png")</f>
        <v/>
      </c>
      <c r="C85" s="24">
        <v>5000.0</v>
      </c>
      <c r="D85" s="24" t="s">
        <v>5377</v>
      </c>
      <c r="E85" s="24" t="s">
        <v>5378</v>
      </c>
    </row>
    <row r="86" ht="56.25" customHeight="1">
      <c r="A86" s="37" t="s">
        <v>5515</v>
      </c>
      <c r="B86" s="15" t="str">
        <f>image("https://i.imgur.com/9oDUWAZ.png")</f>
        <v/>
      </c>
      <c r="C86" s="24">
        <v>5000.0</v>
      </c>
      <c r="D86" s="24" t="s">
        <v>5377</v>
      </c>
      <c r="E86" s="24" t="s">
        <v>5378</v>
      </c>
    </row>
    <row r="87" ht="56.25" customHeight="1">
      <c r="A87" s="37" t="s">
        <v>5518</v>
      </c>
      <c r="B87" s="15" t="str">
        <f>image("https://i.imgur.com/ji1UWOy.png")</f>
        <v/>
      </c>
      <c r="C87" s="24">
        <v>5000.0</v>
      </c>
      <c r="D87" s="24" t="s">
        <v>5377</v>
      </c>
      <c r="E87" s="24" t="s">
        <v>5378</v>
      </c>
    </row>
    <row r="88" ht="56.25" customHeight="1">
      <c r="A88" s="37" t="s">
        <v>5520</v>
      </c>
      <c r="B88" s="15" t="str">
        <f>image("https://i.imgur.com/HMf9IK5.png")</f>
        <v/>
      </c>
      <c r="C88" s="24">
        <v>5000.0</v>
      </c>
      <c r="D88" s="24" t="s">
        <v>5377</v>
      </c>
      <c r="E88" s="24" t="s">
        <v>5378</v>
      </c>
    </row>
    <row r="89" ht="56.25" customHeight="1">
      <c r="A89" s="37" t="s">
        <v>5522</v>
      </c>
      <c r="B89" s="15" t="str">
        <f>image("https://i.imgur.com/dFXQoYY.png")</f>
        <v/>
      </c>
      <c r="C89" s="24">
        <v>5000.0</v>
      </c>
      <c r="D89" s="24" t="s">
        <v>5377</v>
      </c>
      <c r="E89" s="24" t="s">
        <v>5378</v>
      </c>
    </row>
    <row r="90" ht="56.25" customHeight="1">
      <c r="A90" s="37" t="s">
        <v>5523</v>
      </c>
      <c r="B90" s="15" t="str">
        <f>image("https://i.imgur.com/5pct8yQ.png")</f>
        <v/>
      </c>
      <c r="C90" s="24">
        <v>5000.0</v>
      </c>
      <c r="D90" s="24" t="s">
        <v>5377</v>
      </c>
      <c r="E90" s="24" t="s">
        <v>5378</v>
      </c>
    </row>
    <row r="91" ht="56.25" customHeight="1">
      <c r="A91" s="37" t="s">
        <v>5524</v>
      </c>
      <c r="B91" s="15" t="str">
        <f>image("https://i.imgur.com/rwBldBO.png")</f>
        <v/>
      </c>
      <c r="C91" s="24">
        <v>5000.0</v>
      </c>
      <c r="D91" s="24" t="s">
        <v>5377</v>
      </c>
      <c r="E91" s="24" t="s">
        <v>5378</v>
      </c>
    </row>
    <row r="92" ht="56.25" customHeight="1">
      <c r="A92" s="37" t="s">
        <v>5525</v>
      </c>
      <c r="B92" s="15" t="str">
        <f>image("https://i.imgur.com/ryKPnhB.png")</f>
        <v/>
      </c>
      <c r="C92" s="24">
        <v>5000.0</v>
      </c>
      <c r="D92" s="24" t="s">
        <v>5377</v>
      </c>
      <c r="E92" s="24" t="s">
        <v>5378</v>
      </c>
    </row>
    <row r="93" ht="56.25" customHeight="1">
      <c r="A93" s="37" t="s">
        <v>5526</v>
      </c>
      <c r="B93" s="15" t="str">
        <f>image("https://i.imgur.com/sJD8rT1.png")</f>
        <v/>
      </c>
      <c r="C93" s="24">
        <v>5000.0</v>
      </c>
      <c r="D93" s="24" t="s">
        <v>5377</v>
      </c>
      <c r="E93" s="24" t="s">
        <v>5378</v>
      </c>
    </row>
    <row r="94" ht="56.25" customHeight="1">
      <c r="A94" s="37" t="s">
        <v>5528</v>
      </c>
      <c r="B94" s="15" t="str">
        <f>image("https://i.imgur.com/ln6RRLO.png")</f>
        <v/>
      </c>
      <c r="C94" s="24">
        <v>5000.0</v>
      </c>
      <c r="D94" s="24" t="s">
        <v>5377</v>
      </c>
      <c r="E94" s="24" t="s">
        <v>5378</v>
      </c>
    </row>
    <row r="95" ht="56.25" customHeight="1">
      <c r="A95" s="37" t="s">
        <v>5529</v>
      </c>
      <c r="B95" s="15" t="str">
        <f>image("https://i.imgur.com/3yOpQGh.png")</f>
        <v/>
      </c>
      <c r="C95" s="24">
        <v>5000.0</v>
      </c>
      <c r="D95" s="24" t="s">
        <v>5377</v>
      </c>
      <c r="E95" s="24" t="s">
        <v>5378</v>
      </c>
    </row>
    <row r="96" ht="56.25" customHeight="1">
      <c r="A96" s="37" t="s">
        <v>5530</v>
      </c>
      <c r="B96" s="15" t="str">
        <f>image("https://i.imgur.com/DYFanfl.png")</f>
        <v/>
      </c>
      <c r="C96" s="24">
        <v>5000.0</v>
      </c>
      <c r="D96" s="24" t="s">
        <v>5377</v>
      </c>
      <c r="E96" s="24" t="s">
        <v>5378</v>
      </c>
    </row>
    <row r="97" ht="56.25" customHeight="1">
      <c r="A97" s="37" t="s">
        <v>5531</v>
      </c>
      <c r="B97" s="15" t="str">
        <f>image("https://i.imgur.com/Pilxe4Y.png")</f>
        <v/>
      </c>
      <c r="C97" s="24">
        <v>5000.0</v>
      </c>
      <c r="D97" s="24" t="s">
        <v>5377</v>
      </c>
      <c r="E97" s="24" t="s">
        <v>5378</v>
      </c>
    </row>
    <row r="98" ht="56.25" customHeight="1">
      <c r="A98" s="37" t="s">
        <v>5532</v>
      </c>
      <c r="B98" s="15" t="str">
        <f>image("https://i.imgur.com/TTF0ORG.png")</f>
        <v/>
      </c>
      <c r="C98" s="24">
        <v>5000.0</v>
      </c>
      <c r="D98" s="24" t="s">
        <v>5377</v>
      </c>
      <c r="E98" s="24" t="s">
        <v>5378</v>
      </c>
    </row>
    <row r="99" ht="56.25" customHeight="1">
      <c r="A99" s="37" t="s">
        <v>5533</v>
      </c>
      <c r="B99" s="15" t="str">
        <f>image("https://i.imgur.com/chzg8f3.png")</f>
        <v/>
      </c>
      <c r="C99" s="24">
        <v>5000.0</v>
      </c>
      <c r="D99" s="24" t="s">
        <v>5377</v>
      </c>
      <c r="E99" s="24" t="s">
        <v>5378</v>
      </c>
    </row>
    <row r="100" ht="56.25" customHeight="1">
      <c r="A100" s="37" t="s">
        <v>5534</v>
      </c>
      <c r="B100" s="15" t="str">
        <f>image("https://i.imgur.com/07A1prp.png")</f>
        <v/>
      </c>
      <c r="C100" s="24">
        <v>5000.0</v>
      </c>
      <c r="D100" s="24" t="s">
        <v>5377</v>
      </c>
      <c r="E100" s="24" t="s">
        <v>5378</v>
      </c>
    </row>
    <row r="101" ht="56.25" customHeight="1">
      <c r="A101" s="37" t="s">
        <v>5535</v>
      </c>
      <c r="B101" s="15" t="str">
        <f>image("https://i.imgur.com/ALvwPut.png")</f>
        <v/>
      </c>
      <c r="C101" s="24">
        <v>5000.0</v>
      </c>
      <c r="D101" s="24" t="s">
        <v>5377</v>
      </c>
      <c r="E101" s="24" t="s">
        <v>5378</v>
      </c>
    </row>
    <row r="102" ht="56.25" customHeight="1">
      <c r="A102" s="37" t="s">
        <v>5536</v>
      </c>
      <c r="B102" s="15" t="str">
        <f>image("https://i.imgur.com/6K8Fmf1.png")</f>
        <v/>
      </c>
      <c r="C102" s="24">
        <v>5000.0</v>
      </c>
      <c r="D102" s="24" t="s">
        <v>5377</v>
      </c>
      <c r="E102" s="24" t="s">
        <v>5378</v>
      </c>
    </row>
    <row r="103" ht="56.25" customHeight="1">
      <c r="A103" s="37" t="s">
        <v>5537</v>
      </c>
      <c r="B103" s="15" t="str">
        <f>image("https://i.imgur.com/9wveKHQ.png")</f>
        <v/>
      </c>
      <c r="C103" s="24">
        <v>5000.0</v>
      </c>
      <c r="D103" s="24" t="s">
        <v>5377</v>
      </c>
      <c r="E103" s="24" t="s">
        <v>5378</v>
      </c>
    </row>
    <row r="104" ht="56.25" customHeight="1">
      <c r="A104" s="37" t="s">
        <v>5540</v>
      </c>
      <c r="B104" s="15" t="str">
        <f>image("https://i.imgur.com/FiHHQvP.png")</f>
        <v/>
      </c>
      <c r="C104" s="24">
        <v>5000.0</v>
      </c>
      <c r="D104" s="24" t="s">
        <v>5377</v>
      </c>
      <c r="E104" s="24" t="s">
        <v>5378</v>
      </c>
    </row>
    <row r="105" ht="56.25" customHeight="1">
      <c r="A105" s="37" t="s">
        <v>5543</v>
      </c>
      <c r="B105" s="15" t="str">
        <f>image("https://i.imgur.com/eBRAjvs.png")</f>
        <v/>
      </c>
      <c r="C105" s="24">
        <v>5000.0</v>
      </c>
      <c r="D105" s="24" t="s">
        <v>5377</v>
      </c>
      <c r="E105" s="24" t="s">
        <v>5378</v>
      </c>
    </row>
    <row r="106" ht="56.25" customHeight="1">
      <c r="A106" s="37" t="s">
        <v>5544</v>
      </c>
      <c r="B106" s="15" t="str">
        <f>image("https://i.imgur.com/16jpIoc.png")</f>
        <v/>
      </c>
      <c r="C106" s="24">
        <v>5000.0</v>
      </c>
      <c r="D106" s="24" t="s">
        <v>5377</v>
      </c>
      <c r="E106" s="24" t="s">
        <v>5378</v>
      </c>
    </row>
    <row r="107" ht="56.25" customHeight="1">
      <c r="A107" s="37" t="s">
        <v>5547</v>
      </c>
      <c r="B107" s="15" t="str">
        <f>image("https://i.imgur.com/53scxWp.png")</f>
        <v/>
      </c>
      <c r="C107" s="24">
        <v>5000.0</v>
      </c>
      <c r="D107" s="24" t="s">
        <v>5377</v>
      </c>
      <c r="E107" s="24" t="s">
        <v>5378</v>
      </c>
    </row>
    <row r="108" ht="56.25" customHeight="1">
      <c r="A108" s="37" t="s">
        <v>5548</v>
      </c>
      <c r="B108" s="15" t="str">
        <f>image("https://i.imgur.com/qXPXQs9.png")</f>
        <v/>
      </c>
      <c r="C108" s="24">
        <v>5000.0</v>
      </c>
      <c r="D108" s="24" t="s">
        <v>5377</v>
      </c>
      <c r="E108" s="24" t="s">
        <v>5378</v>
      </c>
    </row>
    <row r="109" ht="56.25" customHeight="1">
      <c r="A109" s="37" t="s">
        <v>5549</v>
      </c>
      <c r="B109" s="15" t="str">
        <f>image("https://i.imgur.com/YglyN4R.png")</f>
        <v/>
      </c>
      <c r="C109" s="24">
        <v>5000.0</v>
      </c>
      <c r="D109" s="24" t="s">
        <v>5377</v>
      </c>
      <c r="E109" s="24" t="s">
        <v>5378</v>
      </c>
    </row>
    <row r="110" ht="56.25" customHeight="1">
      <c r="A110" s="37" t="s">
        <v>5552</v>
      </c>
      <c r="B110" s="15" t="str">
        <f>image("https://i.imgur.com/EjuG2kS.png")</f>
        <v/>
      </c>
      <c r="C110" s="24">
        <v>5000.0</v>
      </c>
      <c r="D110" s="24" t="s">
        <v>5377</v>
      </c>
      <c r="E110" s="24" t="s">
        <v>5378</v>
      </c>
    </row>
    <row r="111" ht="56.25" customHeight="1">
      <c r="A111" s="37" t="s">
        <v>5554</v>
      </c>
      <c r="B111" s="15" t="str">
        <f>image("https://i.imgur.com/AbOJlgE.png")</f>
        <v/>
      </c>
      <c r="C111" s="24">
        <v>5000.0</v>
      </c>
      <c r="D111" s="24" t="s">
        <v>5377</v>
      </c>
      <c r="E111" s="24" t="s">
        <v>5378</v>
      </c>
    </row>
    <row r="112" ht="56.25" customHeight="1">
      <c r="A112" s="37" t="s">
        <v>5556</v>
      </c>
      <c r="B112" s="15" t="str">
        <f>image("https://i.imgur.com/fKsVphq.png")</f>
        <v/>
      </c>
      <c r="C112" s="24">
        <v>5000.0</v>
      </c>
      <c r="D112" s="24" t="s">
        <v>5377</v>
      </c>
      <c r="E112" s="24" t="s">
        <v>5378</v>
      </c>
    </row>
    <row r="113" ht="56.25" customHeight="1">
      <c r="A113" s="37" t="s">
        <v>5557</v>
      </c>
      <c r="B113" s="15" t="str">
        <f>image("https://i.imgur.com/4hEs7AA.png")</f>
        <v/>
      </c>
      <c r="C113" s="24">
        <v>5000.0</v>
      </c>
      <c r="D113" s="24" t="s">
        <v>5377</v>
      </c>
      <c r="E113" s="24" t="s">
        <v>5378</v>
      </c>
    </row>
    <row r="114" ht="56.25" customHeight="1">
      <c r="A114" s="37" t="s">
        <v>5559</v>
      </c>
      <c r="B114" s="15" t="str">
        <f>image("https://i.imgur.com/GTliUfh.png")</f>
        <v/>
      </c>
      <c r="C114" s="24">
        <v>5000.0</v>
      </c>
      <c r="D114" s="24" t="s">
        <v>5377</v>
      </c>
      <c r="E114" s="24" t="s">
        <v>5378</v>
      </c>
    </row>
    <row r="115" ht="56.25" customHeight="1">
      <c r="A115" s="37" t="s">
        <v>5561</v>
      </c>
      <c r="B115" s="15" t="str">
        <f>image("https://i.imgur.com/DOkmwf6.png")</f>
        <v/>
      </c>
      <c r="C115" s="24">
        <v>5000.0</v>
      </c>
      <c r="D115" s="24" t="s">
        <v>5377</v>
      </c>
      <c r="E115" s="24" t="s">
        <v>5378</v>
      </c>
    </row>
    <row r="116" ht="56.25" customHeight="1">
      <c r="A116" s="37" t="s">
        <v>5564</v>
      </c>
      <c r="B116" s="15" t="str">
        <f>image("https://i.imgur.com/VEOu4sl.png")</f>
        <v/>
      </c>
      <c r="C116" s="24">
        <v>5000.0</v>
      </c>
      <c r="D116" s="24" t="s">
        <v>5377</v>
      </c>
      <c r="E116" s="24" t="s">
        <v>5378</v>
      </c>
    </row>
    <row r="117" ht="56.25" customHeight="1">
      <c r="A117" s="37" t="s">
        <v>5565</v>
      </c>
      <c r="B117" s="15" t="str">
        <f>image("https://i.imgur.com/mEXtIQt.png")</f>
        <v/>
      </c>
      <c r="C117" s="24">
        <v>5000.0</v>
      </c>
      <c r="D117" s="24" t="s">
        <v>5377</v>
      </c>
      <c r="E117" s="24" t="s">
        <v>5378</v>
      </c>
    </row>
    <row r="118" ht="56.25" customHeight="1">
      <c r="A118" s="37" t="s">
        <v>5567</v>
      </c>
      <c r="B118" s="15" t="str">
        <f>image("https://i.imgur.com/bVwiLZl.png")</f>
        <v/>
      </c>
      <c r="C118" s="24">
        <v>5000.0</v>
      </c>
      <c r="D118" s="24" t="s">
        <v>5377</v>
      </c>
      <c r="E118" s="24" t="s">
        <v>5378</v>
      </c>
    </row>
    <row r="119" ht="56.25" customHeight="1">
      <c r="A119" s="37" t="s">
        <v>5568</v>
      </c>
      <c r="B119" s="15" t="str">
        <f>image("https://i.imgur.com/DeiE5Yf.png")</f>
        <v/>
      </c>
      <c r="C119" s="24">
        <v>5000.0</v>
      </c>
      <c r="D119" s="24" t="s">
        <v>5377</v>
      </c>
      <c r="E119" s="24" t="s">
        <v>5378</v>
      </c>
    </row>
    <row r="120" ht="56.25" customHeight="1">
      <c r="A120" s="37" t="s">
        <v>5570</v>
      </c>
      <c r="B120" s="15" t="str">
        <f>image("https://i.imgur.com/ZwncxFI.png")</f>
        <v/>
      </c>
      <c r="C120" s="24">
        <v>5000.0</v>
      </c>
      <c r="D120" s="24" t="s">
        <v>5377</v>
      </c>
      <c r="E120" s="24" t="s">
        <v>5378</v>
      </c>
    </row>
    <row r="121" ht="56.25" customHeight="1">
      <c r="A121" s="37" t="s">
        <v>5572</v>
      </c>
      <c r="B121" s="15" t="str">
        <f>image("https://i.imgur.com/RBbI1PN.png")</f>
        <v/>
      </c>
      <c r="C121" s="24">
        <v>5000.0</v>
      </c>
      <c r="D121" s="24" t="s">
        <v>5377</v>
      </c>
      <c r="E121" s="24" t="s">
        <v>5378</v>
      </c>
    </row>
    <row r="122" ht="56.25" customHeight="1">
      <c r="A122" s="37" t="s">
        <v>5575</v>
      </c>
      <c r="B122" s="15" t="str">
        <f>image("https://i.imgur.com/23eepyV.png")</f>
        <v/>
      </c>
      <c r="C122" s="24">
        <v>5000.0</v>
      </c>
      <c r="D122" s="24" t="s">
        <v>5377</v>
      </c>
      <c r="E122" s="24" t="s">
        <v>5378</v>
      </c>
    </row>
    <row r="123" ht="56.25" customHeight="1">
      <c r="A123" s="37" t="s">
        <v>5577</v>
      </c>
      <c r="B123" s="15" t="str">
        <f>image("https://i.imgur.com/YtbQoEe.png")</f>
        <v/>
      </c>
      <c r="C123" s="24">
        <v>5000.0</v>
      </c>
      <c r="D123" s="24" t="s">
        <v>5377</v>
      </c>
      <c r="E123" s="24" t="s">
        <v>5378</v>
      </c>
    </row>
    <row r="124" ht="56.25" customHeight="1">
      <c r="A124" s="37" t="s">
        <v>5580</v>
      </c>
      <c r="B124" s="15" t="str">
        <f>image("https://i.imgur.com/lnQf0IT.png")</f>
        <v/>
      </c>
      <c r="C124" s="24">
        <v>5000.0</v>
      </c>
      <c r="D124" s="24" t="s">
        <v>5377</v>
      </c>
      <c r="E124" s="24" t="s">
        <v>5378</v>
      </c>
    </row>
    <row r="125" ht="56.25" customHeight="1">
      <c r="A125" s="37" t="s">
        <v>5583</v>
      </c>
      <c r="B125" s="15" t="str">
        <f>image("https://i.imgur.com/WzXEind.png")</f>
        <v/>
      </c>
      <c r="C125" s="24">
        <v>5000.0</v>
      </c>
      <c r="D125" s="24" t="s">
        <v>5377</v>
      </c>
      <c r="E125" s="24" t="s">
        <v>5378</v>
      </c>
    </row>
    <row r="126" ht="56.25" customHeight="1">
      <c r="A126" s="37" t="s">
        <v>5584</v>
      </c>
      <c r="B126" s="15" t="str">
        <f>image("https://i.imgur.com/754BdsF.png")</f>
        <v/>
      </c>
      <c r="C126" s="24">
        <v>5000.0</v>
      </c>
      <c r="D126" s="24" t="s">
        <v>5377</v>
      </c>
      <c r="E126" s="24" t="s">
        <v>5378</v>
      </c>
    </row>
    <row r="127" ht="56.25" customHeight="1">
      <c r="A127" s="37" t="s">
        <v>5585</v>
      </c>
      <c r="B127" s="15" t="str">
        <f>image("https://i.imgur.com/hFbfYX6.png")</f>
        <v/>
      </c>
      <c r="C127" s="24">
        <v>5000.0</v>
      </c>
      <c r="D127" s="24" t="s">
        <v>5377</v>
      </c>
      <c r="E127" s="24" t="s">
        <v>5378</v>
      </c>
    </row>
    <row r="128" ht="56.25" customHeight="1">
      <c r="A128" s="37" t="s">
        <v>5588</v>
      </c>
      <c r="B128" s="15" t="str">
        <f>image("https://i.imgur.com/OtOgUCH.png")</f>
        <v/>
      </c>
      <c r="C128" s="24">
        <v>5000.0</v>
      </c>
      <c r="D128" s="24" t="s">
        <v>5377</v>
      </c>
      <c r="E128" s="24" t="s">
        <v>5378</v>
      </c>
    </row>
    <row r="129" ht="56.25" customHeight="1">
      <c r="A129" s="37" t="s">
        <v>5589</v>
      </c>
      <c r="B129" s="15" t="str">
        <f>image("https://i.imgur.com/tSQWqy6.png")</f>
        <v/>
      </c>
      <c r="C129" s="24">
        <v>5000.0</v>
      </c>
      <c r="D129" s="24" t="s">
        <v>5377</v>
      </c>
      <c r="E129" s="24" t="s">
        <v>5378</v>
      </c>
    </row>
    <row r="130" ht="56.25" customHeight="1">
      <c r="A130" s="37" t="s">
        <v>5590</v>
      </c>
      <c r="B130" s="15" t="str">
        <f>image("https://i.imgur.com/4Y5GfJr.png")</f>
        <v/>
      </c>
      <c r="C130" s="24">
        <v>5000.0</v>
      </c>
      <c r="D130" s="24" t="s">
        <v>5377</v>
      </c>
      <c r="E130" s="24" t="s">
        <v>5378</v>
      </c>
    </row>
    <row r="131" ht="56.25" customHeight="1">
      <c r="A131" s="37" t="s">
        <v>5591</v>
      </c>
      <c r="B131" s="15" t="str">
        <f>image("https://i.imgur.com/qFaNTRM.png")</f>
        <v/>
      </c>
      <c r="C131" s="24">
        <v>5000.0</v>
      </c>
      <c r="D131" s="24" t="s">
        <v>5377</v>
      </c>
      <c r="E131" s="24" t="s">
        <v>5378</v>
      </c>
    </row>
    <row r="132" ht="56.25" customHeight="1">
      <c r="A132" s="37" t="s">
        <v>5592</v>
      </c>
      <c r="B132" s="15" t="str">
        <f>image("https://i.imgur.com/YkuPDlP.png")</f>
        <v/>
      </c>
      <c r="C132" s="24">
        <v>5000.0</v>
      </c>
      <c r="D132" s="24" t="s">
        <v>5377</v>
      </c>
      <c r="E132" s="24" t="s">
        <v>5378</v>
      </c>
    </row>
    <row r="133" ht="56.25" customHeight="1">
      <c r="A133" s="23" t="s">
        <v>5593</v>
      </c>
      <c r="B133" s="15" t="str">
        <f>image("https://i.imgur.com/rn5eF0n.png")</f>
        <v/>
      </c>
      <c r="C133" s="24">
        <v>5000.0</v>
      </c>
      <c r="D133" s="24" t="s">
        <v>5594</v>
      </c>
      <c r="E133" s="24" t="s">
        <v>5595</v>
      </c>
    </row>
    <row r="134" ht="56.25" customHeight="1">
      <c r="A134" s="23" t="s">
        <v>5596</v>
      </c>
      <c r="B134" s="15" t="str">
        <f>image("https://i.imgur.com/O1nuYMC.png")</f>
        <v/>
      </c>
      <c r="C134" s="24">
        <v>5000.0</v>
      </c>
      <c r="D134" s="24" t="s">
        <v>5594</v>
      </c>
      <c r="E134" s="24" t="s">
        <v>5595</v>
      </c>
    </row>
    <row r="135" ht="56.25" customHeight="1">
      <c r="A135" s="23" t="s">
        <v>5597</v>
      </c>
      <c r="B135" s="15" t="str">
        <f>image("https://i.imgur.com/kOPSBxj.png")</f>
        <v/>
      </c>
      <c r="C135" s="24">
        <v>5000.0</v>
      </c>
      <c r="D135" s="24" t="s">
        <v>5594</v>
      </c>
      <c r="E135" s="24" t="s">
        <v>5595</v>
      </c>
    </row>
    <row r="136" ht="56.25" customHeight="1">
      <c r="A136" s="37" t="s">
        <v>5598</v>
      </c>
      <c r="B136" s="15" t="str">
        <f>image("https://i.imgur.com/tsr1Xr4.png")</f>
        <v/>
      </c>
      <c r="C136" s="24">
        <v>5000.0</v>
      </c>
      <c r="D136" s="24" t="s">
        <v>5594</v>
      </c>
      <c r="E136" s="24" t="s">
        <v>5595</v>
      </c>
    </row>
    <row r="137" ht="56.25" customHeight="1">
      <c r="A137" s="23" t="s">
        <v>5599</v>
      </c>
      <c r="B137" s="15" t="str">
        <f>image("https://i.imgur.com/mXdXZWs.png")</f>
        <v/>
      </c>
      <c r="C137" s="24">
        <v>5000.0</v>
      </c>
      <c r="D137" s="24" t="s">
        <v>5594</v>
      </c>
      <c r="E137" s="24" t="s">
        <v>5595</v>
      </c>
    </row>
    <row r="138" ht="56.25" customHeight="1">
      <c r="A138" s="23" t="s">
        <v>5601</v>
      </c>
      <c r="B138" s="15" t="str">
        <f>image("https://i.imgur.com/6YEskL9.png")</f>
        <v/>
      </c>
      <c r="C138" s="24">
        <v>5000.0</v>
      </c>
      <c r="D138" s="24" t="s">
        <v>5594</v>
      </c>
      <c r="E138" s="24" t="s">
        <v>5595</v>
      </c>
    </row>
    <row r="139" ht="56.25" customHeight="1">
      <c r="A139" s="23" t="s">
        <v>5602</v>
      </c>
      <c r="B139" s="15" t="str">
        <f>image("https://i.imgur.com/R3sl1KO.png")</f>
        <v/>
      </c>
      <c r="C139" s="24">
        <v>5000.0</v>
      </c>
      <c r="D139" s="24" t="s">
        <v>5594</v>
      </c>
      <c r="E139" s="24" t="s">
        <v>5595</v>
      </c>
    </row>
    <row r="140" ht="56.25" customHeight="1">
      <c r="A140" s="23" t="s">
        <v>5603</v>
      </c>
      <c r="B140" s="15" t="str">
        <f>image("https://i.imgur.com/LhBfgyi.png")</f>
        <v/>
      </c>
      <c r="C140" s="24">
        <v>5000.0</v>
      </c>
      <c r="D140" s="24" t="s">
        <v>5594</v>
      </c>
      <c r="E140" s="24" t="s">
        <v>5595</v>
      </c>
    </row>
    <row r="141" ht="56.25" customHeight="1">
      <c r="A141" s="23" t="s">
        <v>5604</v>
      </c>
      <c r="B141" s="15" t="str">
        <f>image("https://i.imgur.com/X7mBWA5.png")</f>
        <v/>
      </c>
      <c r="C141" s="24">
        <v>5000.0</v>
      </c>
      <c r="D141" s="24" t="s">
        <v>5594</v>
      </c>
      <c r="E141" s="24" t="s">
        <v>5595</v>
      </c>
    </row>
    <row r="142" ht="56.25" customHeight="1">
      <c r="A142" s="23" t="s">
        <v>5605</v>
      </c>
      <c r="B142" s="15" t="str">
        <f>image("https://i.imgur.com/ReROX3z.png")</f>
        <v/>
      </c>
      <c r="C142" s="24">
        <v>5000.0</v>
      </c>
      <c r="D142" s="24" t="s">
        <v>5594</v>
      </c>
      <c r="E142" s="24" t="s">
        <v>5595</v>
      </c>
    </row>
    <row r="143" ht="56.25" customHeight="1">
      <c r="A143" s="23" t="s">
        <v>5606</v>
      </c>
      <c r="B143" s="15" t="str">
        <f>image("https://i.imgur.com/VAFXYFi.png")</f>
        <v/>
      </c>
      <c r="C143" s="24">
        <v>5000.0</v>
      </c>
      <c r="D143" s="24" t="s">
        <v>5594</v>
      </c>
      <c r="E143" s="24" t="s">
        <v>5595</v>
      </c>
    </row>
    <row r="144" ht="56.25" customHeight="1">
      <c r="A144" s="23" t="s">
        <v>5607</v>
      </c>
      <c r="B144" s="15" t="str">
        <f>image("https://i.imgur.com/BYrKJsO.png")</f>
        <v/>
      </c>
      <c r="C144" s="24">
        <v>5000.0</v>
      </c>
      <c r="D144" s="24" t="s">
        <v>5594</v>
      </c>
      <c r="E144" s="24" t="s">
        <v>5595</v>
      </c>
    </row>
    <row r="145" ht="56.25" customHeight="1">
      <c r="A145" s="37" t="s">
        <v>5608</v>
      </c>
      <c r="B145" s="15" t="str">
        <f>image("https://i.imgur.com/co7GMuw.png")</f>
        <v/>
      </c>
      <c r="C145" s="24">
        <v>5000.0</v>
      </c>
      <c r="D145" s="24" t="s">
        <v>5594</v>
      </c>
      <c r="E145" s="24" t="s">
        <v>5595</v>
      </c>
    </row>
    <row r="146" ht="56.25" customHeight="1">
      <c r="A146" s="23" t="s">
        <v>5610</v>
      </c>
      <c r="B146" s="15" t="str">
        <f>image("https://i.imgur.com/kUIjQUX.png")</f>
        <v/>
      </c>
      <c r="C146" s="24">
        <v>5000.0</v>
      </c>
      <c r="D146" s="24" t="s">
        <v>5594</v>
      </c>
      <c r="E146" s="24" t="s">
        <v>5595</v>
      </c>
    </row>
    <row r="147" ht="56.25" customHeight="1">
      <c r="A147" s="23" t="s">
        <v>5611</v>
      </c>
      <c r="B147" s="15" t="str">
        <f>image("https://i.imgur.com/MSfnLSe.png")</f>
        <v/>
      </c>
      <c r="C147" s="24">
        <v>5000.0</v>
      </c>
      <c r="D147" s="24" t="s">
        <v>5594</v>
      </c>
      <c r="E147" s="24" t="s">
        <v>5595</v>
      </c>
    </row>
    <row r="148" ht="56.25" customHeight="1">
      <c r="A148" s="23" t="s">
        <v>5612</v>
      </c>
      <c r="B148" s="15" t="str">
        <f>image("https://i.imgur.com/7T6X6Wz.png")</f>
        <v/>
      </c>
      <c r="C148" s="24">
        <v>5000.0</v>
      </c>
      <c r="D148" s="24" t="s">
        <v>5594</v>
      </c>
      <c r="E148" s="24" t="s">
        <v>5595</v>
      </c>
    </row>
    <row r="149" ht="56.25" customHeight="1">
      <c r="A149" s="23" t="s">
        <v>5613</v>
      </c>
      <c r="B149" s="15" t="str">
        <f>image("https://i.imgur.com/rA1E8gY.png")</f>
        <v/>
      </c>
      <c r="C149" s="24">
        <v>5000.0</v>
      </c>
      <c r="D149" s="24" t="s">
        <v>5594</v>
      </c>
      <c r="E149" s="24" t="s">
        <v>5595</v>
      </c>
    </row>
    <row r="150" ht="56.25" customHeight="1">
      <c r="A150" s="23" t="s">
        <v>5621</v>
      </c>
      <c r="B150" s="15" t="str">
        <f>image("https://i.imgur.com/ODXGzkv.png")</f>
        <v/>
      </c>
      <c r="C150" s="24">
        <v>5000.0</v>
      </c>
      <c r="D150" s="24" t="s">
        <v>5594</v>
      </c>
      <c r="E150" s="24" t="s">
        <v>5595</v>
      </c>
    </row>
    <row r="151" ht="56.25" customHeight="1">
      <c r="A151" s="23" t="s">
        <v>5629</v>
      </c>
      <c r="B151" s="15" t="str">
        <f>image("https://i.imgur.com/7bImGcv.png")</f>
        <v/>
      </c>
      <c r="C151" s="24">
        <v>5000.0</v>
      </c>
      <c r="D151" s="24" t="s">
        <v>5594</v>
      </c>
      <c r="E151" s="24" t="s">
        <v>5595</v>
      </c>
    </row>
    <row r="152" ht="56.25" customHeight="1">
      <c r="A152" s="23" t="s">
        <v>5637</v>
      </c>
      <c r="B152" s="15" t="str">
        <f>image("https://i.imgur.com/ZUkP327.png")</f>
        <v/>
      </c>
      <c r="C152" s="24">
        <v>5000.0</v>
      </c>
      <c r="D152" s="24" t="s">
        <v>5594</v>
      </c>
      <c r="E152" s="24" t="s">
        <v>5595</v>
      </c>
    </row>
    <row r="153" ht="56.25" customHeight="1">
      <c r="A153" s="23" t="s">
        <v>5638</v>
      </c>
      <c r="B153" s="15" t="str">
        <f>image("https://i.imgur.com/1rMilyr.png")</f>
        <v/>
      </c>
      <c r="C153" s="24">
        <v>5000.0</v>
      </c>
      <c r="D153" s="24" t="s">
        <v>5594</v>
      </c>
      <c r="E153" s="24" t="s">
        <v>5595</v>
      </c>
    </row>
    <row r="154" ht="56.25" customHeight="1">
      <c r="A154" s="23" t="s">
        <v>5641</v>
      </c>
      <c r="B154" s="15" t="str">
        <f>image("https://i.imgur.com/sKYy3Sm.png")</f>
        <v/>
      </c>
      <c r="C154" s="24">
        <v>5000.0</v>
      </c>
      <c r="D154" s="24" t="s">
        <v>5594</v>
      </c>
      <c r="E154" s="24" t="s">
        <v>5595</v>
      </c>
    </row>
    <row r="155" ht="56.25" customHeight="1">
      <c r="A155" s="23" t="s">
        <v>5645</v>
      </c>
      <c r="B155" s="15" t="str">
        <f>image("https://i.imgur.com/21RAz9s.png")</f>
        <v/>
      </c>
      <c r="C155" s="24">
        <v>5000.0</v>
      </c>
      <c r="D155" s="24" t="s">
        <v>5594</v>
      </c>
      <c r="E155" s="24" t="s">
        <v>5595</v>
      </c>
    </row>
    <row r="156" ht="56.25" customHeight="1">
      <c r="A156" s="23" t="s">
        <v>5646</v>
      </c>
      <c r="B156" s="15" t="str">
        <f>image("https://i.imgur.com/C8CgkuA.png")</f>
        <v/>
      </c>
      <c r="C156" s="24">
        <v>5000.0</v>
      </c>
      <c r="D156" s="24" t="s">
        <v>5594</v>
      </c>
      <c r="E156" s="24" t="s">
        <v>5595</v>
      </c>
    </row>
    <row r="157" ht="56.25" customHeight="1">
      <c r="A157" s="23" t="s">
        <v>5650</v>
      </c>
      <c r="B157" s="15" t="str">
        <f>image("https://i.imgur.com/oSRo85P.png")</f>
        <v/>
      </c>
      <c r="C157" s="24">
        <v>5000.0</v>
      </c>
      <c r="D157" s="24" t="s">
        <v>5594</v>
      </c>
      <c r="E157" s="24" t="s">
        <v>5595</v>
      </c>
    </row>
    <row r="158" ht="56.25" customHeight="1">
      <c r="A158" s="23" t="s">
        <v>5651</v>
      </c>
      <c r="B158" s="15" t="str">
        <f>image("https://i.imgur.com/cjLcK2x.png")</f>
        <v/>
      </c>
      <c r="C158" s="24">
        <v>5000.0</v>
      </c>
      <c r="D158" s="24" t="s">
        <v>5594</v>
      </c>
      <c r="E158" s="24" t="s">
        <v>5595</v>
      </c>
    </row>
    <row r="159" ht="56.25" customHeight="1">
      <c r="A159" s="23" t="s">
        <v>5657</v>
      </c>
      <c r="B159" s="15" t="str">
        <f>image("https://i.imgur.com/Zrckqv6.png")</f>
        <v/>
      </c>
      <c r="C159" s="24">
        <v>5000.0</v>
      </c>
      <c r="D159" s="24" t="s">
        <v>5594</v>
      </c>
      <c r="E159" s="24" t="s">
        <v>5595</v>
      </c>
    </row>
    <row r="160" ht="56.25" customHeight="1">
      <c r="A160" s="37" t="s">
        <v>5658</v>
      </c>
      <c r="B160" s="15" t="str">
        <f>image("https://i.imgur.com/xKKLfEa.png")</f>
        <v/>
      </c>
      <c r="C160" s="24">
        <v>5000.0</v>
      </c>
      <c r="D160" s="24" t="s">
        <v>5594</v>
      </c>
      <c r="E160" s="24" t="s">
        <v>5595</v>
      </c>
    </row>
    <row r="161" ht="56.25" customHeight="1">
      <c r="A161" s="23" t="s">
        <v>5663</v>
      </c>
      <c r="B161" s="15" t="str">
        <f>image("https://i.imgur.com/zZ3XNGM.png")</f>
        <v/>
      </c>
      <c r="C161" s="24">
        <v>5000.0</v>
      </c>
      <c r="D161" s="24" t="s">
        <v>5594</v>
      </c>
      <c r="E161" s="24" t="s">
        <v>5595</v>
      </c>
    </row>
    <row r="162" ht="56.25" customHeight="1">
      <c r="A162" s="23" t="s">
        <v>5664</v>
      </c>
      <c r="B162" s="15" t="str">
        <f>image("https://i.imgur.com/hmlasyQ.png")</f>
        <v/>
      </c>
      <c r="C162" s="24">
        <v>5000.0</v>
      </c>
      <c r="D162" s="24" t="s">
        <v>5594</v>
      </c>
      <c r="E162" s="24" t="s">
        <v>5595</v>
      </c>
    </row>
    <row r="163" ht="56.25" customHeight="1">
      <c r="A163" s="23" t="s">
        <v>5668</v>
      </c>
      <c r="B163" s="15" t="str">
        <f>image("https://i.imgur.com/XhROzwQ.png")</f>
        <v/>
      </c>
      <c r="C163" s="24">
        <v>5000.0</v>
      </c>
      <c r="D163" s="24" t="s">
        <v>5594</v>
      </c>
      <c r="E163" s="24" t="s">
        <v>5595</v>
      </c>
    </row>
    <row r="164" ht="56.25" customHeight="1">
      <c r="A164" s="23" t="s">
        <v>5669</v>
      </c>
      <c r="B164" s="15" t="str">
        <f>image("https://i.imgur.com/8NuAlas.png")</f>
        <v/>
      </c>
      <c r="C164" s="24">
        <v>5000.0</v>
      </c>
      <c r="D164" s="24" t="s">
        <v>5594</v>
      </c>
      <c r="E164" s="24" t="s">
        <v>5595</v>
      </c>
    </row>
    <row r="165" ht="56.25" customHeight="1">
      <c r="A165" s="23" t="s">
        <v>5673</v>
      </c>
      <c r="B165" s="15" t="str">
        <f>image("https://i.imgur.com/NiSlrYE.png")</f>
        <v/>
      </c>
      <c r="C165" s="24">
        <v>5000.0</v>
      </c>
      <c r="D165" s="24" t="s">
        <v>5594</v>
      </c>
      <c r="E165" s="24" t="s">
        <v>5595</v>
      </c>
    </row>
    <row r="166" ht="56.25" customHeight="1">
      <c r="A166" s="23" t="s">
        <v>5674</v>
      </c>
      <c r="B166" s="15" t="str">
        <f>image("https://i.imgur.com/xMeUNer.png")</f>
        <v/>
      </c>
      <c r="C166" s="13">
        <v>228000.0</v>
      </c>
      <c r="D166" s="24" t="s">
        <v>5678</v>
      </c>
      <c r="E166" s="24" t="s">
        <v>5364</v>
      </c>
    </row>
    <row r="167" ht="56.25" customHeight="1">
      <c r="A167" s="23" t="s">
        <v>5679</v>
      </c>
      <c r="B167" s="15" t="str">
        <f>image("https://i.imgur.com/6StQPIr.png")</f>
        <v/>
      </c>
      <c r="C167" s="13">
        <v>128000.0</v>
      </c>
      <c r="D167" s="24" t="s">
        <v>5678</v>
      </c>
      <c r="E167" s="24" t="s">
        <v>5364</v>
      </c>
    </row>
    <row r="168" ht="56.25" customHeight="1">
      <c r="A168" s="23" t="s">
        <v>5683</v>
      </c>
      <c r="B168" s="15" t="str">
        <f>image("https://i.imgur.com/6VOK8V0.png")</f>
        <v/>
      </c>
      <c r="C168" s="13">
        <v>198000.0</v>
      </c>
      <c r="D168" s="24" t="s">
        <v>5678</v>
      </c>
      <c r="E168" s="24" t="s">
        <v>5364</v>
      </c>
    </row>
    <row r="169" ht="56.25" customHeight="1">
      <c r="A169" s="23" t="s">
        <v>5684</v>
      </c>
      <c r="B169" s="15" t="str">
        <f>image("https://i.imgur.com/9swCznq.png")</f>
        <v/>
      </c>
      <c r="C169" s="13">
        <v>168000.0</v>
      </c>
      <c r="D169" s="24" t="s">
        <v>5678</v>
      </c>
      <c r="E169" s="24" t="s">
        <v>5364</v>
      </c>
    </row>
    <row r="170" ht="56.25" customHeight="1">
      <c r="A170" s="23" t="s">
        <v>5689</v>
      </c>
      <c r="B170" s="15" t="str">
        <f>image("https://i.imgur.com/aV1zcjN.png")</f>
        <v/>
      </c>
      <c r="C170" s="13">
        <v>98000.0</v>
      </c>
      <c r="D170" s="24" t="s">
        <v>5678</v>
      </c>
      <c r="E170" s="24" t="s">
        <v>5364</v>
      </c>
    </row>
    <row r="171" ht="56.25" customHeight="1">
      <c r="A171" s="23" t="s">
        <v>5692</v>
      </c>
      <c r="B171" s="15" t="str">
        <f>image("https://i.imgur.com/HRFQfBk.png")</f>
        <v/>
      </c>
      <c r="C171" s="13">
        <v>228000.0</v>
      </c>
      <c r="D171" s="24" t="s">
        <v>5678</v>
      </c>
      <c r="E171" s="24" t="s">
        <v>5364</v>
      </c>
    </row>
    <row r="172" ht="56.25" customHeight="1">
      <c r="A172" s="23" t="s">
        <v>5694</v>
      </c>
      <c r="B172" s="15" t="str">
        <f>image("https://i.imgur.com/IQVnYrE.png")</f>
        <v/>
      </c>
      <c r="C172" s="13">
        <v>168000.0</v>
      </c>
      <c r="D172" s="24" t="s">
        <v>5678</v>
      </c>
      <c r="E172" s="24" t="s">
        <v>5364</v>
      </c>
    </row>
    <row r="173" ht="56.25" customHeight="1">
      <c r="A173" s="23" t="s">
        <v>5698</v>
      </c>
      <c r="B173" s="15" t="str">
        <f>image("https://i.imgur.com/XyshDk0.png")</f>
        <v/>
      </c>
      <c r="C173" s="13">
        <v>128000.0</v>
      </c>
      <c r="D173" s="24" t="s">
        <v>5678</v>
      </c>
      <c r="E173" s="24" t="s">
        <v>5364</v>
      </c>
    </row>
    <row r="174" ht="56.25" customHeight="1">
      <c r="A174" s="37" t="s">
        <v>5699</v>
      </c>
      <c r="B174" s="15" t="str">
        <f>image("https://i.imgur.com/8pO2eYK.png")</f>
        <v/>
      </c>
      <c r="C174" s="24">
        <v>5000.0</v>
      </c>
      <c r="D174" s="24" t="s">
        <v>5700</v>
      </c>
      <c r="E174" s="24" t="s">
        <v>5595</v>
      </c>
    </row>
    <row r="175" ht="56.25" customHeight="1">
      <c r="A175" s="37" t="s">
        <v>5702</v>
      </c>
      <c r="B175" s="15" t="str">
        <f>image("https://i.imgur.com/oN3h6uN.png")</f>
        <v/>
      </c>
      <c r="C175" s="24">
        <v>5000.0</v>
      </c>
      <c r="D175" s="24" t="s">
        <v>5700</v>
      </c>
      <c r="E175" s="24" t="s">
        <v>5595</v>
      </c>
    </row>
    <row r="176" ht="56.25" customHeight="1">
      <c r="A176" s="37" t="s">
        <v>5705</v>
      </c>
      <c r="B176" s="15" t="str">
        <f>image("https://i.imgur.com/u5Syo82.png")</f>
        <v/>
      </c>
      <c r="C176" s="24">
        <v>5000.0</v>
      </c>
      <c r="D176" s="24" t="s">
        <v>5700</v>
      </c>
      <c r="E176" s="24" t="s">
        <v>5595</v>
      </c>
    </row>
    <row r="177" ht="56.25" customHeight="1">
      <c r="A177" s="37" t="s">
        <v>5706</v>
      </c>
      <c r="B177" s="15" t="str">
        <f>image("https://i.imgur.com/M9sbNZJ.png")</f>
        <v/>
      </c>
      <c r="C177" s="24">
        <v>5000.0</v>
      </c>
      <c r="D177" s="24" t="s">
        <v>5700</v>
      </c>
      <c r="E177" s="24" t="s">
        <v>5595</v>
      </c>
    </row>
    <row r="178" ht="56.25" customHeight="1">
      <c r="A178" s="37" t="s">
        <v>5707</v>
      </c>
      <c r="B178" s="15" t="str">
        <f>image("https://i.imgur.com/edeAXko.png")</f>
        <v/>
      </c>
      <c r="C178" s="24">
        <v>5000.0</v>
      </c>
      <c r="D178" s="24" t="s">
        <v>5700</v>
      </c>
      <c r="E178" s="24" t="s">
        <v>5595</v>
      </c>
    </row>
    <row r="179" ht="56.25" customHeight="1">
      <c r="A179" s="37" t="s">
        <v>5711</v>
      </c>
      <c r="B179" s="15" t="str">
        <f>image("https://i.imgur.com/kG87WiB.png")</f>
        <v/>
      </c>
      <c r="C179" s="24">
        <v>5000.0</v>
      </c>
      <c r="D179" s="24" t="s">
        <v>5700</v>
      </c>
      <c r="E179" s="24" t="s">
        <v>5595</v>
      </c>
    </row>
    <row r="180" ht="56.25" customHeight="1">
      <c r="A180" s="37" t="s">
        <v>5714</v>
      </c>
      <c r="B180" s="15" t="str">
        <f>image("https://i.imgur.com/hfWqVmq.png")</f>
        <v/>
      </c>
      <c r="C180" s="24">
        <v>5000.0</v>
      </c>
      <c r="D180" s="24" t="s">
        <v>5700</v>
      </c>
      <c r="E180" s="24" t="s">
        <v>5595</v>
      </c>
    </row>
    <row r="181" ht="56.25" customHeight="1">
      <c r="A181" s="37" t="s">
        <v>5716</v>
      </c>
      <c r="B181" s="15" t="str">
        <f>image("https://i.imgur.com/Qw9n7ng.png")</f>
        <v/>
      </c>
      <c r="C181" s="24">
        <v>5000.0</v>
      </c>
      <c r="D181" s="24" t="s">
        <v>5700</v>
      </c>
      <c r="E181" s="24" t="s">
        <v>5595</v>
      </c>
    </row>
    <row r="182" ht="56.25" customHeight="1">
      <c r="A182" s="37" t="s">
        <v>5721</v>
      </c>
      <c r="B182" s="15" t="str">
        <f>image("https://i.imgur.com/3xNdI7T.png")</f>
        <v/>
      </c>
      <c r="C182" s="24">
        <v>5000.0</v>
      </c>
      <c r="D182" s="24" t="s">
        <v>5700</v>
      </c>
      <c r="E182" s="24" t="s">
        <v>5595</v>
      </c>
    </row>
    <row r="183" ht="56.25" customHeight="1">
      <c r="A183" s="37" t="s">
        <v>5722</v>
      </c>
      <c r="B183" s="15" t="str">
        <f>image("https://i.imgur.com/TbzIX4X.png")</f>
        <v/>
      </c>
      <c r="C183" s="24">
        <v>5000.0</v>
      </c>
      <c r="D183" s="24" t="s">
        <v>5700</v>
      </c>
      <c r="E183" s="24" t="s">
        <v>5595</v>
      </c>
    </row>
    <row r="184" ht="56.25" customHeight="1">
      <c r="A184" s="37" t="s">
        <v>5726</v>
      </c>
      <c r="B184" s="15" t="str">
        <f>image("https://i.imgur.com/jLScjRg.png")</f>
        <v/>
      </c>
      <c r="C184" s="24">
        <v>5000.0</v>
      </c>
      <c r="D184" s="24" t="s">
        <v>5700</v>
      </c>
      <c r="E184" s="24" t="s">
        <v>5595</v>
      </c>
    </row>
    <row r="185" ht="56.25" customHeight="1">
      <c r="A185" s="37" t="s">
        <v>5728</v>
      </c>
      <c r="B185" s="15" t="str">
        <f>image("https://i.imgur.com/uHChIHw.png")</f>
        <v/>
      </c>
      <c r="C185" s="24">
        <v>5000.0</v>
      </c>
      <c r="D185" s="24" t="s">
        <v>5700</v>
      </c>
      <c r="E185" s="24" t="s">
        <v>5595</v>
      </c>
    </row>
    <row r="186" ht="56.25" customHeight="1">
      <c r="A186" s="37" t="s">
        <v>5729</v>
      </c>
      <c r="B186" s="15" t="str">
        <f>image("https://i.imgur.com/YmGbcG7.png")</f>
        <v/>
      </c>
      <c r="C186" s="24">
        <v>5000.0</v>
      </c>
      <c r="D186" s="24" t="s">
        <v>5700</v>
      </c>
      <c r="E186" s="24" t="s">
        <v>5595</v>
      </c>
    </row>
    <row r="187" ht="56.25" customHeight="1">
      <c r="A187" s="37" t="s">
        <v>5732</v>
      </c>
      <c r="B187" s="15" t="str">
        <f>image("https://i.imgur.com/qgOdilD.png")</f>
        <v/>
      </c>
      <c r="C187" s="24">
        <v>5000.0</v>
      </c>
      <c r="D187" s="24" t="s">
        <v>5700</v>
      </c>
      <c r="E187" s="24" t="s">
        <v>5595</v>
      </c>
    </row>
    <row r="188" ht="56.25" customHeight="1">
      <c r="A188" s="37" t="s">
        <v>5734</v>
      </c>
      <c r="B188" s="15" t="str">
        <f>image("https://i.imgur.com/pIPopf1.png")</f>
        <v/>
      </c>
      <c r="C188" s="24">
        <v>5000.0</v>
      </c>
      <c r="D188" s="24" t="s">
        <v>5700</v>
      </c>
      <c r="E188" s="24" t="s">
        <v>5595</v>
      </c>
    </row>
    <row r="189" ht="56.25" customHeight="1">
      <c r="A189" s="37" t="s">
        <v>5738</v>
      </c>
      <c r="B189" s="15" t="str">
        <f>image("https://i.imgur.com/zL1Fm8c.png")</f>
        <v/>
      </c>
      <c r="C189" s="24">
        <v>5000.0</v>
      </c>
      <c r="D189" s="24" t="s">
        <v>5700</v>
      </c>
      <c r="E189" s="24" t="s">
        <v>5595</v>
      </c>
    </row>
    <row r="190" ht="56.25" customHeight="1">
      <c r="A190" s="37" t="s">
        <v>5739</v>
      </c>
      <c r="B190" s="15" t="str">
        <f>image("https://i.imgur.com/v2Cha8e.png")</f>
        <v/>
      </c>
      <c r="C190" s="24">
        <v>5000.0</v>
      </c>
      <c r="D190" s="24" t="s">
        <v>5700</v>
      </c>
      <c r="E190" s="24" t="s">
        <v>5595</v>
      </c>
    </row>
    <row r="191" ht="56.25" customHeight="1">
      <c r="A191" s="37" t="s">
        <v>5740</v>
      </c>
      <c r="B191" s="15" t="str">
        <f>image("https://i.imgur.com/kfqlt96.png")</f>
        <v/>
      </c>
      <c r="C191" s="24">
        <v>5000.0</v>
      </c>
      <c r="D191" s="24" t="s">
        <v>5700</v>
      </c>
      <c r="E191" s="24" t="s">
        <v>5595</v>
      </c>
    </row>
    <row r="192" ht="56.25" customHeight="1">
      <c r="A192" s="37" t="s">
        <v>5744</v>
      </c>
      <c r="B192" s="15" t="str">
        <f>image("https://i.imgur.com/G6uxcSb.png")</f>
        <v/>
      </c>
      <c r="C192" s="24">
        <v>5000.0</v>
      </c>
      <c r="D192" s="24" t="s">
        <v>5700</v>
      </c>
      <c r="E192" s="24" t="s">
        <v>5595</v>
      </c>
    </row>
    <row r="193" ht="56.25" customHeight="1">
      <c r="A193" s="37" t="s">
        <v>5747</v>
      </c>
      <c r="B193" s="15" t="str">
        <f>image("https://i.imgur.com/jUrokbA.png")</f>
        <v/>
      </c>
      <c r="C193" s="24">
        <v>5000.0</v>
      </c>
      <c r="D193" s="24" t="s">
        <v>5700</v>
      </c>
      <c r="E193" s="24" t="s">
        <v>5595</v>
      </c>
    </row>
    <row r="194" ht="56.25" customHeight="1">
      <c r="A194" s="37" t="s">
        <v>5749</v>
      </c>
      <c r="B194" s="15" t="str">
        <f>image("https://i.imgur.com/0ylpl6v.png")</f>
        <v/>
      </c>
      <c r="C194" s="24">
        <v>5000.0</v>
      </c>
      <c r="D194" s="24" t="s">
        <v>5700</v>
      </c>
      <c r="E194" s="24" t="s">
        <v>5595</v>
      </c>
    </row>
    <row r="195" ht="56.25" customHeight="1">
      <c r="A195" s="37" t="s">
        <v>5754</v>
      </c>
      <c r="B195" s="15" t="str">
        <f>image("https://i.imgur.com/4gg2hZW.png")</f>
        <v/>
      </c>
      <c r="C195" s="24">
        <v>5000.0</v>
      </c>
      <c r="D195" s="24" t="s">
        <v>5700</v>
      </c>
      <c r="E195" s="24" t="s">
        <v>5595</v>
      </c>
    </row>
    <row r="196" ht="56.25" customHeight="1">
      <c r="A196" s="37" t="s">
        <v>5755</v>
      </c>
      <c r="B196" s="15" t="str">
        <f>image("https://i.imgur.com/ajfEJ5g.png")</f>
        <v/>
      </c>
      <c r="C196" s="24">
        <v>5000.0</v>
      </c>
      <c r="D196" s="24" t="s">
        <v>5700</v>
      </c>
      <c r="E196" s="24" t="s">
        <v>5595</v>
      </c>
    </row>
    <row r="197" ht="56.25" customHeight="1">
      <c r="A197" s="37" t="s">
        <v>5756</v>
      </c>
      <c r="B197" s="15" t="str">
        <f>image("https://i.imgur.com/vmgnybp.png")</f>
        <v/>
      </c>
      <c r="C197" s="24">
        <v>5000.0</v>
      </c>
      <c r="D197" s="24" t="s">
        <v>5700</v>
      </c>
      <c r="E197" s="24" t="s">
        <v>5595</v>
      </c>
    </row>
    <row r="198" ht="56.25" customHeight="1">
      <c r="A198" s="37" t="s">
        <v>5760</v>
      </c>
      <c r="B198" s="15" t="str">
        <f>image("https://i.imgur.com/1rsPKQz.png")</f>
        <v/>
      </c>
      <c r="C198" s="24">
        <v>5000.0</v>
      </c>
      <c r="D198" s="24" t="s">
        <v>5700</v>
      </c>
      <c r="E198" s="24" t="s">
        <v>5595</v>
      </c>
    </row>
    <row r="199" ht="56.25" customHeight="1">
      <c r="A199" s="37" t="s">
        <v>5762</v>
      </c>
      <c r="B199" s="15" t="str">
        <f>image("https://i.imgur.com/0fng3dU.png")</f>
        <v/>
      </c>
      <c r="C199" s="24">
        <v>5000.0</v>
      </c>
      <c r="D199" s="24" t="s">
        <v>5700</v>
      </c>
      <c r="E199" s="24" t="s">
        <v>5595</v>
      </c>
    </row>
    <row r="200" ht="56.25" customHeight="1">
      <c r="A200" s="37" t="s">
        <v>5765</v>
      </c>
      <c r="B200" s="15" t="str">
        <f>image("https://i.imgur.com/H2Rg912.png")</f>
        <v/>
      </c>
      <c r="C200" s="24">
        <v>5000.0</v>
      </c>
      <c r="D200" s="24" t="s">
        <v>5700</v>
      </c>
      <c r="E200" s="24" t="s">
        <v>5595</v>
      </c>
    </row>
    <row r="201" ht="56.25" customHeight="1">
      <c r="A201" s="37" t="s">
        <v>5769</v>
      </c>
      <c r="B201" s="15" t="str">
        <f>image("https://i.imgur.com/OSMzypV.png")</f>
        <v/>
      </c>
      <c r="C201" s="24">
        <v>5000.0</v>
      </c>
      <c r="D201" s="24" t="s">
        <v>5700</v>
      </c>
      <c r="E201" s="24" t="s">
        <v>5595</v>
      </c>
    </row>
    <row r="202" ht="56.25" customHeight="1">
      <c r="A202" s="37" t="s">
        <v>5773</v>
      </c>
      <c r="B202" s="15" t="str">
        <f>image("https://i.imgur.com/jc5Icua.png")</f>
        <v/>
      </c>
      <c r="C202" s="24">
        <v>5000.0</v>
      </c>
      <c r="D202" s="24" t="s">
        <v>5700</v>
      </c>
      <c r="E202" s="24" t="s">
        <v>5595</v>
      </c>
    </row>
    <row r="203" ht="56.25" customHeight="1">
      <c r="A203" s="37" t="s">
        <v>5775</v>
      </c>
      <c r="B203" s="15" t="str">
        <f>image("https://i.imgur.com/4udiIHY.png")</f>
        <v/>
      </c>
      <c r="C203" s="24">
        <v>5000.0</v>
      </c>
      <c r="D203" s="24" t="s">
        <v>5700</v>
      </c>
      <c r="E203" s="24" t="s">
        <v>5595</v>
      </c>
    </row>
    <row r="204" ht="56.25" customHeight="1">
      <c r="A204" s="37" t="s">
        <v>5778</v>
      </c>
      <c r="B204" s="15" t="str">
        <f>image("https://i.imgur.com/WAE03xa.png")</f>
        <v/>
      </c>
      <c r="C204" s="24">
        <v>5000.0</v>
      </c>
      <c r="D204" s="24" t="s">
        <v>5700</v>
      </c>
      <c r="E204" s="24" t="s">
        <v>5595</v>
      </c>
    </row>
    <row r="205" ht="56.25" customHeight="1">
      <c r="A205" s="23"/>
      <c r="B205" s="15" t="str">
        <f>image("https://i.imgur.com/O8dAQuU.png")</f>
        <v/>
      </c>
      <c r="C205" s="24">
        <v>5000.0</v>
      </c>
      <c r="D205" s="24" t="s">
        <v>5700</v>
      </c>
      <c r="E205" s="24" t="s">
        <v>5595</v>
      </c>
    </row>
    <row r="206" ht="56.25" customHeight="1">
      <c r="A206" s="37" t="s">
        <v>5782</v>
      </c>
      <c r="B206" s="15" t="str">
        <f>image("https://i.imgur.com/gQKYqNh.png")</f>
        <v/>
      </c>
      <c r="C206" s="24">
        <v>5000.0</v>
      </c>
      <c r="D206" s="24" t="s">
        <v>5786</v>
      </c>
      <c r="E206" s="24" t="s">
        <v>5788</v>
      </c>
    </row>
    <row r="207" ht="56.25" customHeight="1">
      <c r="A207" s="37" t="s">
        <v>5789</v>
      </c>
      <c r="B207" s="15" t="str">
        <f>image("https://i.imgur.com/fld93pU.png")</f>
        <v/>
      </c>
      <c r="C207" s="24">
        <v>5000.0</v>
      </c>
      <c r="D207" s="24" t="s">
        <v>5786</v>
      </c>
      <c r="E207" s="24" t="s">
        <v>5788</v>
      </c>
    </row>
    <row r="208" ht="56.25" customHeight="1">
      <c r="A208" s="37" t="s">
        <v>5792</v>
      </c>
      <c r="B208" s="15" t="str">
        <f>image("https://i.imgur.com/2TSboAm.png")</f>
        <v/>
      </c>
      <c r="C208" s="24">
        <v>5000.0</v>
      </c>
      <c r="D208" s="24" t="s">
        <v>5786</v>
      </c>
      <c r="E208" s="24" t="s">
        <v>5788</v>
      </c>
    </row>
    <row r="209" ht="56.25" customHeight="1">
      <c r="A209" s="37" t="s">
        <v>5794</v>
      </c>
      <c r="B209" s="15" t="str">
        <f>image("https://i.imgur.com/Bac8A9S.png")</f>
        <v/>
      </c>
      <c r="C209" s="24">
        <v>5000.0</v>
      </c>
      <c r="D209" s="24" t="s">
        <v>5786</v>
      </c>
      <c r="E209" s="24" t="s">
        <v>5788</v>
      </c>
    </row>
    <row r="210" ht="56.25" customHeight="1">
      <c r="A210" s="37" t="s">
        <v>5798</v>
      </c>
      <c r="B210" s="15" t="str">
        <f>image("https://i.imgur.com/LlzhLcO.png")</f>
        <v/>
      </c>
      <c r="C210" s="24">
        <v>5000.0</v>
      </c>
      <c r="D210" s="24" t="s">
        <v>5786</v>
      </c>
      <c r="E210" s="24" t="s">
        <v>5788</v>
      </c>
    </row>
    <row r="211" ht="56.25" customHeight="1">
      <c r="A211" s="37" t="s">
        <v>5799</v>
      </c>
      <c r="B211" s="15" t="str">
        <f>image("https://i.imgur.com/TK4pw4B.png")</f>
        <v/>
      </c>
      <c r="C211" s="24">
        <v>5000.0</v>
      </c>
      <c r="D211" s="24" t="s">
        <v>5786</v>
      </c>
      <c r="E211" s="24" t="s">
        <v>5788</v>
      </c>
    </row>
    <row r="212" ht="56.25" customHeight="1">
      <c r="A212" s="37" t="s">
        <v>5803</v>
      </c>
      <c r="B212" s="15" t="str">
        <f>image("https://i.imgur.com/UqEGnMG.png")</f>
        <v/>
      </c>
      <c r="C212" s="24">
        <v>5000.0</v>
      </c>
      <c r="D212" s="24" t="s">
        <v>5786</v>
      </c>
      <c r="E212" s="24" t="s">
        <v>5788</v>
      </c>
    </row>
    <row r="213" ht="56.25" customHeight="1">
      <c r="A213" s="37" t="s">
        <v>5804</v>
      </c>
      <c r="B213" s="15" t="str">
        <f>image("https://i.imgur.com/Rvi8f0w.png")</f>
        <v/>
      </c>
      <c r="C213" s="24">
        <v>5000.0</v>
      </c>
      <c r="D213" s="24" t="s">
        <v>5786</v>
      </c>
      <c r="E213" s="24" t="s">
        <v>5788</v>
      </c>
    </row>
    <row r="214" ht="56.25" customHeight="1">
      <c r="A214" s="37" t="s">
        <v>5805</v>
      </c>
      <c r="B214" s="15" t="str">
        <f>image("https://i.imgur.com/hG67nD4.png")</f>
        <v/>
      </c>
      <c r="C214" s="24">
        <v>5000.0</v>
      </c>
      <c r="D214" s="24" t="s">
        <v>5786</v>
      </c>
      <c r="E214" s="24" t="s">
        <v>5788</v>
      </c>
    </row>
    <row r="215" ht="56.25" customHeight="1">
      <c r="A215" s="37" t="s">
        <v>5810</v>
      </c>
      <c r="B215" s="15" t="str">
        <f>image("https://i.imgur.com/RrUd1B2.png")</f>
        <v/>
      </c>
      <c r="C215" s="24">
        <v>5000.0</v>
      </c>
      <c r="D215" s="24" t="s">
        <v>5786</v>
      </c>
      <c r="E215" s="24" t="s">
        <v>5788</v>
      </c>
    </row>
    <row r="216" ht="56.25" customHeight="1">
      <c r="A216" s="37" t="s">
        <v>5811</v>
      </c>
      <c r="B216" s="15" t="str">
        <f>image("https://i.imgur.com/lQRSqxD.png")</f>
        <v/>
      </c>
      <c r="C216" s="24">
        <v>5000.0</v>
      </c>
      <c r="D216" s="24" t="s">
        <v>5786</v>
      </c>
      <c r="E216" s="24" t="s">
        <v>5788</v>
      </c>
    </row>
    <row r="217" ht="56.25" customHeight="1">
      <c r="A217" s="37" t="s">
        <v>5814</v>
      </c>
      <c r="B217" s="15" t="str">
        <f>image("https://i.imgur.com/R3yOLhQ.png")</f>
        <v/>
      </c>
      <c r="C217" s="24">
        <v>5000.0</v>
      </c>
      <c r="D217" s="24" t="s">
        <v>5786</v>
      </c>
      <c r="E217" s="24" t="s">
        <v>5788</v>
      </c>
    </row>
    <row r="218" ht="56.25" customHeight="1">
      <c r="A218" s="37" t="s">
        <v>5816</v>
      </c>
      <c r="B218" s="15" t="str">
        <f>image("https://i.imgur.com/V8pSUog.png")</f>
        <v/>
      </c>
      <c r="C218" s="24">
        <v>5000.0</v>
      </c>
      <c r="D218" s="24" t="s">
        <v>5786</v>
      </c>
      <c r="E218" s="24" t="s">
        <v>5788</v>
      </c>
    </row>
    <row r="219" ht="56.25" customHeight="1">
      <c r="A219" s="37" t="s">
        <v>5817</v>
      </c>
      <c r="B219" s="15" t="str">
        <f>image("https://i.imgur.com/Cjkbymm.png")</f>
        <v/>
      </c>
      <c r="C219" s="24">
        <v>5000.0</v>
      </c>
      <c r="D219" s="24" t="s">
        <v>5786</v>
      </c>
      <c r="E219" s="24" t="s">
        <v>5788</v>
      </c>
    </row>
    <row r="220" ht="56.25" customHeight="1">
      <c r="A220" s="37" t="s">
        <v>5821</v>
      </c>
      <c r="B220" s="15" t="str">
        <f>image("https://i.imgur.com/AonQaFf.png")</f>
        <v/>
      </c>
      <c r="C220" s="24">
        <v>5000.0</v>
      </c>
      <c r="D220" s="24" t="s">
        <v>5786</v>
      </c>
      <c r="E220" s="24" t="s">
        <v>5788</v>
      </c>
    </row>
    <row r="221" ht="56.25" customHeight="1">
      <c r="A221" s="37" t="s">
        <v>5825</v>
      </c>
      <c r="B221" s="15" t="str">
        <f>image("https://i.imgur.com/0drXjap.png")</f>
        <v/>
      </c>
      <c r="C221" s="24">
        <v>5000.0</v>
      </c>
      <c r="D221" s="24" t="s">
        <v>5786</v>
      </c>
      <c r="E221" s="24" t="s">
        <v>5788</v>
      </c>
    </row>
    <row r="222" ht="56.25" customHeight="1">
      <c r="A222" s="37" t="s">
        <v>5827</v>
      </c>
      <c r="B222" s="15" t="str">
        <f>image("https://i.imgur.com/jOBmhEx.png")</f>
        <v/>
      </c>
      <c r="C222" s="24">
        <v>5000.0</v>
      </c>
      <c r="D222" s="24" t="s">
        <v>5786</v>
      </c>
      <c r="E222" s="24" t="s">
        <v>5788</v>
      </c>
    </row>
    <row r="223" ht="56.25" customHeight="1">
      <c r="A223" s="37" t="s">
        <v>5831</v>
      </c>
      <c r="B223" s="15" t="str">
        <f>image("https://i.imgur.com/9g30wx8.png")</f>
        <v/>
      </c>
      <c r="C223" s="24">
        <v>5000.0</v>
      </c>
      <c r="D223" s="24" t="s">
        <v>5786</v>
      </c>
      <c r="E223" s="24" t="s">
        <v>5788</v>
      </c>
    </row>
    <row r="224" ht="56.25" customHeight="1">
      <c r="A224" s="37" t="s">
        <v>5834</v>
      </c>
      <c r="B224" s="15" t="str">
        <f>image("https://i.imgur.com/Hl9uK5D.png")</f>
        <v/>
      </c>
      <c r="C224" s="24">
        <v>5000.0</v>
      </c>
      <c r="D224" s="24" t="s">
        <v>5786</v>
      </c>
      <c r="E224" s="24" t="s">
        <v>5788</v>
      </c>
    </row>
    <row r="225" ht="56.25" customHeight="1">
      <c r="A225" s="37" t="s">
        <v>5836</v>
      </c>
      <c r="B225" s="15" t="str">
        <f>image("https://i.imgur.com/Z0aKu8I.png")</f>
        <v/>
      </c>
      <c r="C225" s="24">
        <v>5000.0</v>
      </c>
      <c r="D225" s="24" t="s">
        <v>5786</v>
      </c>
      <c r="E225" s="24" t="s">
        <v>5788</v>
      </c>
    </row>
    <row r="226" ht="56.25" customHeight="1">
      <c r="A226" s="37" t="s">
        <v>5840</v>
      </c>
      <c r="B226" s="15" t="str">
        <f>image("https://i.imgur.com/o7MqgxU.png")</f>
        <v/>
      </c>
      <c r="C226" s="24">
        <v>5000.0</v>
      </c>
      <c r="D226" s="24" t="s">
        <v>5786</v>
      </c>
      <c r="E226" s="24" t="s">
        <v>5788</v>
      </c>
    </row>
    <row r="227" ht="56.25" customHeight="1">
      <c r="A227" s="37" t="s">
        <v>5843</v>
      </c>
      <c r="B227" s="15" t="str">
        <f>image("https://i.imgur.com/oxSsdDT.png")</f>
        <v/>
      </c>
      <c r="C227" s="24">
        <v>5000.0</v>
      </c>
      <c r="D227" s="24" t="s">
        <v>5786</v>
      </c>
      <c r="E227" s="24" t="s">
        <v>5788</v>
      </c>
    </row>
    <row r="228" ht="56.25" customHeight="1">
      <c r="A228" s="37" t="s">
        <v>5846</v>
      </c>
      <c r="B228" s="15" t="str">
        <f>image("https://i.imgur.com/VkDYoZj.png")</f>
        <v/>
      </c>
      <c r="C228" s="24">
        <v>5000.0</v>
      </c>
      <c r="D228" s="24" t="s">
        <v>5786</v>
      </c>
      <c r="E228" s="24" t="s">
        <v>5788</v>
      </c>
    </row>
    <row r="229" ht="56.25" customHeight="1">
      <c r="A229" s="37" t="s">
        <v>5850</v>
      </c>
      <c r="B229" s="15" t="str">
        <f>image("https://i.imgur.com/TCiAxBb.png")</f>
        <v/>
      </c>
      <c r="C229" s="24">
        <v>5000.0</v>
      </c>
      <c r="D229" s="24" t="s">
        <v>5786</v>
      </c>
      <c r="E229" s="24" t="s">
        <v>5788</v>
      </c>
    </row>
    <row r="230" ht="56.25" customHeight="1">
      <c r="A230" s="37" t="s">
        <v>5853</v>
      </c>
      <c r="B230" s="15" t="str">
        <f>image("https://i.imgur.com/aufmTQI.png")</f>
        <v/>
      </c>
      <c r="C230" s="24">
        <v>5000.0</v>
      </c>
      <c r="D230" s="24" t="s">
        <v>5786</v>
      </c>
      <c r="E230" s="24" t="s">
        <v>5788</v>
      </c>
    </row>
    <row r="231" ht="56.25" customHeight="1">
      <c r="A231" s="37" t="s">
        <v>5856</v>
      </c>
      <c r="B231" s="15" t="str">
        <f>image("https://i.imgur.com/lhaLqeQ.png")</f>
        <v/>
      </c>
      <c r="C231" s="24">
        <v>5000.0</v>
      </c>
      <c r="D231" s="24" t="s">
        <v>5786</v>
      </c>
      <c r="E231" s="24" t="s">
        <v>5788</v>
      </c>
    </row>
    <row r="232" ht="56.25" customHeight="1">
      <c r="A232" s="37" t="s">
        <v>5859</v>
      </c>
      <c r="B232" s="15" t="str">
        <f>image("https://i.imgur.com/uWAFVjP.png")</f>
        <v/>
      </c>
      <c r="C232" s="24">
        <v>5000.0</v>
      </c>
      <c r="D232" s="24" t="s">
        <v>5786</v>
      </c>
      <c r="E232" s="24" t="s">
        <v>5788</v>
      </c>
    </row>
    <row r="233" ht="56.25" customHeight="1">
      <c r="A233" s="37" t="s">
        <v>5861</v>
      </c>
      <c r="B233" s="15" t="str">
        <f>image("https://i.imgur.com/HwYzJVm.png")</f>
        <v/>
      </c>
      <c r="C233" s="24">
        <v>5000.0</v>
      </c>
      <c r="D233" s="24" t="s">
        <v>5786</v>
      </c>
      <c r="E233" s="24" t="s">
        <v>5788</v>
      </c>
    </row>
    <row r="234" ht="56.25" customHeight="1">
      <c r="A234" s="37" t="s">
        <v>5865</v>
      </c>
      <c r="B234" s="15" t="str">
        <f>image("https://i.imgur.com/XbdrU3n.png")</f>
        <v/>
      </c>
      <c r="C234" s="24">
        <v>5000.0</v>
      </c>
      <c r="D234" s="24" t="s">
        <v>5786</v>
      </c>
      <c r="E234" s="24" t="s">
        <v>5788</v>
      </c>
    </row>
    <row r="235" ht="56.25" customHeight="1">
      <c r="A235" s="37" t="s">
        <v>5868</v>
      </c>
      <c r="B235" s="15" t="str">
        <f>image("https://i.imgur.com/XjzUErF.png")</f>
        <v/>
      </c>
      <c r="C235" s="24">
        <v>5000.0</v>
      </c>
      <c r="D235" s="24" t="s">
        <v>5786</v>
      </c>
      <c r="E235" s="24" t="s">
        <v>5788</v>
      </c>
    </row>
    <row r="236" ht="56.25" customHeight="1">
      <c r="A236" s="37" t="s">
        <v>5870</v>
      </c>
      <c r="B236" s="15" t="str">
        <f>image("https://i.imgur.com/Nis0qQG.png")</f>
        <v/>
      </c>
      <c r="C236" s="24">
        <v>5000.0</v>
      </c>
      <c r="D236" s="24" t="s">
        <v>5786</v>
      </c>
      <c r="E236" s="24" t="s">
        <v>5788</v>
      </c>
    </row>
    <row r="237" ht="56.25" customHeight="1">
      <c r="A237" s="37" t="s">
        <v>5874</v>
      </c>
      <c r="B237" s="15" t="str">
        <f>image("https://i.imgur.com/Etixxi0.png")</f>
        <v/>
      </c>
      <c r="C237" s="24">
        <v>5000.0</v>
      </c>
      <c r="D237" s="24" t="s">
        <v>5786</v>
      </c>
      <c r="E237" s="24" t="s">
        <v>5788</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4.86"/>
    <col customWidth="1" min="2" max="2" width="10.86"/>
    <col customWidth="1" min="3" max="3" width="14.43"/>
  </cols>
  <sheetData>
    <row r="1">
      <c r="A1" s="47" t="s">
        <v>0</v>
      </c>
      <c r="B1" s="3" t="s">
        <v>1</v>
      </c>
      <c r="C1" s="1" t="s">
        <v>5538</v>
      </c>
    </row>
    <row r="2" ht="56.25" customHeight="1">
      <c r="A2" s="23" t="s">
        <v>5539</v>
      </c>
      <c r="B2" s="15" t="str">
        <f>image("https://i.imgur.com/RZsW5np.png")</f>
        <v/>
      </c>
      <c r="C2" s="24">
        <v>2000.0</v>
      </c>
    </row>
    <row r="3" ht="56.25" customHeight="1">
      <c r="A3" s="13" t="s">
        <v>2417</v>
      </c>
      <c r="B3" s="15" t="str">
        <f t="shared" ref="B3:B4" si="1">image("https://i.imgur.com/bK3wMxl.png")</f>
        <v/>
      </c>
      <c r="C3" s="13">
        <v>1000.0</v>
      </c>
    </row>
    <row r="4" ht="56.25" customHeight="1">
      <c r="A4" s="13" t="s">
        <v>2421</v>
      </c>
      <c r="B4" s="15" t="str">
        <f t="shared" si="1"/>
        <v/>
      </c>
      <c r="C4" s="13">
        <v>1000.0</v>
      </c>
    </row>
    <row r="5" ht="56.25" customHeight="1">
      <c r="A5" s="23" t="s">
        <v>5542</v>
      </c>
      <c r="B5" s="15" t="str">
        <f>image("https://i.imgur.com/NdMAOFh.png")</f>
        <v/>
      </c>
      <c r="C5" s="13">
        <v>500.0</v>
      </c>
    </row>
    <row r="6" ht="56.25" customHeight="1">
      <c r="A6" s="13" t="s">
        <v>2424</v>
      </c>
      <c r="B6" s="15" t="str">
        <f>image("https://i.imgur.com/bK3wMxl.png")</f>
        <v/>
      </c>
      <c r="C6" s="13">
        <v>1000.0</v>
      </c>
    </row>
    <row r="7" ht="56.25" customHeight="1">
      <c r="A7" s="23" t="s">
        <v>5545</v>
      </c>
      <c r="B7" s="15" t="str">
        <f>image("https://i.imgur.com/RZsW5np.png")</f>
        <v/>
      </c>
      <c r="C7" s="24">
        <v>2000.0</v>
      </c>
    </row>
    <row r="8" ht="56.25" customHeight="1">
      <c r="A8" s="23" t="s">
        <v>5546</v>
      </c>
      <c r="B8" s="15" t="str">
        <f>image("https://i.imgur.com/sNreCAw.png")</f>
        <v/>
      </c>
      <c r="C8" s="13">
        <v>6000.0</v>
      </c>
    </row>
    <row r="9" ht="56.25" customHeight="1">
      <c r="A9" s="13" t="s">
        <v>2429</v>
      </c>
      <c r="B9" s="15" t="str">
        <f t="shared" ref="B9:B10" si="2">image("https://i.imgur.com/bK3wMxl.png")</f>
        <v/>
      </c>
      <c r="C9" s="13">
        <v>1000.0</v>
      </c>
    </row>
    <row r="10" ht="56.25" customHeight="1">
      <c r="A10" s="13" t="s">
        <v>2431</v>
      </c>
      <c r="B10" s="15" t="str">
        <f t="shared" si="2"/>
        <v/>
      </c>
      <c r="C10" s="13">
        <v>1000.0</v>
      </c>
    </row>
    <row r="11" ht="56.25" customHeight="1">
      <c r="A11" s="23" t="s">
        <v>5550</v>
      </c>
      <c r="B11" s="15" t="str">
        <f>image("https://i.imgur.com/RZsW5np.png")</f>
        <v/>
      </c>
      <c r="C11" s="13">
        <v>2800.0</v>
      </c>
    </row>
    <row r="12" ht="56.25" customHeight="1">
      <c r="A12" s="23" t="s">
        <v>5551</v>
      </c>
      <c r="B12" s="15" t="str">
        <f>image("https://i.imgur.com/GHbUUKS.png")</f>
        <v/>
      </c>
      <c r="C12" s="13">
        <v>800.0</v>
      </c>
    </row>
    <row r="13" ht="56.25" customHeight="1">
      <c r="A13" s="13" t="s">
        <v>5553</v>
      </c>
      <c r="B13" s="15" t="str">
        <f>image("https://i.imgur.com/wjkZITy.png")</f>
        <v/>
      </c>
      <c r="C13" s="13">
        <v>1800.0</v>
      </c>
    </row>
    <row r="14" ht="56.25" customHeight="1">
      <c r="A14" s="23" t="s">
        <v>5555</v>
      </c>
      <c r="B14" s="15" t="str">
        <f>image("https://i.imgur.com/RZsW5np.png")</f>
        <v/>
      </c>
      <c r="C14" s="24">
        <v>2000.0</v>
      </c>
    </row>
    <row r="15" ht="56.25" customHeight="1">
      <c r="A15" s="13" t="s">
        <v>2434</v>
      </c>
      <c r="B15" s="15" t="str">
        <f t="shared" ref="B15:B18" si="3">image("https://i.imgur.com/bK3wMxl.png")</f>
        <v/>
      </c>
      <c r="C15" s="13">
        <v>1000.0</v>
      </c>
    </row>
    <row r="16" ht="56.25" customHeight="1">
      <c r="A16" s="13" t="s">
        <v>2435</v>
      </c>
      <c r="B16" s="15" t="str">
        <f t="shared" si="3"/>
        <v/>
      </c>
      <c r="C16" s="13">
        <v>1000.0</v>
      </c>
    </row>
    <row r="17" ht="56.25" customHeight="1">
      <c r="A17" s="13" t="s">
        <v>2438</v>
      </c>
      <c r="B17" s="15" t="str">
        <f t="shared" si="3"/>
        <v/>
      </c>
      <c r="C17" s="13">
        <v>1000.0</v>
      </c>
    </row>
    <row r="18" ht="56.25" customHeight="1">
      <c r="A18" s="13" t="s">
        <v>2440</v>
      </c>
      <c r="B18" s="15" t="str">
        <f t="shared" si="3"/>
        <v/>
      </c>
      <c r="C18" s="13">
        <v>1000.0</v>
      </c>
    </row>
    <row r="19" ht="56.25" customHeight="1">
      <c r="A19" s="23" t="s">
        <v>5558</v>
      </c>
      <c r="B19" s="15" t="str">
        <f>image("https://i.imgur.com/5ccmHPa.png")</f>
        <v/>
      </c>
      <c r="C19" s="24">
        <v>2000.0</v>
      </c>
    </row>
    <row r="20" ht="56.25" customHeight="1">
      <c r="A20" s="23" t="s">
        <v>5560</v>
      </c>
      <c r="B20" s="15" t="str">
        <f>image("https://i.imgur.com/Nwri4DI.png")</f>
        <v/>
      </c>
      <c r="C20" s="24">
        <v>5000.0</v>
      </c>
    </row>
    <row r="21" ht="56.25" customHeight="1">
      <c r="A21" s="23" t="s">
        <v>5562</v>
      </c>
      <c r="B21" s="15" t="str">
        <f>image("https://i.imgur.com/ma78edH.png")</f>
        <v/>
      </c>
      <c r="C21" s="24"/>
    </row>
    <row r="22" ht="56.25" customHeight="1">
      <c r="A22" s="13" t="s">
        <v>2443</v>
      </c>
      <c r="B22" s="15" t="str">
        <f>image("https://i.imgur.com/bK3wMxl.png")</f>
        <v/>
      </c>
      <c r="C22" s="13">
        <v>1000.0</v>
      </c>
    </row>
    <row r="23" ht="56.25" customHeight="1">
      <c r="A23" s="23" t="s">
        <v>5566</v>
      </c>
      <c r="B23" s="15" t="str">
        <f>image("https://i.imgur.com/RZsW5np.png")</f>
        <v/>
      </c>
      <c r="C23" s="24">
        <v>2000.0</v>
      </c>
    </row>
    <row r="24" ht="56.25" customHeight="1">
      <c r="A24" s="13" t="s">
        <v>2445</v>
      </c>
      <c r="B24" s="15" t="str">
        <f t="shared" ref="B24:B26" si="4">image("https://i.imgur.com/bK3wMxl.png")</f>
        <v/>
      </c>
      <c r="C24" s="13">
        <v>1000.0</v>
      </c>
    </row>
    <row r="25" ht="56.25" customHeight="1">
      <c r="A25" s="13" t="s">
        <v>2447</v>
      </c>
      <c r="B25" s="15" t="str">
        <f t="shared" si="4"/>
        <v/>
      </c>
      <c r="C25" s="13">
        <v>1000.0</v>
      </c>
    </row>
    <row r="26" ht="56.25" customHeight="1">
      <c r="A26" s="13" t="s">
        <v>2450</v>
      </c>
      <c r="B26" s="15" t="str">
        <f t="shared" si="4"/>
        <v/>
      </c>
      <c r="C26" s="13">
        <v>1000.0</v>
      </c>
    </row>
    <row r="27" ht="56.25" customHeight="1">
      <c r="A27" s="23" t="s">
        <v>5569</v>
      </c>
      <c r="B27" s="15" t="str">
        <f>image("https://i.imgur.com/RZsW5np.png")</f>
        <v/>
      </c>
      <c r="C27" s="24">
        <v>2000.0</v>
      </c>
    </row>
    <row r="28" ht="56.25" customHeight="1">
      <c r="A28" s="13" t="s">
        <v>2452</v>
      </c>
      <c r="B28" s="15" t="str">
        <f>image("https://i.imgur.com/bK3wMxl.png")</f>
        <v/>
      </c>
      <c r="C28" s="13">
        <v>1000.0</v>
      </c>
    </row>
    <row r="29" ht="56.25" customHeight="1">
      <c r="A29" s="23" t="s">
        <v>5571</v>
      </c>
      <c r="B29" s="15" t="str">
        <f>image("https://i.imgur.com/RZsW5np.png")</f>
        <v/>
      </c>
      <c r="C29" s="24">
        <v>2000.0</v>
      </c>
    </row>
    <row r="30" ht="56.25" customHeight="1">
      <c r="A30" s="23" t="s">
        <v>5573</v>
      </c>
      <c r="B30" s="15" t="str">
        <f>image("https://i.imgur.com/Nwri4DI.png")</f>
        <v/>
      </c>
      <c r="C30" s="13">
        <v>800.0</v>
      </c>
    </row>
    <row r="31" ht="56.25" customHeight="1">
      <c r="A31" s="23" t="s">
        <v>5574</v>
      </c>
      <c r="B31" s="15" t="str">
        <f t="shared" ref="B31:B33" si="5">image("https://i.imgur.com/APjUcMR.png")</f>
        <v/>
      </c>
      <c r="C31" s="13">
        <v>2400.0</v>
      </c>
    </row>
    <row r="32" ht="56.25" customHeight="1">
      <c r="A32" s="23" t="s">
        <v>5576</v>
      </c>
      <c r="B32" s="15" t="str">
        <f t="shared" si="5"/>
        <v/>
      </c>
      <c r="C32" s="13">
        <v>2400.0</v>
      </c>
    </row>
    <row r="33" ht="56.25" customHeight="1">
      <c r="A33" s="23" t="s">
        <v>5578</v>
      </c>
      <c r="B33" s="15" t="str">
        <f t="shared" si="5"/>
        <v/>
      </c>
      <c r="C33" s="13">
        <v>3000.0</v>
      </c>
    </row>
    <row r="34" ht="56.25" customHeight="1">
      <c r="A34" s="23" t="s">
        <v>5579</v>
      </c>
      <c r="B34" s="15" t="str">
        <f>image("https://i.imgur.com/Nwri4DI.png")</f>
        <v/>
      </c>
      <c r="C34" s="24">
        <v>8000.0</v>
      </c>
    </row>
    <row r="35" ht="56.25" customHeight="1">
      <c r="A35" s="13" t="s">
        <v>2454</v>
      </c>
      <c r="B35" s="15" t="str">
        <f>image("https://i.imgur.com/bK3wMxl.png")</f>
        <v/>
      </c>
      <c r="C35" s="13">
        <v>1000.0</v>
      </c>
    </row>
    <row r="36" ht="56.25" customHeight="1">
      <c r="A36" s="23" t="s">
        <v>5581</v>
      </c>
      <c r="B36" s="15" t="str">
        <f>image("https://i.imgur.com/qX4Y5Lg.png")</f>
        <v/>
      </c>
      <c r="C36" s="24">
        <v>6000.0</v>
      </c>
    </row>
    <row r="37" ht="56.25" customHeight="1">
      <c r="A37" s="23" t="s">
        <v>5582</v>
      </c>
      <c r="B37" s="15" t="str">
        <f>image("https://i.imgur.com/RZsW5np.png")</f>
        <v/>
      </c>
      <c r="C37" s="24">
        <v>2000.0</v>
      </c>
    </row>
    <row r="38" ht="56.25" customHeight="1">
      <c r="A38" s="13" t="s">
        <v>2457</v>
      </c>
      <c r="B38" s="15" t="str">
        <f>image("https://i.imgur.com/bK3wMxl.png")</f>
        <v/>
      </c>
      <c r="C38" s="13">
        <v>1000.0</v>
      </c>
    </row>
    <row r="39" ht="56.25" customHeight="1">
      <c r="A39" s="24" t="s">
        <v>5586</v>
      </c>
      <c r="B39" s="15" t="str">
        <f>image("https://i.imgur.com/zNdiVQF.png")</f>
        <v/>
      </c>
      <c r="C39" s="13"/>
    </row>
    <row r="40" ht="56.25" customHeight="1">
      <c r="A40" s="24" t="s">
        <v>737</v>
      </c>
      <c r="B40" s="15"/>
      <c r="C40" s="13">
        <v>1000.0</v>
      </c>
    </row>
    <row r="41" ht="56.25" customHeight="1">
      <c r="A41" s="24" t="s">
        <v>752</v>
      </c>
      <c r="B41" s="15"/>
      <c r="C41" s="13">
        <v>3000.0</v>
      </c>
    </row>
    <row r="42" ht="56.25" customHeight="1">
      <c r="A42" s="41" t="s">
        <v>968</v>
      </c>
      <c r="B42" s="15"/>
      <c r="C42" s="13">
        <v>2000.0</v>
      </c>
    </row>
    <row r="43" ht="56.25" customHeight="1">
      <c r="A43" s="41" t="s">
        <v>1448</v>
      </c>
      <c r="B43" s="15"/>
      <c r="C43" s="13">
        <v>1000.0</v>
      </c>
    </row>
    <row r="44" ht="56.25" customHeight="1">
      <c r="A44" s="41" t="s">
        <v>1452</v>
      </c>
      <c r="B44" s="15"/>
      <c r="C44" s="13">
        <v>5000.0</v>
      </c>
    </row>
    <row r="45" ht="56.25" customHeight="1">
      <c r="A45" s="41" t="s">
        <v>1523</v>
      </c>
      <c r="B45" s="15"/>
      <c r="C45" s="13">
        <v>5000.0</v>
      </c>
    </row>
    <row r="46" ht="56.25" customHeight="1">
      <c r="A46" s="41" t="s">
        <v>1613</v>
      </c>
      <c r="B46" s="15"/>
      <c r="C46" s="13">
        <v>4000.0</v>
      </c>
    </row>
    <row r="47" ht="56.25" customHeight="1">
      <c r="A47" s="41" t="s">
        <v>1617</v>
      </c>
      <c r="B47" s="15"/>
      <c r="C47" s="13">
        <v>2400.0</v>
      </c>
    </row>
    <row r="48" ht="56.25" customHeight="1">
      <c r="A48" s="41" t="s">
        <v>1629</v>
      </c>
      <c r="B48" s="15"/>
      <c r="C48" s="13">
        <v>2400.0</v>
      </c>
    </row>
    <row r="49" ht="56.25" customHeight="1">
      <c r="A49" s="41" t="s">
        <v>1652</v>
      </c>
      <c r="B49" s="15"/>
      <c r="C49" s="13">
        <v>3000.0</v>
      </c>
    </row>
    <row r="50" ht="56.25" customHeight="1">
      <c r="A50" s="41" t="s">
        <v>1658</v>
      </c>
      <c r="B50" s="15"/>
      <c r="C50" s="13">
        <v>5000.0</v>
      </c>
    </row>
    <row r="51" ht="56.25" customHeight="1">
      <c r="A51" s="41" t="s">
        <v>1665</v>
      </c>
      <c r="B51" s="15"/>
      <c r="C51" s="13">
        <v>1000.0</v>
      </c>
    </row>
    <row r="52" ht="56.25" customHeight="1">
      <c r="A52" s="41" t="s">
        <v>1667</v>
      </c>
      <c r="B52" s="15"/>
      <c r="C52" s="13">
        <v>2000.0</v>
      </c>
    </row>
    <row r="53" ht="56.25" customHeight="1">
      <c r="A53" s="41" t="s">
        <v>1828</v>
      </c>
      <c r="B53" s="15"/>
      <c r="C53" s="13">
        <v>2000.0</v>
      </c>
    </row>
    <row r="54" ht="56.25" customHeight="1">
      <c r="A54" s="41" t="s">
        <v>1830</v>
      </c>
      <c r="B54" s="15"/>
      <c r="C54" s="13">
        <v>4000.0</v>
      </c>
    </row>
    <row r="55" ht="56.25" customHeight="1">
      <c r="A55" s="41" t="s">
        <v>1835</v>
      </c>
      <c r="B55" s="15"/>
      <c r="C55" s="13">
        <v>4000.0</v>
      </c>
    </row>
    <row r="56" ht="56.25" customHeight="1">
      <c r="A56" s="41" t="s">
        <v>1852</v>
      </c>
      <c r="B56" s="15"/>
      <c r="C56" s="13">
        <v>2000.0</v>
      </c>
    </row>
    <row r="57" ht="56.25" customHeight="1">
      <c r="A57" s="41" t="s">
        <v>1896</v>
      </c>
      <c r="B57" s="15"/>
      <c r="C57" s="13">
        <v>1000.0</v>
      </c>
    </row>
    <row r="58" ht="56.25" customHeight="1">
      <c r="A58" s="41" t="s">
        <v>1923</v>
      </c>
      <c r="B58" s="15"/>
      <c r="C58" s="13">
        <v>5000.0</v>
      </c>
    </row>
    <row r="59" ht="56.25" customHeight="1">
      <c r="A59" s="41" t="s">
        <v>1964</v>
      </c>
      <c r="B59" s="15"/>
      <c r="C59" s="13">
        <v>2000.0</v>
      </c>
    </row>
    <row r="60" ht="56.25" customHeight="1">
      <c r="A60" s="41" t="s">
        <v>1994</v>
      </c>
      <c r="B60" s="15"/>
      <c r="C60" s="13">
        <v>1000.0</v>
      </c>
    </row>
    <row r="61" ht="56.25" customHeight="1">
      <c r="A61" s="41" t="s">
        <v>2024</v>
      </c>
      <c r="B61" s="15"/>
      <c r="C61" s="13">
        <v>4000.0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43"/>
    <col customWidth="1" min="2" max="2" width="10.86"/>
    <col customWidth="1" min="3" max="3" width="8.86"/>
    <col customWidth="1" min="4" max="4" width="4.14"/>
    <col customWidth="1" min="5" max="5" width="10.57"/>
    <col customWidth="1" min="6" max="6" width="7.14"/>
    <col customWidth="1" min="7" max="7" width="6.14"/>
    <col customWidth="1" min="8" max="8" width="10.57"/>
    <col customWidth="1" min="9" max="10" width="14.29"/>
    <col customWidth="1" min="11" max="11" width="6.86"/>
    <col customWidth="1" min="12" max="12" width="5.14"/>
    <col customWidth="1" min="13" max="13" width="13.43"/>
    <col customWidth="1" min="14" max="14" width="15.0"/>
    <col customWidth="1" min="15" max="15" width="13.43"/>
    <col customWidth="1" min="16" max="16" width="12.0"/>
    <col customWidth="1" min="17" max="17" width="13.0"/>
    <col customWidth="1" min="18" max="18" width="12.57"/>
    <col customWidth="1" min="19" max="19" width="14.14"/>
    <col customWidth="1" min="20" max="20" width="36.71"/>
    <col customWidth="1" min="21" max="21" width="12.43"/>
  </cols>
  <sheetData>
    <row r="1" ht="30.0" customHeight="1">
      <c r="A1" s="1" t="s">
        <v>0</v>
      </c>
      <c r="B1" s="3" t="s">
        <v>1</v>
      </c>
      <c r="C1" s="5" t="s">
        <v>3</v>
      </c>
      <c r="D1" s="3" t="s">
        <v>4</v>
      </c>
      <c r="E1" s="7" t="s">
        <v>5</v>
      </c>
      <c r="F1" s="1" t="s">
        <v>6</v>
      </c>
      <c r="G1" s="1" t="s">
        <v>7</v>
      </c>
      <c r="H1" s="7" t="s">
        <v>8</v>
      </c>
      <c r="I1" s="7" t="s">
        <v>9</v>
      </c>
      <c r="J1" s="7" t="s">
        <v>10</v>
      </c>
      <c r="K1" s="3" t="s">
        <v>11</v>
      </c>
      <c r="L1" s="7" t="s">
        <v>12</v>
      </c>
      <c r="M1" s="7" t="s">
        <v>13</v>
      </c>
      <c r="N1" s="7" t="s">
        <v>14</v>
      </c>
      <c r="O1" s="7" t="s">
        <v>15</v>
      </c>
      <c r="P1" s="7" t="s">
        <v>16</v>
      </c>
      <c r="Q1" s="7" t="s">
        <v>17</v>
      </c>
      <c r="R1" s="7" t="s">
        <v>18</v>
      </c>
      <c r="S1" s="7" t="s">
        <v>19</v>
      </c>
      <c r="T1" s="7" t="s">
        <v>20</v>
      </c>
      <c r="U1" s="7" t="s">
        <v>21</v>
      </c>
    </row>
    <row r="2" ht="56.25" customHeight="1">
      <c r="A2" s="13" t="s">
        <v>23</v>
      </c>
      <c r="B2" s="15" t="str">
        <f>image("https://i.imgur.com/ZYyKD6e.png")</f>
        <v/>
      </c>
      <c r="C2" s="17" t="str">
        <f>HYPERLINK("https://imgur.com/a/sDyoNXz","Yes")</f>
        <v>Yes</v>
      </c>
      <c r="D2" s="15" t="s">
        <v>28</v>
      </c>
      <c r="E2" s="19" t="s">
        <v>28</v>
      </c>
      <c r="F2" s="13">
        <v>1500.0</v>
      </c>
      <c r="G2" s="13">
        <v>375.0</v>
      </c>
      <c r="H2" s="15">
        <v>3948.0</v>
      </c>
      <c r="I2" s="15" t="s">
        <v>36</v>
      </c>
      <c r="J2" s="15" t="s">
        <v>37</v>
      </c>
      <c r="K2" s="15"/>
      <c r="L2" s="15" t="s">
        <v>38</v>
      </c>
      <c r="M2" s="15">
        <v>1.0</v>
      </c>
      <c r="N2" s="15" t="s">
        <v>39</v>
      </c>
      <c r="O2" s="15" t="s">
        <v>40</v>
      </c>
      <c r="P2" s="15" t="s">
        <v>40</v>
      </c>
      <c r="Q2" s="15" t="s">
        <v>41</v>
      </c>
      <c r="R2" s="15" t="s">
        <v>43</v>
      </c>
      <c r="S2" s="15" t="s">
        <v>44</v>
      </c>
      <c r="T2" s="19" t="s">
        <v>45</v>
      </c>
      <c r="U2" s="15" t="s">
        <v>46</v>
      </c>
    </row>
    <row r="3" ht="56.25" customHeight="1">
      <c r="A3" s="13" t="s">
        <v>47</v>
      </c>
      <c r="B3" s="15" t="str">
        <f>image("https://i.imgur.com/BMt6YN8.png")</f>
        <v/>
      </c>
      <c r="C3" s="15" t="s">
        <v>40</v>
      </c>
      <c r="D3" s="15" t="s">
        <v>28</v>
      </c>
      <c r="E3" s="19" t="s">
        <v>28</v>
      </c>
      <c r="F3" s="13">
        <v>35960.0</v>
      </c>
      <c r="G3" s="13">
        <v>8990.0</v>
      </c>
      <c r="H3" s="15"/>
      <c r="I3" s="15"/>
      <c r="J3" s="15"/>
      <c r="K3" s="15"/>
      <c r="L3" s="15" t="s">
        <v>38</v>
      </c>
      <c r="M3" s="15"/>
      <c r="N3" s="15"/>
      <c r="O3" s="15"/>
      <c r="P3" s="15"/>
      <c r="Q3" s="15"/>
      <c r="R3" s="15" t="s">
        <v>43</v>
      </c>
      <c r="S3" s="15" t="s">
        <v>48</v>
      </c>
      <c r="T3" s="19"/>
      <c r="U3" s="15" t="s">
        <v>46</v>
      </c>
    </row>
    <row r="4" ht="56.25" customHeight="1">
      <c r="A4" s="23" t="s">
        <v>49</v>
      </c>
      <c r="B4" s="23" t="str">
        <f>IMAGE("https://i.imgur.com/RkWmf7W.png")</f>
        <v/>
      </c>
      <c r="C4" s="25" t="s">
        <v>40</v>
      </c>
      <c r="D4" s="25" t="s">
        <v>28</v>
      </c>
      <c r="E4" s="25" t="s">
        <v>28</v>
      </c>
      <c r="F4" s="24" t="s">
        <v>51</v>
      </c>
      <c r="G4" s="13">
        <v>9000.0</v>
      </c>
      <c r="H4" s="15">
        <v>7080.0</v>
      </c>
      <c r="I4" s="15"/>
      <c r="J4" s="15"/>
      <c r="K4" s="15"/>
      <c r="L4" s="15" t="s">
        <v>38</v>
      </c>
      <c r="M4" s="15"/>
      <c r="N4" s="15" t="s">
        <v>39</v>
      </c>
      <c r="O4" s="15" t="s">
        <v>40</v>
      </c>
      <c r="P4" s="15" t="s">
        <v>40</v>
      </c>
      <c r="Q4" s="15" t="s">
        <v>41</v>
      </c>
      <c r="R4" s="15" t="s">
        <v>54</v>
      </c>
      <c r="S4" s="15" t="s">
        <v>57</v>
      </c>
      <c r="T4" s="19" t="s">
        <v>58</v>
      </c>
      <c r="U4" s="15" t="s">
        <v>46</v>
      </c>
    </row>
    <row r="5" ht="56.25" customHeight="1">
      <c r="A5" s="13" t="s">
        <v>59</v>
      </c>
      <c r="B5" s="15" t="str">
        <f>image("https://i.imgur.com/kvavVEJ.png")</f>
        <v/>
      </c>
      <c r="C5" s="17" t="str">
        <f>HYPERLINK("https://imgur.com/a/E1d1iIl","Yes")</f>
        <v>Yes</v>
      </c>
      <c r="D5" s="15" t="s">
        <v>28</v>
      </c>
      <c r="E5" s="19" t="s">
        <v>28</v>
      </c>
      <c r="F5" s="13">
        <v>100000.0</v>
      </c>
      <c r="G5" s="13">
        <v>25000.0</v>
      </c>
      <c r="H5" s="15">
        <v>7453.0</v>
      </c>
      <c r="I5" s="15" t="s">
        <v>61</v>
      </c>
      <c r="J5" s="15" t="s">
        <v>62</v>
      </c>
      <c r="K5" s="15"/>
      <c r="L5" s="15" t="s">
        <v>38</v>
      </c>
      <c r="M5" s="15">
        <v>7.0</v>
      </c>
      <c r="N5" s="15" t="s">
        <v>39</v>
      </c>
      <c r="O5" s="15" t="s">
        <v>40</v>
      </c>
      <c r="P5" s="15" t="s">
        <v>53</v>
      </c>
      <c r="Q5" s="15" t="s">
        <v>41</v>
      </c>
      <c r="R5" s="15" t="s">
        <v>43</v>
      </c>
      <c r="S5" s="15" t="s">
        <v>44</v>
      </c>
      <c r="T5" s="19" t="s">
        <v>65</v>
      </c>
      <c r="U5" s="15" t="s">
        <v>46</v>
      </c>
    </row>
    <row r="6" ht="56.25" customHeight="1">
      <c r="A6" s="13" t="s">
        <v>66</v>
      </c>
      <c r="B6" s="15" t="str">
        <f>image("https://i.imgur.com/VTEoxiR.png")</f>
        <v/>
      </c>
      <c r="C6" s="17" t="str">
        <f>HYPERLINK("https://imgur.com/a/kdbv6AF","Yes")</f>
        <v>Yes</v>
      </c>
      <c r="D6" s="15" t="s">
        <v>28</v>
      </c>
      <c r="E6" s="19" t="s">
        <v>28</v>
      </c>
      <c r="F6" s="13">
        <v>5100.0</v>
      </c>
      <c r="G6" s="13">
        <v>1275.0</v>
      </c>
      <c r="H6" s="15">
        <v>849.0</v>
      </c>
      <c r="I6" s="15" t="s">
        <v>67</v>
      </c>
      <c r="J6" s="15"/>
      <c r="K6" s="15"/>
      <c r="L6" s="15" t="s">
        <v>38</v>
      </c>
      <c r="M6" s="15">
        <v>2.0</v>
      </c>
      <c r="N6" s="15" t="s">
        <v>39</v>
      </c>
      <c r="O6" s="15" t="s">
        <v>40</v>
      </c>
      <c r="P6" s="15" t="s">
        <v>40</v>
      </c>
      <c r="Q6" s="15" t="s">
        <v>41</v>
      </c>
      <c r="R6" s="15" t="s">
        <v>43</v>
      </c>
      <c r="S6" s="15" t="s">
        <v>44</v>
      </c>
      <c r="T6" s="19" t="s">
        <v>45</v>
      </c>
      <c r="U6" s="15" t="s">
        <v>46</v>
      </c>
    </row>
    <row r="7" ht="56.25" customHeight="1">
      <c r="A7" s="13" t="s">
        <v>79</v>
      </c>
      <c r="B7" s="15" t="str">
        <f>image("https://i.imgur.com/qcrOikx.png")</f>
        <v/>
      </c>
      <c r="C7" s="17" t="str">
        <f>HYPERLINK("https://imgur.com/a/dqTAvOz","Yes")</f>
        <v>Yes</v>
      </c>
      <c r="D7" s="15" t="s">
        <v>28</v>
      </c>
      <c r="E7" s="19" t="s">
        <v>28</v>
      </c>
      <c r="F7" s="13">
        <v>1100.0</v>
      </c>
      <c r="G7" s="13">
        <v>275.0</v>
      </c>
      <c r="H7" s="15">
        <v>3993.0</v>
      </c>
      <c r="I7" s="15" t="s">
        <v>86</v>
      </c>
      <c r="J7" s="15" t="s">
        <v>37</v>
      </c>
      <c r="K7" s="15"/>
      <c r="L7" s="15" t="s">
        <v>38</v>
      </c>
      <c r="M7" s="15">
        <v>1.0</v>
      </c>
      <c r="N7" s="15" t="s">
        <v>39</v>
      </c>
      <c r="O7" s="15" t="s">
        <v>40</v>
      </c>
      <c r="P7" s="15" t="s">
        <v>53</v>
      </c>
      <c r="Q7" s="15" t="s">
        <v>41</v>
      </c>
      <c r="R7" s="15" t="s">
        <v>43</v>
      </c>
      <c r="S7" s="15" t="s">
        <v>44</v>
      </c>
      <c r="T7" s="19" t="s">
        <v>45</v>
      </c>
      <c r="U7" s="15" t="s">
        <v>46</v>
      </c>
    </row>
    <row r="8" ht="56.25" customHeight="1">
      <c r="A8" s="23" t="s">
        <v>93</v>
      </c>
      <c r="B8" s="32" t="str">
        <f>image("https://i.imgur.com/9N8K8cz.png")</f>
        <v/>
      </c>
      <c r="C8" s="25" t="s">
        <v>40</v>
      </c>
      <c r="D8" s="25" t="s">
        <v>28</v>
      </c>
      <c r="E8" s="25" t="s">
        <v>28</v>
      </c>
      <c r="F8" s="24" t="s">
        <v>51</v>
      </c>
      <c r="G8" s="13">
        <v>600.0</v>
      </c>
      <c r="H8" s="15">
        <v>6999.0</v>
      </c>
      <c r="I8" s="15"/>
      <c r="J8" s="15"/>
      <c r="K8" s="15"/>
      <c r="L8" s="15" t="s">
        <v>38</v>
      </c>
      <c r="M8" s="15"/>
      <c r="N8" s="15" t="s">
        <v>39</v>
      </c>
      <c r="O8" s="15" t="s">
        <v>40</v>
      </c>
      <c r="P8" s="15" t="s">
        <v>40</v>
      </c>
      <c r="Q8" s="15" t="s">
        <v>41</v>
      </c>
      <c r="R8" s="15" t="s">
        <v>54</v>
      </c>
      <c r="S8" s="15" t="s">
        <v>100</v>
      </c>
      <c r="T8" s="19" t="s">
        <v>101</v>
      </c>
      <c r="U8" s="15" t="s">
        <v>46</v>
      </c>
    </row>
    <row r="9" ht="56.25" customHeight="1">
      <c r="A9" s="23" t="s">
        <v>105</v>
      </c>
      <c r="B9" s="32" t="str">
        <f>image("https://i.imgur.com/zyGYFXi.png")</f>
        <v/>
      </c>
      <c r="C9" s="25" t="s">
        <v>40</v>
      </c>
      <c r="D9" s="25" t="s">
        <v>28</v>
      </c>
      <c r="E9" s="25" t="s">
        <v>28</v>
      </c>
      <c r="F9" s="24" t="s">
        <v>51</v>
      </c>
      <c r="G9" s="13">
        <v>9000.0</v>
      </c>
      <c r="H9" s="15">
        <v>6933.0</v>
      </c>
      <c r="I9" s="15"/>
      <c r="J9" s="15"/>
      <c r="K9" s="15"/>
      <c r="L9" s="15" t="s">
        <v>38</v>
      </c>
      <c r="M9" s="15"/>
      <c r="N9" s="15" t="s">
        <v>39</v>
      </c>
      <c r="O9" s="15" t="s">
        <v>40</v>
      </c>
      <c r="P9" s="15" t="s">
        <v>40</v>
      </c>
      <c r="Q9" s="15" t="s">
        <v>41</v>
      </c>
      <c r="R9" s="15" t="s">
        <v>54</v>
      </c>
      <c r="S9" s="15" t="s">
        <v>100</v>
      </c>
      <c r="T9" s="19" t="s">
        <v>101</v>
      </c>
      <c r="U9" s="15" t="s">
        <v>46</v>
      </c>
    </row>
    <row r="10" ht="56.25" customHeight="1">
      <c r="A10" s="13" t="s">
        <v>111</v>
      </c>
      <c r="B10" s="15" t="str">
        <f>image("https://i.imgur.com/63ADzUr.png")</f>
        <v/>
      </c>
      <c r="C10" s="25" t="s">
        <v>40</v>
      </c>
      <c r="D10" s="15" t="s">
        <v>28</v>
      </c>
      <c r="E10" s="19" t="s">
        <v>28</v>
      </c>
      <c r="F10" s="13">
        <v>1400.0</v>
      </c>
      <c r="G10" s="13">
        <v>350.0</v>
      </c>
      <c r="H10" s="15">
        <v>11866.0</v>
      </c>
      <c r="I10" s="15" t="s">
        <v>90</v>
      </c>
      <c r="J10" s="15" t="s">
        <v>113</v>
      </c>
      <c r="K10" s="15"/>
      <c r="L10" s="15" t="s">
        <v>38</v>
      </c>
      <c r="M10" s="15"/>
      <c r="N10" s="15" t="s">
        <v>39</v>
      </c>
      <c r="O10" s="15" t="s">
        <v>40</v>
      </c>
      <c r="P10" s="15" t="s">
        <v>40</v>
      </c>
      <c r="Q10" s="15" t="s">
        <v>41</v>
      </c>
      <c r="R10" s="15" t="s">
        <v>43</v>
      </c>
      <c r="S10" s="15" t="s">
        <v>44</v>
      </c>
      <c r="T10" s="19" t="s">
        <v>68</v>
      </c>
      <c r="U10" s="15" t="s">
        <v>46</v>
      </c>
    </row>
    <row r="11" ht="56.25" customHeight="1">
      <c r="A11" s="23" t="s">
        <v>117</v>
      </c>
      <c r="B11" s="23" t="str">
        <f>IMAGE("https://i.imgur.com/5UYKNRC.png")</f>
        <v/>
      </c>
      <c r="C11" s="25" t="s">
        <v>40</v>
      </c>
      <c r="D11" s="25" t="s">
        <v>28</v>
      </c>
      <c r="E11" s="25" t="s">
        <v>28</v>
      </c>
      <c r="F11" s="24" t="s">
        <v>51</v>
      </c>
      <c r="G11" s="13">
        <v>240.0</v>
      </c>
      <c r="H11" s="15">
        <v>7053.0</v>
      </c>
      <c r="I11" s="15"/>
      <c r="J11" s="15"/>
      <c r="K11" s="15"/>
      <c r="L11" s="15" t="s">
        <v>38</v>
      </c>
      <c r="M11" s="15"/>
      <c r="N11" s="15" t="s">
        <v>39</v>
      </c>
      <c r="O11" s="15" t="s">
        <v>40</v>
      </c>
      <c r="P11" s="15" t="s">
        <v>40</v>
      </c>
      <c r="Q11" s="15" t="s">
        <v>41</v>
      </c>
      <c r="R11" s="15" t="s">
        <v>54</v>
      </c>
      <c r="S11" s="15" t="s">
        <v>57</v>
      </c>
      <c r="T11" s="19" t="s">
        <v>58</v>
      </c>
      <c r="U11" s="15" t="s">
        <v>46</v>
      </c>
    </row>
    <row r="12" ht="56.25" customHeight="1">
      <c r="A12" s="13" t="s">
        <v>124</v>
      </c>
      <c r="B12" s="15" t="str">
        <f>image("https://i.imgur.com/G1OfOYh.png")</f>
        <v/>
      </c>
      <c r="C12" s="17" t="str">
        <f>HYPERLINK("https://imgur.com/a/T9iTU0r","Yes")</f>
        <v>Yes</v>
      </c>
      <c r="D12" s="15" t="s">
        <v>28</v>
      </c>
      <c r="E12" s="19" t="s">
        <v>28</v>
      </c>
      <c r="F12" s="13">
        <v>990.0</v>
      </c>
      <c r="G12" s="24">
        <v>247.0</v>
      </c>
      <c r="H12" s="15">
        <v>3949.0</v>
      </c>
      <c r="I12" s="15" t="s">
        <v>60</v>
      </c>
      <c r="J12" s="15"/>
      <c r="K12" s="15"/>
      <c r="L12" s="15" t="s">
        <v>38</v>
      </c>
      <c r="M12" s="15">
        <v>1.0</v>
      </c>
      <c r="N12" s="15" t="s">
        <v>39</v>
      </c>
      <c r="O12" s="15" t="s">
        <v>40</v>
      </c>
      <c r="P12" s="15" t="s">
        <v>40</v>
      </c>
      <c r="Q12" s="15" t="s">
        <v>41</v>
      </c>
      <c r="R12" s="15" t="s">
        <v>43</v>
      </c>
      <c r="S12" s="15" t="s">
        <v>44</v>
      </c>
      <c r="T12" s="19" t="s">
        <v>45</v>
      </c>
      <c r="U12" s="15" t="s">
        <v>46</v>
      </c>
    </row>
    <row r="13" ht="56.25" customHeight="1">
      <c r="A13" s="23" t="s">
        <v>128</v>
      </c>
      <c r="B13" s="32" t="str">
        <f>image("https://i.imgur.com/jfq8IZH.png")</f>
        <v/>
      </c>
      <c r="C13" s="25" t="s">
        <v>40</v>
      </c>
      <c r="D13" s="25" t="s">
        <v>28</v>
      </c>
      <c r="E13" s="25" t="s">
        <v>28</v>
      </c>
      <c r="F13" s="24" t="s">
        <v>51</v>
      </c>
      <c r="G13" s="13">
        <v>30000.0</v>
      </c>
      <c r="H13" s="15">
        <v>7006.0</v>
      </c>
      <c r="I13" s="15"/>
      <c r="J13" s="15"/>
      <c r="K13" s="15"/>
      <c r="L13" s="15" t="s">
        <v>130</v>
      </c>
      <c r="M13" s="15"/>
      <c r="N13" s="15" t="s">
        <v>39</v>
      </c>
      <c r="O13" s="15" t="s">
        <v>40</v>
      </c>
      <c r="P13" s="15" t="s">
        <v>40</v>
      </c>
      <c r="Q13" s="15" t="s">
        <v>41</v>
      </c>
      <c r="R13" s="15" t="s">
        <v>54</v>
      </c>
      <c r="S13" s="15" t="s">
        <v>100</v>
      </c>
      <c r="T13" s="19" t="s">
        <v>101</v>
      </c>
      <c r="U13" s="15" t="s">
        <v>46</v>
      </c>
    </row>
    <row r="14" ht="56.25" customHeight="1">
      <c r="A14" s="13" t="s">
        <v>131</v>
      </c>
      <c r="B14" s="15" t="str">
        <f>image("https://i.imgur.com/c0fdBcO.png")</f>
        <v/>
      </c>
      <c r="C14" s="33" t="str">
        <f>HYPERLINK("https://imgur.com/a/IRREQbe","Yes")</f>
        <v>Yes</v>
      </c>
      <c r="D14" s="15" t="s">
        <v>50</v>
      </c>
      <c r="E14" s="19" t="s">
        <v>50</v>
      </c>
      <c r="F14" s="13" t="s">
        <v>51</v>
      </c>
      <c r="G14" s="13">
        <v>600.0</v>
      </c>
      <c r="H14" s="15">
        <v>1753.0</v>
      </c>
      <c r="I14" s="15" t="s">
        <v>60</v>
      </c>
      <c r="J14" s="15"/>
      <c r="K14" s="15"/>
      <c r="L14" s="15" t="s">
        <v>38</v>
      </c>
      <c r="M14" s="15">
        <v>1.0</v>
      </c>
      <c r="N14" s="15" t="s">
        <v>39</v>
      </c>
      <c r="O14" s="15" t="s">
        <v>40</v>
      </c>
      <c r="P14" s="15" t="s">
        <v>53</v>
      </c>
      <c r="Q14" s="15" t="s">
        <v>41</v>
      </c>
      <c r="R14" s="15" t="s">
        <v>54</v>
      </c>
      <c r="S14" s="15" t="s">
        <v>55</v>
      </c>
      <c r="T14" s="19"/>
      <c r="U14" s="15" t="s">
        <v>46</v>
      </c>
    </row>
    <row r="15" ht="56.25" customHeight="1">
      <c r="A15" s="23" t="s">
        <v>139</v>
      </c>
      <c r="B15" s="32" t="str">
        <f>image("https://i.imgur.com/EzQZJsN.png")</f>
        <v/>
      </c>
      <c r="C15" s="25" t="s">
        <v>40</v>
      </c>
      <c r="D15" s="25" t="s">
        <v>28</v>
      </c>
      <c r="E15" s="25" t="s">
        <v>28</v>
      </c>
      <c r="F15" s="24" t="s">
        <v>51</v>
      </c>
      <c r="G15" s="13">
        <v>30000.0</v>
      </c>
      <c r="H15" s="15">
        <v>6935.0</v>
      </c>
      <c r="I15" s="15"/>
      <c r="J15" s="15"/>
      <c r="K15" s="15"/>
      <c r="L15" s="15" t="s">
        <v>38</v>
      </c>
      <c r="M15" s="15"/>
      <c r="N15" s="15" t="s">
        <v>39</v>
      </c>
      <c r="O15" s="15" t="s">
        <v>40</v>
      </c>
      <c r="P15" s="15" t="s">
        <v>40</v>
      </c>
      <c r="Q15" s="15" t="s">
        <v>41</v>
      </c>
      <c r="R15" s="15" t="s">
        <v>54</v>
      </c>
      <c r="S15" s="15" t="s">
        <v>100</v>
      </c>
      <c r="T15" s="19" t="s">
        <v>101</v>
      </c>
      <c r="U15" s="15" t="s">
        <v>46</v>
      </c>
    </row>
    <row r="16" ht="56.25" customHeight="1">
      <c r="A16" s="13" t="s">
        <v>144</v>
      </c>
      <c r="B16" s="15" t="str">
        <f>image("https://i.imgur.com/hNGHeih.png")</f>
        <v/>
      </c>
      <c r="C16" s="17" t="str">
        <f>HYPERLINK("https://imgur.com/a/ZtDTWwx","Yes")</f>
        <v>Yes</v>
      </c>
      <c r="D16" s="15" t="s">
        <v>28</v>
      </c>
      <c r="E16" s="19" t="s">
        <v>50</v>
      </c>
      <c r="F16" s="13">
        <v>1800.0</v>
      </c>
      <c r="G16" s="13">
        <v>450.0</v>
      </c>
      <c r="H16" s="15">
        <v>1501.0</v>
      </c>
      <c r="I16" s="15" t="s">
        <v>36</v>
      </c>
      <c r="J16" s="15" t="s">
        <v>113</v>
      </c>
      <c r="K16" s="15"/>
      <c r="L16" s="15" t="s">
        <v>38</v>
      </c>
      <c r="M16" s="15">
        <v>1.0</v>
      </c>
      <c r="N16" s="15" t="s">
        <v>39</v>
      </c>
      <c r="O16" s="15" t="s">
        <v>40</v>
      </c>
      <c r="P16" s="15" t="s">
        <v>40</v>
      </c>
      <c r="Q16" s="15" t="s">
        <v>41</v>
      </c>
      <c r="R16" s="15" t="s">
        <v>43</v>
      </c>
      <c r="S16" s="15" t="s">
        <v>44</v>
      </c>
      <c r="T16" s="19" t="s">
        <v>45</v>
      </c>
      <c r="U16" s="15" t="s">
        <v>46</v>
      </c>
    </row>
    <row r="17" ht="56.25" customHeight="1">
      <c r="A17" s="13" t="s">
        <v>146</v>
      </c>
      <c r="B17" s="15" t="str">
        <f>image("https://i.imgur.com/qESmNb9.png")</f>
        <v/>
      </c>
      <c r="C17" s="25" t="s">
        <v>40</v>
      </c>
      <c r="D17" s="15" t="s">
        <v>28</v>
      </c>
      <c r="E17" s="19" t="s">
        <v>28</v>
      </c>
      <c r="F17" s="13">
        <v>1800.0</v>
      </c>
      <c r="G17" s="13">
        <v>450.0</v>
      </c>
      <c r="H17" s="15">
        <v>9698.0</v>
      </c>
      <c r="I17" s="15" t="s">
        <v>36</v>
      </c>
      <c r="J17" s="15" t="s">
        <v>113</v>
      </c>
      <c r="K17" s="15"/>
      <c r="L17" s="15" t="s">
        <v>38</v>
      </c>
      <c r="M17" s="15"/>
      <c r="N17" s="15" t="s">
        <v>39</v>
      </c>
      <c r="O17" s="15" t="s">
        <v>40</v>
      </c>
      <c r="P17" s="15" t="s">
        <v>40</v>
      </c>
      <c r="Q17" s="15" t="s">
        <v>41</v>
      </c>
      <c r="R17" s="15" t="s">
        <v>43</v>
      </c>
      <c r="S17" s="15" t="s">
        <v>44</v>
      </c>
      <c r="T17" s="19" t="s">
        <v>45</v>
      </c>
      <c r="U17" s="15" t="s">
        <v>46</v>
      </c>
    </row>
    <row r="18" ht="56.25" customHeight="1">
      <c r="A18" s="23" t="s">
        <v>150</v>
      </c>
      <c r="B18" s="23" t="str">
        <f>IMAGE("https://i.imgur.com/Fg4R6sS.png")</f>
        <v/>
      </c>
      <c r="C18" s="25" t="s">
        <v>40</v>
      </c>
      <c r="D18" s="25" t="s">
        <v>28</v>
      </c>
      <c r="E18" s="25" t="s">
        <v>28</v>
      </c>
      <c r="F18" s="24" t="s">
        <v>51</v>
      </c>
      <c r="G18" s="13">
        <v>1800.0</v>
      </c>
      <c r="H18" s="15">
        <v>7082.0</v>
      </c>
      <c r="I18" s="15"/>
      <c r="J18" s="15"/>
      <c r="K18" s="15"/>
      <c r="L18" s="15" t="s">
        <v>38</v>
      </c>
      <c r="M18" s="15"/>
      <c r="N18" s="15" t="s">
        <v>39</v>
      </c>
      <c r="O18" s="15" t="s">
        <v>40</v>
      </c>
      <c r="P18" s="15" t="s">
        <v>40</v>
      </c>
      <c r="Q18" s="15" t="s">
        <v>41</v>
      </c>
      <c r="R18" s="15" t="s">
        <v>54</v>
      </c>
      <c r="S18" s="15" t="s">
        <v>57</v>
      </c>
      <c r="T18" s="19" t="s">
        <v>58</v>
      </c>
      <c r="U18" s="15" t="s">
        <v>46</v>
      </c>
    </row>
    <row r="19" ht="56.25" customHeight="1">
      <c r="A19" s="13" t="s">
        <v>153</v>
      </c>
      <c r="B19" s="15" t="str">
        <f>image("https://i.imgur.com/cItiwX5.png")</f>
        <v/>
      </c>
      <c r="C19" s="17" t="str">
        <f>HYPERLINK("https://imgur.com/a/f3FbDVT","Yes")</f>
        <v>Yes</v>
      </c>
      <c r="D19" s="15" t="s">
        <v>28</v>
      </c>
      <c r="E19" s="19" t="s">
        <v>28</v>
      </c>
      <c r="F19" s="24">
        <v>520.0</v>
      </c>
      <c r="G19" s="13">
        <v>130.0</v>
      </c>
      <c r="H19" s="15">
        <v>2010.0</v>
      </c>
      <c r="I19" s="15" t="s">
        <v>156</v>
      </c>
      <c r="J19" s="15" t="s">
        <v>80</v>
      </c>
      <c r="K19" s="15"/>
      <c r="L19" s="15" t="s">
        <v>38</v>
      </c>
      <c r="M19" s="15">
        <v>1.0</v>
      </c>
      <c r="N19" s="15" t="s">
        <v>39</v>
      </c>
      <c r="O19" s="15" t="s">
        <v>40</v>
      </c>
      <c r="P19" s="15" t="s">
        <v>53</v>
      </c>
      <c r="Q19" s="15" t="s">
        <v>41</v>
      </c>
      <c r="R19" s="15" t="s">
        <v>43</v>
      </c>
      <c r="S19" s="15" t="s">
        <v>44</v>
      </c>
      <c r="T19" s="19" t="s">
        <v>45</v>
      </c>
      <c r="U19" s="15" t="s">
        <v>46</v>
      </c>
    </row>
    <row r="20" ht="56.25" customHeight="1">
      <c r="A20" s="13" t="s">
        <v>159</v>
      </c>
      <c r="B20" s="15" t="str">
        <f>image("https://i.imgur.com/EYx0Qhn.png")</f>
        <v/>
      </c>
      <c r="C20" s="17" t="str">
        <f>HYPERLINK("https://imgur.com/a/FYFN17n","Yes")</f>
        <v>Yes</v>
      </c>
      <c r="D20" s="15" t="s">
        <v>50</v>
      </c>
      <c r="E20" s="19" t="s">
        <v>50</v>
      </c>
      <c r="F20" s="13" t="s">
        <v>51</v>
      </c>
      <c r="G20" s="13">
        <v>880.0</v>
      </c>
      <c r="H20" s="15">
        <v>3554.0</v>
      </c>
      <c r="I20" s="15" t="s">
        <v>161</v>
      </c>
      <c r="J20" s="15"/>
      <c r="K20" s="15"/>
      <c r="L20" s="15" t="s">
        <v>38</v>
      </c>
      <c r="M20" s="15">
        <v>2.0</v>
      </c>
      <c r="N20" s="15" t="s">
        <v>39</v>
      </c>
      <c r="O20" s="15" t="s">
        <v>40</v>
      </c>
      <c r="P20" s="15" t="s">
        <v>53</v>
      </c>
      <c r="Q20" s="15" t="s">
        <v>164</v>
      </c>
      <c r="R20" s="15" t="s">
        <v>54</v>
      </c>
      <c r="S20" s="15" t="s">
        <v>55</v>
      </c>
      <c r="T20" s="19"/>
      <c r="U20" s="15" t="s">
        <v>46</v>
      </c>
    </row>
    <row r="21" ht="56.25" customHeight="1">
      <c r="A21" s="13" t="s">
        <v>165</v>
      </c>
      <c r="B21" s="15" t="str">
        <f>image("https://i.imgur.com/zU08lSH.png")</f>
        <v/>
      </c>
      <c r="C21" s="17" t="str">
        <f>HYPERLINK("https://imgur.com/a/91WSk5C","Yes")</f>
        <v>Yes</v>
      </c>
      <c r="D21" s="15" t="s">
        <v>50</v>
      </c>
      <c r="E21" s="19" t="s">
        <v>50</v>
      </c>
      <c r="F21" s="13" t="s">
        <v>51</v>
      </c>
      <c r="G21" s="13">
        <v>720.0</v>
      </c>
      <c r="H21" s="15">
        <v>4093.0</v>
      </c>
      <c r="I21" s="15" t="s">
        <v>161</v>
      </c>
      <c r="J21" s="15"/>
      <c r="K21" s="15"/>
      <c r="L21" s="15" t="s">
        <v>38</v>
      </c>
      <c r="M21" s="15">
        <v>1.0</v>
      </c>
      <c r="N21" s="15" t="s">
        <v>39</v>
      </c>
      <c r="O21" s="15" t="s">
        <v>40</v>
      </c>
      <c r="P21" s="15" t="s">
        <v>53</v>
      </c>
      <c r="Q21" s="15" t="s">
        <v>41</v>
      </c>
      <c r="R21" s="15" t="s">
        <v>54</v>
      </c>
      <c r="S21" s="15" t="s">
        <v>55</v>
      </c>
      <c r="T21" s="19"/>
      <c r="U21" s="15" t="s">
        <v>46</v>
      </c>
    </row>
    <row r="22" ht="56.25" customHeight="1">
      <c r="A22" s="13" t="s">
        <v>167</v>
      </c>
      <c r="B22" s="15" t="str">
        <f>image("https://i.imgur.com/qmT5aSF.png")</f>
        <v/>
      </c>
      <c r="C22" s="17" t="str">
        <f>HYPERLINK("https://imgur.com/a/eLiY8rd","Yes")</f>
        <v>Yes</v>
      </c>
      <c r="D22" s="15" t="s">
        <v>50</v>
      </c>
      <c r="E22" s="19" t="s">
        <v>50</v>
      </c>
      <c r="F22" s="13" t="s">
        <v>51</v>
      </c>
      <c r="G22" s="13">
        <v>640.0</v>
      </c>
      <c r="H22" s="15">
        <v>5978.0</v>
      </c>
      <c r="I22" s="15" t="s">
        <v>161</v>
      </c>
      <c r="J22" s="15"/>
      <c r="K22" s="15"/>
      <c r="L22" s="15" t="s">
        <v>38</v>
      </c>
      <c r="M22" s="15">
        <v>1.0</v>
      </c>
      <c r="N22" s="15" t="s">
        <v>39</v>
      </c>
      <c r="O22" s="15" t="s">
        <v>40</v>
      </c>
      <c r="P22" s="15" t="s">
        <v>40</v>
      </c>
      <c r="Q22" s="15" t="s">
        <v>41</v>
      </c>
      <c r="R22" s="15" t="s">
        <v>54</v>
      </c>
      <c r="S22" s="15" t="s">
        <v>55</v>
      </c>
      <c r="T22" s="19"/>
      <c r="U22" s="15" t="s">
        <v>46</v>
      </c>
    </row>
    <row r="23" ht="56.25" customHeight="1">
      <c r="A23" s="13" t="s">
        <v>174</v>
      </c>
      <c r="B23" s="15" t="str">
        <f>image("https://i.imgur.com/2IoVZDs.png")</f>
        <v/>
      </c>
      <c r="C23" s="17" t="str">
        <f>HYPERLINK("https://imgur.com/a/rfynUaJ","Yes")</f>
        <v>Yes</v>
      </c>
      <c r="D23" s="15" t="s">
        <v>50</v>
      </c>
      <c r="E23" s="15" t="s">
        <v>50</v>
      </c>
      <c r="F23" s="13" t="s">
        <v>51</v>
      </c>
      <c r="G23" s="13">
        <v>480.0</v>
      </c>
      <c r="H23" s="15">
        <v>5976.0</v>
      </c>
      <c r="I23" s="15" t="s">
        <v>161</v>
      </c>
      <c r="J23" s="15"/>
      <c r="K23" s="15"/>
      <c r="L23" s="15" t="s">
        <v>38</v>
      </c>
      <c r="M23" s="15">
        <v>1.0</v>
      </c>
      <c r="N23" s="15" t="s">
        <v>39</v>
      </c>
      <c r="O23" s="15" t="s">
        <v>40</v>
      </c>
      <c r="P23" s="15" t="s">
        <v>40</v>
      </c>
      <c r="Q23" s="15" t="s">
        <v>41</v>
      </c>
      <c r="R23" s="15" t="s">
        <v>54</v>
      </c>
      <c r="S23" s="15" t="s">
        <v>55</v>
      </c>
      <c r="T23" s="19"/>
      <c r="U23" s="15" t="s">
        <v>46</v>
      </c>
    </row>
    <row r="24" ht="56.25" customHeight="1">
      <c r="A24" s="13" t="s">
        <v>181</v>
      </c>
      <c r="B24" s="15" t="str">
        <f>image("https://i.imgur.com/r5d8sWx.png")</f>
        <v/>
      </c>
      <c r="C24" s="25" t="s">
        <v>40</v>
      </c>
      <c r="D24" s="15" t="s">
        <v>50</v>
      </c>
      <c r="E24" s="19" t="s">
        <v>28</v>
      </c>
      <c r="F24" s="13" t="s">
        <v>51</v>
      </c>
      <c r="G24" s="13">
        <v>4900.0</v>
      </c>
      <c r="H24" s="15">
        <v>5977.0</v>
      </c>
      <c r="I24" s="15" t="s">
        <v>161</v>
      </c>
      <c r="J24" s="15"/>
      <c r="K24" s="15"/>
      <c r="L24" s="15" t="s">
        <v>38</v>
      </c>
      <c r="M24" s="15"/>
      <c r="N24" s="15" t="s">
        <v>39</v>
      </c>
      <c r="O24" s="15" t="s">
        <v>40</v>
      </c>
      <c r="P24" s="15" t="s">
        <v>53</v>
      </c>
      <c r="Q24" s="15" t="s">
        <v>186</v>
      </c>
      <c r="R24" s="15" t="s">
        <v>54</v>
      </c>
      <c r="S24" s="15" t="s">
        <v>55</v>
      </c>
      <c r="T24" s="19" t="s">
        <v>172</v>
      </c>
      <c r="U24" s="15" t="s">
        <v>46</v>
      </c>
    </row>
    <row r="25" ht="56.25" customHeight="1">
      <c r="A25" s="23" t="s">
        <v>188</v>
      </c>
      <c r="B25" s="32" t="str">
        <f>image("https://i.imgur.com/8QwjvO3.png")</f>
        <v/>
      </c>
      <c r="C25" s="25" t="s">
        <v>40</v>
      </c>
      <c r="D25" s="25" t="s">
        <v>28</v>
      </c>
      <c r="E25" s="25" t="s">
        <v>28</v>
      </c>
      <c r="F25" s="24" t="s">
        <v>51</v>
      </c>
      <c r="G25" s="13">
        <v>15000.0</v>
      </c>
      <c r="H25" s="15">
        <v>6959.0</v>
      </c>
      <c r="I25" s="15"/>
      <c r="J25" s="15"/>
      <c r="K25" s="15"/>
      <c r="L25" s="15" t="s">
        <v>38</v>
      </c>
      <c r="M25" s="15"/>
      <c r="N25" s="15" t="s">
        <v>39</v>
      </c>
      <c r="O25" s="15" t="s">
        <v>40</v>
      </c>
      <c r="P25" s="15" t="s">
        <v>40</v>
      </c>
      <c r="Q25" s="15" t="s">
        <v>41</v>
      </c>
      <c r="R25" s="15" t="s">
        <v>54</v>
      </c>
      <c r="S25" s="15" t="s">
        <v>100</v>
      </c>
      <c r="T25" s="19" t="s">
        <v>101</v>
      </c>
      <c r="U25" s="15" t="s">
        <v>46</v>
      </c>
    </row>
    <row r="26" ht="56.25" customHeight="1">
      <c r="A26" s="23" t="s">
        <v>192</v>
      </c>
      <c r="B26" s="32" t="str">
        <f>image("https://i.imgur.com/QZCJ3UE.png")</f>
        <v/>
      </c>
      <c r="C26" s="25" t="s">
        <v>40</v>
      </c>
      <c r="D26" s="25" t="s">
        <v>28</v>
      </c>
      <c r="E26" s="25" t="s">
        <v>28</v>
      </c>
      <c r="F26" s="24" t="s">
        <v>51</v>
      </c>
      <c r="G26" s="13">
        <v>45000.0</v>
      </c>
      <c r="H26" s="15">
        <v>6943.0</v>
      </c>
      <c r="I26" s="15"/>
      <c r="J26" s="15"/>
      <c r="K26" s="15"/>
      <c r="L26" s="15" t="s">
        <v>38</v>
      </c>
      <c r="M26" s="15"/>
      <c r="N26" s="15" t="s">
        <v>39</v>
      </c>
      <c r="O26" s="15" t="s">
        <v>40</v>
      </c>
      <c r="P26" s="15" t="s">
        <v>40</v>
      </c>
      <c r="Q26" s="15" t="s">
        <v>41</v>
      </c>
      <c r="R26" s="15" t="s">
        <v>54</v>
      </c>
      <c r="S26" s="15" t="s">
        <v>100</v>
      </c>
      <c r="T26" s="19" t="s">
        <v>101</v>
      </c>
      <c r="U26" s="15" t="s">
        <v>46</v>
      </c>
    </row>
    <row r="27" ht="56.25" customHeight="1">
      <c r="A27" s="13" t="s">
        <v>198</v>
      </c>
      <c r="B27" s="15" t="str">
        <f>image("https://i.imgur.com/uz5Ho7l.png")</f>
        <v/>
      </c>
      <c r="C27" s="17" t="str">
        <f>HYPERLINK("https://imgur.com/a/YFaLeeK","Yes")</f>
        <v>Yes</v>
      </c>
      <c r="D27" s="15" t="s">
        <v>28</v>
      </c>
      <c r="E27" s="19" t="s">
        <v>28</v>
      </c>
      <c r="F27" s="13">
        <v>430.0</v>
      </c>
      <c r="G27" s="24">
        <v>107.0</v>
      </c>
      <c r="H27" s="15">
        <v>9584.0</v>
      </c>
      <c r="I27" s="15" t="s">
        <v>84</v>
      </c>
      <c r="J27" s="15"/>
      <c r="K27" s="15"/>
      <c r="L27" s="15" t="s">
        <v>38</v>
      </c>
      <c r="M27" s="15">
        <v>1.0</v>
      </c>
      <c r="N27" s="15" t="s">
        <v>39</v>
      </c>
      <c r="O27" s="15" t="s">
        <v>40</v>
      </c>
      <c r="P27" s="15" t="s">
        <v>53</v>
      </c>
      <c r="Q27" s="15" t="s">
        <v>41</v>
      </c>
      <c r="R27" s="15" t="s">
        <v>43</v>
      </c>
      <c r="S27" s="15" t="s">
        <v>44</v>
      </c>
      <c r="T27" s="19" t="s">
        <v>202</v>
      </c>
      <c r="U27" s="15" t="s">
        <v>46</v>
      </c>
    </row>
    <row r="28" ht="56.25" customHeight="1">
      <c r="A28" s="23" t="s">
        <v>203</v>
      </c>
      <c r="B28" s="23" t="str">
        <f>IMAGE("https://i.imgur.com/KHN2QbR.png")</f>
        <v/>
      </c>
      <c r="C28" s="25" t="s">
        <v>40</v>
      </c>
      <c r="D28" s="25" t="s">
        <v>28</v>
      </c>
      <c r="E28" s="25" t="s">
        <v>28</v>
      </c>
      <c r="F28" s="24" t="s">
        <v>51</v>
      </c>
      <c r="G28" s="13">
        <v>1290.0</v>
      </c>
      <c r="H28" s="15">
        <v>7096.0</v>
      </c>
      <c r="I28" s="15"/>
      <c r="J28" s="15"/>
      <c r="K28" s="15"/>
      <c r="L28" s="15" t="s">
        <v>38</v>
      </c>
      <c r="M28" s="15"/>
      <c r="N28" s="15" t="s">
        <v>39</v>
      </c>
      <c r="O28" s="15" t="s">
        <v>40</v>
      </c>
      <c r="P28" s="15" t="s">
        <v>40</v>
      </c>
      <c r="Q28" s="15" t="s">
        <v>41</v>
      </c>
      <c r="R28" s="15" t="s">
        <v>54</v>
      </c>
      <c r="S28" s="15" t="s">
        <v>57</v>
      </c>
      <c r="T28" s="19" t="s">
        <v>58</v>
      </c>
      <c r="U28" s="15" t="s">
        <v>46</v>
      </c>
    </row>
    <row r="29" ht="56.25" customHeight="1">
      <c r="A29" s="23" t="s">
        <v>207</v>
      </c>
      <c r="B29" s="32" t="str">
        <f>image("https://i.imgur.com/GqKdGpw.png")</f>
        <v/>
      </c>
      <c r="C29" s="25" t="s">
        <v>40</v>
      </c>
      <c r="D29" s="25" t="s">
        <v>28</v>
      </c>
      <c r="E29" s="25" t="s">
        <v>28</v>
      </c>
      <c r="F29" s="24" t="s">
        <v>51</v>
      </c>
      <c r="G29" s="13">
        <v>7500.0</v>
      </c>
      <c r="H29" s="15">
        <v>6937.0</v>
      </c>
      <c r="I29" s="15"/>
      <c r="J29" s="15"/>
      <c r="K29" s="15"/>
      <c r="L29" s="15" t="s">
        <v>38</v>
      </c>
      <c r="M29" s="15"/>
      <c r="N29" s="15" t="s">
        <v>39</v>
      </c>
      <c r="O29" s="15" t="s">
        <v>40</v>
      </c>
      <c r="P29" s="15" t="s">
        <v>40</v>
      </c>
      <c r="Q29" s="15" t="s">
        <v>41</v>
      </c>
      <c r="R29" s="15" t="s">
        <v>54</v>
      </c>
      <c r="S29" s="15" t="s">
        <v>100</v>
      </c>
      <c r="T29" s="19" t="s">
        <v>101</v>
      </c>
      <c r="U29" s="15" t="s">
        <v>46</v>
      </c>
    </row>
    <row r="30" ht="56.25" customHeight="1">
      <c r="A30" s="13" t="s">
        <v>210</v>
      </c>
      <c r="B30" s="15" t="str">
        <f>image("https://i.imgur.com/15NE8fX.png")</f>
        <v/>
      </c>
      <c r="C30" s="25" t="s">
        <v>40</v>
      </c>
      <c r="D30" s="15" t="s">
        <v>28</v>
      </c>
      <c r="E30" s="19" t="s">
        <v>28</v>
      </c>
      <c r="F30" s="13">
        <v>1000.0</v>
      </c>
      <c r="G30" s="13">
        <v>250.0</v>
      </c>
      <c r="H30" s="15">
        <v>864.0</v>
      </c>
      <c r="I30" s="15" t="s">
        <v>212</v>
      </c>
      <c r="J30" s="15"/>
      <c r="K30" s="15"/>
      <c r="L30" s="15" t="s">
        <v>38</v>
      </c>
      <c r="M30" s="15"/>
      <c r="N30" s="15" t="s">
        <v>39</v>
      </c>
      <c r="O30" s="15" t="s">
        <v>40</v>
      </c>
      <c r="P30" s="15" t="s">
        <v>53</v>
      </c>
      <c r="Q30" s="15" t="s">
        <v>41</v>
      </c>
      <c r="R30" s="15" t="s">
        <v>43</v>
      </c>
      <c r="S30" s="15" t="s">
        <v>44</v>
      </c>
      <c r="T30" s="19" t="s">
        <v>45</v>
      </c>
      <c r="U30" s="15" t="s">
        <v>46</v>
      </c>
    </row>
    <row r="31" ht="56.25" customHeight="1">
      <c r="A31" s="13" t="s">
        <v>214</v>
      </c>
      <c r="B31" s="15" t="str">
        <f>image("https://i.imgur.com/ujsR2J8.png")</f>
        <v/>
      </c>
      <c r="C31" s="17" t="str">
        <f>HYPERLINK("https://imgur.com/a/VOlA3vN","Yes")</f>
        <v>Yes</v>
      </c>
      <c r="D31" s="25" t="s">
        <v>28</v>
      </c>
      <c r="E31" s="15"/>
      <c r="F31" s="13" t="s">
        <v>51</v>
      </c>
      <c r="G31" s="13">
        <v>100.0</v>
      </c>
      <c r="H31" s="15">
        <v>3592.0</v>
      </c>
      <c r="I31" s="15" t="s">
        <v>212</v>
      </c>
      <c r="J31" s="15" t="s">
        <v>36</v>
      </c>
      <c r="K31" s="15"/>
      <c r="L31" s="15" t="s">
        <v>38</v>
      </c>
      <c r="M31" s="15">
        <v>1.0</v>
      </c>
      <c r="N31" s="15" t="s">
        <v>39</v>
      </c>
      <c r="O31" s="15" t="s">
        <v>40</v>
      </c>
      <c r="P31" s="15" t="s">
        <v>53</v>
      </c>
      <c r="Q31" s="15" t="s">
        <v>164</v>
      </c>
      <c r="R31" s="15" t="s">
        <v>54</v>
      </c>
      <c r="S31" s="15" t="s">
        <v>220</v>
      </c>
      <c r="T31" s="19"/>
      <c r="U31" s="15" t="s">
        <v>46</v>
      </c>
    </row>
    <row r="32" ht="56.25" customHeight="1">
      <c r="A32" s="13" t="s">
        <v>221</v>
      </c>
      <c r="B32" s="15" t="str">
        <f>image("https://i.imgur.com/Ry1TLTt.png")</f>
        <v/>
      </c>
      <c r="C32" s="17" t="str">
        <f>HYPERLINK("https://imgur.com/a/mzCcQqj","Yes")</f>
        <v>Yes</v>
      </c>
      <c r="D32" s="25" t="s">
        <v>28</v>
      </c>
      <c r="E32" s="15"/>
      <c r="F32" s="13" t="s">
        <v>51</v>
      </c>
      <c r="G32" s="13">
        <v>300.0</v>
      </c>
      <c r="H32" s="15">
        <v>3591.0</v>
      </c>
      <c r="I32" s="15" t="s">
        <v>212</v>
      </c>
      <c r="J32" s="15" t="s">
        <v>36</v>
      </c>
      <c r="K32" s="15"/>
      <c r="L32" s="15" t="s">
        <v>38</v>
      </c>
      <c r="M32" s="15">
        <v>1.0</v>
      </c>
      <c r="N32" s="15" t="s">
        <v>39</v>
      </c>
      <c r="O32" s="15" t="s">
        <v>40</v>
      </c>
      <c r="P32" s="15" t="s">
        <v>53</v>
      </c>
      <c r="Q32" s="15" t="s">
        <v>164</v>
      </c>
      <c r="R32" s="15" t="s">
        <v>54</v>
      </c>
      <c r="S32" s="15" t="s">
        <v>220</v>
      </c>
      <c r="T32" s="19"/>
      <c r="U32" s="15" t="s">
        <v>46</v>
      </c>
    </row>
    <row r="33" ht="56.25" customHeight="1">
      <c r="A33" s="23" t="s">
        <v>227</v>
      </c>
      <c r="B33" s="32" t="str">
        <f>image("https://i.imgur.com/16ajdN7.png")</f>
        <v/>
      </c>
      <c r="C33" s="25" t="s">
        <v>40</v>
      </c>
      <c r="D33" s="25" t="s">
        <v>28</v>
      </c>
      <c r="E33" s="25" t="s">
        <v>28</v>
      </c>
      <c r="F33" s="24" t="s">
        <v>51</v>
      </c>
      <c r="G33" s="13">
        <v>2700.0</v>
      </c>
      <c r="H33" s="15">
        <v>6931.0</v>
      </c>
      <c r="I33" s="15"/>
      <c r="J33" s="15"/>
      <c r="K33" s="15"/>
      <c r="L33" s="15" t="s">
        <v>38</v>
      </c>
      <c r="M33" s="15"/>
      <c r="N33" s="15" t="s">
        <v>39</v>
      </c>
      <c r="O33" s="15" t="s">
        <v>40</v>
      </c>
      <c r="P33" s="15" t="s">
        <v>40</v>
      </c>
      <c r="Q33" s="15" t="s">
        <v>41</v>
      </c>
      <c r="R33" s="15" t="s">
        <v>54</v>
      </c>
      <c r="S33" s="15" t="s">
        <v>100</v>
      </c>
      <c r="T33" s="19" t="s">
        <v>101</v>
      </c>
      <c r="U33" s="15" t="s">
        <v>46</v>
      </c>
    </row>
    <row r="34" ht="56.25" customHeight="1">
      <c r="A34" s="23" t="s">
        <v>232</v>
      </c>
      <c r="B34" s="32" t="str">
        <f>image("https://i.imgur.com/R7uRRIj.png")</f>
        <v/>
      </c>
      <c r="C34" s="25" t="s">
        <v>40</v>
      </c>
      <c r="D34" s="25" t="s">
        <v>28</v>
      </c>
      <c r="E34" s="25" t="s">
        <v>28</v>
      </c>
      <c r="F34" s="24" t="s">
        <v>51</v>
      </c>
      <c r="G34" s="13">
        <v>1200.0</v>
      </c>
      <c r="H34" s="15">
        <v>6938.0</v>
      </c>
      <c r="I34" s="15"/>
      <c r="J34" s="15"/>
      <c r="K34" s="15"/>
      <c r="L34" s="15" t="s">
        <v>38</v>
      </c>
      <c r="M34" s="15"/>
      <c r="N34" s="15" t="s">
        <v>39</v>
      </c>
      <c r="O34" s="15" t="s">
        <v>40</v>
      </c>
      <c r="P34" s="15" t="s">
        <v>40</v>
      </c>
      <c r="Q34" s="15" t="s">
        <v>41</v>
      </c>
      <c r="R34" s="15" t="s">
        <v>54</v>
      </c>
      <c r="S34" s="15" t="s">
        <v>100</v>
      </c>
      <c r="T34" s="19" t="s">
        <v>101</v>
      </c>
      <c r="U34" s="15" t="s">
        <v>46</v>
      </c>
    </row>
    <row r="35" ht="56.25" customHeight="1">
      <c r="A35" s="23" t="s">
        <v>235</v>
      </c>
      <c r="B35" s="32" t="str">
        <f>image("https://i.imgur.com/P75QZWP.png")</f>
        <v/>
      </c>
      <c r="C35" s="25" t="s">
        <v>40</v>
      </c>
      <c r="D35" s="25" t="s">
        <v>28</v>
      </c>
      <c r="E35" s="25" t="s">
        <v>28</v>
      </c>
      <c r="F35" s="24" t="s">
        <v>51</v>
      </c>
      <c r="G35" s="13">
        <v>15000.0</v>
      </c>
      <c r="H35" s="15">
        <v>6951.0</v>
      </c>
      <c r="I35" s="15"/>
      <c r="J35" s="15"/>
      <c r="K35" s="15"/>
      <c r="L35" s="15" t="s">
        <v>38</v>
      </c>
      <c r="M35" s="15"/>
      <c r="N35" s="15" t="s">
        <v>39</v>
      </c>
      <c r="O35" s="15" t="s">
        <v>40</v>
      </c>
      <c r="P35" s="15" t="s">
        <v>40</v>
      </c>
      <c r="Q35" s="15" t="s">
        <v>41</v>
      </c>
      <c r="R35" s="15" t="s">
        <v>54</v>
      </c>
      <c r="S35" s="15" t="s">
        <v>100</v>
      </c>
      <c r="T35" s="19" t="s">
        <v>101</v>
      </c>
      <c r="U35" s="15" t="s">
        <v>46</v>
      </c>
    </row>
    <row r="36" ht="56.25" customHeight="1">
      <c r="A36" s="23" t="s">
        <v>239</v>
      </c>
      <c r="B36" s="32" t="str">
        <f>image("https://i.imgur.com/8d1vOGO.png")</f>
        <v/>
      </c>
      <c r="C36" s="25" t="s">
        <v>40</v>
      </c>
      <c r="D36" s="25" t="s">
        <v>28</v>
      </c>
      <c r="E36" s="25" t="s">
        <v>28</v>
      </c>
      <c r="F36" s="24" t="s">
        <v>51</v>
      </c>
      <c r="G36" s="13">
        <v>30000.0</v>
      </c>
      <c r="H36" s="15">
        <v>6963.0</v>
      </c>
      <c r="I36" s="15"/>
      <c r="J36" s="15"/>
      <c r="K36" s="15"/>
      <c r="L36" s="15" t="s">
        <v>38</v>
      </c>
      <c r="M36" s="15"/>
      <c r="N36" s="15" t="s">
        <v>39</v>
      </c>
      <c r="O36" s="15" t="s">
        <v>40</v>
      </c>
      <c r="P36" s="15" t="s">
        <v>40</v>
      </c>
      <c r="Q36" s="15" t="s">
        <v>41</v>
      </c>
      <c r="R36" s="15" t="s">
        <v>54</v>
      </c>
      <c r="S36" s="15" t="s">
        <v>100</v>
      </c>
      <c r="T36" s="19" t="s">
        <v>101</v>
      </c>
      <c r="U36" s="15" t="s">
        <v>46</v>
      </c>
    </row>
    <row r="37" ht="56.25" customHeight="1">
      <c r="A37" s="23" t="s">
        <v>246</v>
      </c>
      <c r="B37" s="23" t="str">
        <f>IMAGE("https://i.imgur.com/hpc4elq.png")</f>
        <v/>
      </c>
      <c r="C37" s="25" t="s">
        <v>40</v>
      </c>
      <c r="D37" s="25" t="s">
        <v>28</v>
      </c>
      <c r="E37" s="25" t="s">
        <v>28</v>
      </c>
      <c r="F37" s="24" t="s">
        <v>51</v>
      </c>
      <c r="G37" s="13">
        <v>2400.0</v>
      </c>
      <c r="H37" s="15">
        <v>7118.0</v>
      </c>
      <c r="I37" s="15"/>
      <c r="J37" s="15"/>
      <c r="K37" s="15"/>
      <c r="L37" s="15" t="s">
        <v>38</v>
      </c>
      <c r="M37" s="15"/>
      <c r="N37" s="15" t="s">
        <v>39</v>
      </c>
      <c r="O37" s="15" t="s">
        <v>40</v>
      </c>
      <c r="P37" s="15" t="s">
        <v>40</v>
      </c>
      <c r="Q37" s="15" t="s">
        <v>41</v>
      </c>
      <c r="R37" s="15" t="s">
        <v>54</v>
      </c>
      <c r="S37" s="15" t="s">
        <v>57</v>
      </c>
      <c r="T37" s="19" t="s">
        <v>58</v>
      </c>
      <c r="U37" s="15" t="s">
        <v>46</v>
      </c>
    </row>
    <row r="38" ht="56.25" customHeight="1">
      <c r="A38" s="23" t="s">
        <v>253</v>
      </c>
      <c r="B38" s="32" t="str">
        <f>image("https://i.imgur.com/XaMj7RG.png")</f>
        <v/>
      </c>
      <c r="C38" s="25" t="s">
        <v>40</v>
      </c>
      <c r="D38" s="25" t="s">
        <v>28</v>
      </c>
      <c r="E38" s="25" t="s">
        <v>28</v>
      </c>
      <c r="F38" s="24" t="s">
        <v>51</v>
      </c>
      <c r="G38" s="13">
        <v>540.0</v>
      </c>
      <c r="H38" s="15">
        <v>6939.0</v>
      </c>
      <c r="I38" s="15"/>
      <c r="J38" s="15"/>
      <c r="K38" s="15"/>
      <c r="L38" s="15" t="s">
        <v>38</v>
      </c>
      <c r="M38" s="15"/>
      <c r="N38" s="15" t="s">
        <v>39</v>
      </c>
      <c r="O38" s="15" t="s">
        <v>40</v>
      </c>
      <c r="P38" s="15" t="s">
        <v>40</v>
      </c>
      <c r="Q38" s="15" t="s">
        <v>41</v>
      </c>
      <c r="R38" s="15" t="s">
        <v>54</v>
      </c>
      <c r="S38" s="15" t="s">
        <v>100</v>
      </c>
      <c r="T38" s="19" t="s">
        <v>101</v>
      </c>
      <c r="U38" s="15" t="s">
        <v>46</v>
      </c>
    </row>
    <row r="39" ht="56.25" customHeight="1">
      <c r="A39" s="13" t="s">
        <v>257</v>
      </c>
      <c r="B39" s="15" t="str">
        <f>image("https://i.imgur.com/Najozeb.png")</f>
        <v/>
      </c>
      <c r="C39" s="17" t="str">
        <f>HYPERLINK("https://imgur.com/a/Py2snYT","Yes")</f>
        <v>Yes</v>
      </c>
      <c r="D39" s="15" t="s">
        <v>28</v>
      </c>
      <c r="E39" s="19" t="s">
        <v>28</v>
      </c>
      <c r="F39" s="13">
        <v>1300.0</v>
      </c>
      <c r="G39" s="13">
        <v>325.0</v>
      </c>
      <c r="H39" s="15">
        <v>7599.0</v>
      </c>
      <c r="I39" s="15" t="s">
        <v>113</v>
      </c>
      <c r="J39" s="15" t="s">
        <v>60</v>
      </c>
      <c r="K39" s="15"/>
      <c r="L39" s="15" t="s">
        <v>38</v>
      </c>
      <c r="M39" s="15">
        <v>1.0</v>
      </c>
      <c r="N39" s="15" t="s">
        <v>39</v>
      </c>
      <c r="O39" s="15" t="s">
        <v>40</v>
      </c>
      <c r="P39" s="15" t="s">
        <v>53</v>
      </c>
      <c r="Q39" s="15" t="s">
        <v>41</v>
      </c>
      <c r="R39" s="15" t="s">
        <v>43</v>
      </c>
      <c r="S39" s="15" t="s">
        <v>44</v>
      </c>
      <c r="T39" s="19" t="s">
        <v>45</v>
      </c>
      <c r="U39" s="15" t="s">
        <v>46</v>
      </c>
    </row>
    <row r="40" ht="56.25" customHeight="1">
      <c r="A40" s="13" t="s">
        <v>267</v>
      </c>
      <c r="B40" s="15" t="str">
        <f>image("https://i.imgur.com/ZvFBXSp.png")</f>
        <v/>
      </c>
      <c r="C40" s="17" t="str">
        <f>HYPERLINK("https://imgur.com/a/juKGgzE","Yes")</f>
        <v>Yes</v>
      </c>
      <c r="D40" s="15" t="s">
        <v>28</v>
      </c>
      <c r="E40" s="19" t="s">
        <v>28</v>
      </c>
      <c r="F40" s="13">
        <v>290.0</v>
      </c>
      <c r="G40" s="24">
        <v>72.0</v>
      </c>
      <c r="H40" s="15">
        <v>3582.0</v>
      </c>
      <c r="I40" s="15" t="s">
        <v>136</v>
      </c>
      <c r="J40" s="15" t="s">
        <v>80</v>
      </c>
      <c r="K40" s="15"/>
      <c r="L40" s="15" t="s">
        <v>38</v>
      </c>
      <c r="M40" s="15">
        <v>1.0</v>
      </c>
      <c r="N40" s="15" t="s">
        <v>39</v>
      </c>
      <c r="O40" s="15" t="s">
        <v>40</v>
      </c>
      <c r="P40" s="15" t="s">
        <v>40</v>
      </c>
      <c r="Q40" s="15" t="s">
        <v>41</v>
      </c>
      <c r="R40" s="15" t="s">
        <v>43</v>
      </c>
      <c r="S40" s="15" t="s">
        <v>44</v>
      </c>
      <c r="T40" s="19" t="s">
        <v>45</v>
      </c>
      <c r="U40" s="15" t="s">
        <v>46</v>
      </c>
    </row>
    <row r="41" ht="56.25" customHeight="1">
      <c r="A41" s="13" t="s">
        <v>273</v>
      </c>
      <c r="B41" s="15" t="str">
        <f>image("https://i.imgur.com/UTNYwDl.png")</f>
        <v/>
      </c>
      <c r="C41" s="17" t="str">
        <f>HYPERLINK("https://imgur.com/a/vUvr6Gp","Yes")</f>
        <v>Yes</v>
      </c>
      <c r="D41" s="15" t="s">
        <v>28</v>
      </c>
      <c r="E41" s="19" t="s">
        <v>28</v>
      </c>
      <c r="F41" s="13">
        <v>1100.0</v>
      </c>
      <c r="G41" s="13">
        <v>275.0</v>
      </c>
      <c r="H41" s="15">
        <v>870.0</v>
      </c>
      <c r="I41" s="15" t="s">
        <v>136</v>
      </c>
      <c r="J41" s="15" t="s">
        <v>113</v>
      </c>
      <c r="K41" s="15"/>
      <c r="L41" s="15" t="s">
        <v>38</v>
      </c>
      <c r="M41" s="15">
        <v>1.0</v>
      </c>
      <c r="N41" s="15" t="s">
        <v>39</v>
      </c>
      <c r="O41" s="15" t="s">
        <v>40</v>
      </c>
      <c r="P41" s="15" t="s">
        <v>40</v>
      </c>
      <c r="Q41" s="15" t="s">
        <v>41</v>
      </c>
      <c r="R41" s="15" t="s">
        <v>43</v>
      </c>
      <c r="S41" s="15" t="s">
        <v>44</v>
      </c>
      <c r="T41" s="19" t="s">
        <v>45</v>
      </c>
      <c r="U41" s="15" t="s">
        <v>46</v>
      </c>
    </row>
    <row r="42" ht="56.25" customHeight="1">
      <c r="A42" s="13" t="s">
        <v>281</v>
      </c>
      <c r="B42" s="15" t="str">
        <f>image("https://i.imgur.com/C1oyDkI.png")</f>
        <v/>
      </c>
      <c r="C42" s="17" t="str">
        <f>HYPERLINK("https://imgur.com/a/etPOf3T","Yes")</f>
        <v>Yes</v>
      </c>
      <c r="D42" s="15" t="s">
        <v>28</v>
      </c>
      <c r="E42" s="19" t="s">
        <v>28</v>
      </c>
      <c r="F42" s="13">
        <v>1800.0</v>
      </c>
      <c r="G42" s="13">
        <v>450.0</v>
      </c>
      <c r="H42" s="15">
        <v>683.0</v>
      </c>
      <c r="I42" s="15" t="s">
        <v>84</v>
      </c>
      <c r="J42" s="15" t="s">
        <v>284</v>
      </c>
      <c r="K42" s="15"/>
      <c r="L42" s="15" t="s">
        <v>38</v>
      </c>
      <c r="M42" s="15">
        <v>1.0</v>
      </c>
      <c r="N42" s="15" t="s">
        <v>39</v>
      </c>
      <c r="O42" s="15" t="s">
        <v>40</v>
      </c>
      <c r="P42" s="15" t="s">
        <v>40</v>
      </c>
      <c r="Q42" s="15" t="s">
        <v>41</v>
      </c>
      <c r="R42" s="15" t="s">
        <v>43</v>
      </c>
      <c r="S42" s="15" t="s">
        <v>44</v>
      </c>
      <c r="T42" s="19" t="s">
        <v>45</v>
      </c>
      <c r="U42" s="15" t="s">
        <v>46</v>
      </c>
    </row>
    <row r="43" ht="56.25" customHeight="1">
      <c r="A43" s="13" t="s">
        <v>288</v>
      </c>
      <c r="B43" s="15" t="str">
        <f>image("https://i.imgur.com/nJhIj1p.png")</f>
        <v/>
      </c>
      <c r="C43" s="25" t="s">
        <v>40</v>
      </c>
      <c r="D43" s="15" t="s">
        <v>28</v>
      </c>
      <c r="E43" s="19" t="s">
        <v>28</v>
      </c>
      <c r="F43" s="13">
        <v>1400.0</v>
      </c>
      <c r="G43" s="13">
        <v>350.0</v>
      </c>
      <c r="H43" s="15">
        <v>11283.0</v>
      </c>
      <c r="I43" s="15" t="s">
        <v>90</v>
      </c>
      <c r="J43" s="15" t="s">
        <v>113</v>
      </c>
      <c r="K43" s="15"/>
      <c r="L43" s="15" t="s">
        <v>38</v>
      </c>
      <c r="M43" s="15"/>
      <c r="N43" s="15" t="s">
        <v>39</v>
      </c>
      <c r="O43" s="15" t="s">
        <v>40</v>
      </c>
      <c r="P43" s="15" t="s">
        <v>53</v>
      </c>
      <c r="Q43" s="15" t="s">
        <v>41</v>
      </c>
      <c r="R43" s="15" t="s">
        <v>43</v>
      </c>
      <c r="S43" s="15" t="s">
        <v>44</v>
      </c>
      <c r="T43" s="19" t="s">
        <v>68</v>
      </c>
      <c r="U43" s="15" t="s">
        <v>46</v>
      </c>
    </row>
    <row r="44" ht="56.25" customHeight="1">
      <c r="A44" s="13" t="s">
        <v>292</v>
      </c>
      <c r="B44" s="15" t="str">
        <f>image("https://i.imgur.com/3BWjfDf.png")</f>
        <v/>
      </c>
      <c r="C44" s="25" t="s">
        <v>40</v>
      </c>
      <c r="D44" s="15" t="s">
        <v>28</v>
      </c>
      <c r="E44" s="19" t="s">
        <v>28</v>
      </c>
      <c r="F44" s="13" t="s">
        <v>51</v>
      </c>
      <c r="G44" s="13">
        <v>400.0</v>
      </c>
      <c r="H44" s="15">
        <v>1205.0</v>
      </c>
      <c r="I44" s="15" t="s">
        <v>62</v>
      </c>
      <c r="J44" s="15"/>
      <c r="K44" s="15"/>
      <c r="L44" s="15" t="s">
        <v>38</v>
      </c>
      <c r="M44" s="15"/>
      <c r="N44" s="15" t="s">
        <v>39</v>
      </c>
      <c r="O44" s="15" t="s">
        <v>40</v>
      </c>
      <c r="P44" s="15" t="s">
        <v>40</v>
      </c>
      <c r="Q44" s="15" t="s">
        <v>41</v>
      </c>
      <c r="R44" s="15" t="s">
        <v>54</v>
      </c>
      <c r="S44" s="15" t="s">
        <v>264</v>
      </c>
      <c r="T44" s="19"/>
      <c r="U44" s="15" t="s">
        <v>46</v>
      </c>
    </row>
    <row r="45" ht="56.25" customHeight="1">
      <c r="A45" s="13" t="s">
        <v>300</v>
      </c>
      <c r="B45" s="15" t="str">
        <f>image("https://i.imgur.com/RsfxPEv.png")</f>
        <v/>
      </c>
      <c r="C45" s="25" t="s">
        <v>40</v>
      </c>
      <c r="D45" s="15" t="s">
        <v>28</v>
      </c>
      <c r="E45" s="15" t="s">
        <v>28</v>
      </c>
      <c r="F45" s="13" t="s">
        <v>51</v>
      </c>
      <c r="G45" s="13">
        <v>400.0</v>
      </c>
      <c r="H45" s="15">
        <v>1202.0</v>
      </c>
      <c r="I45" s="15" t="s">
        <v>62</v>
      </c>
      <c r="J45" s="15"/>
      <c r="K45" s="15"/>
      <c r="L45" s="15" t="s">
        <v>38</v>
      </c>
      <c r="M45" s="15"/>
      <c r="N45" s="15" t="s">
        <v>39</v>
      </c>
      <c r="O45" s="15" t="s">
        <v>40</v>
      </c>
      <c r="P45" s="15" t="s">
        <v>40</v>
      </c>
      <c r="Q45" s="15" t="s">
        <v>41</v>
      </c>
      <c r="R45" s="15" t="s">
        <v>54</v>
      </c>
      <c r="S45" s="15" t="s">
        <v>85</v>
      </c>
      <c r="T45" s="19"/>
      <c r="U45" s="15" t="s">
        <v>46</v>
      </c>
    </row>
    <row r="46" ht="56.25" customHeight="1">
      <c r="A46" s="13" t="s">
        <v>306</v>
      </c>
      <c r="B46" s="15" t="str">
        <f>image("https://i.imgur.com/3AfFyyS.png")</f>
        <v/>
      </c>
      <c r="C46" s="25" t="s">
        <v>40</v>
      </c>
      <c r="D46" s="15" t="s">
        <v>28</v>
      </c>
      <c r="E46" s="15" t="s">
        <v>28</v>
      </c>
      <c r="F46" s="13" t="s">
        <v>51</v>
      </c>
      <c r="G46" s="13">
        <v>400.0</v>
      </c>
      <c r="H46" s="15">
        <v>7098.0</v>
      </c>
      <c r="I46" s="15" t="s">
        <v>62</v>
      </c>
      <c r="J46" s="15"/>
      <c r="K46" s="15"/>
      <c r="L46" s="15" t="s">
        <v>38</v>
      </c>
      <c r="M46" s="15"/>
      <c r="N46" s="15" t="s">
        <v>39</v>
      </c>
      <c r="O46" s="15" t="s">
        <v>40</v>
      </c>
      <c r="P46" s="15" t="s">
        <v>40</v>
      </c>
      <c r="Q46" s="15" t="s">
        <v>41</v>
      </c>
      <c r="R46" s="15" t="s">
        <v>54</v>
      </c>
      <c r="S46" s="15" t="s">
        <v>247</v>
      </c>
      <c r="T46" s="19"/>
      <c r="U46" s="15" t="s">
        <v>46</v>
      </c>
    </row>
    <row r="47" ht="56.25" customHeight="1">
      <c r="A47" s="23" t="s">
        <v>313</v>
      </c>
      <c r="B47" s="23" t="str">
        <f>IMAGE("https://i.imgur.com/JOQA1kn.png")</f>
        <v/>
      </c>
      <c r="C47" s="25" t="s">
        <v>40</v>
      </c>
      <c r="D47" s="25" t="s">
        <v>28</v>
      </c>
      <c r="E47" s="25" t="s">
        <v>28</v>
      </c>
      <c r="F47" s="24" t="s">
        <v>51</v>
      </c>
      <c r="G47" s="13">
        <v>750.0</v>
      </c>
      <c r="H47" s="15">
        <v>7046.0</v>
      </c>
      <c r="I47" s="15"/>
      <c r="J47" s="15"/>
      <c r="K47" s="15"/>
      <c r="L47" s="15" t="s">
        <v>38</v>
      </c>
      <c r="M47" s="15"/>
      <c r="N47" s="15" t="s">
        <v>39</v>
      </c>
      <c r="O47" s="15" t="s">
        <v>40</v>
      </c>
      <c r="P47" s="15" t="s">
        <v>40</v>
      </c>
      <c r="Q47" s="15" t="s">
        <v>41</v>
      </c>
      <c r="R47" s="15" t="s">
        <v>54</v>
      </c>
      <c r="S47" s="15" t="s">
        <v>57</v>
      </c>
      <c r="T47" s="19" t="s">
        <v>58</v>
      </c>
      <c r="U47" s="15" t="s">
        <v>46</v>
      </c>
    </row>
    <row r="48" ht="56.25" customHeight="1">
      <c r="A48" s="24" t="s">
        <v>318</v>
      </c>
      <c r="B48" s="15" t="str">
        <f>image("https://i.imgur.com/ClrTPWt.png")</f>
        <v/>
      </c>
      <c r="C48" s="15" t="s">
        <v>40</v>
      </c>
      <c r="D48" s="25" t="s">
        <v>28</v>
      </c>
      <c r="E48" s="19" t="s">
        <v>28</v>
      </c>
      <c r="F48" s="13" t="s">
        <v>51</v>
      </c>
      <c r="G48" s="24">
        <v>1200.0</v>
      </c>
      <c r="H48" s="15"/>
      <c r="I48" s="15"/>
      <c r="J48" s="15"/>
      <c r="K48" s="15"/>
      <c r="L48" s="15"/>
      <c r="M48" s="15"/>
      <c r="N48" s="15"/>
      <c r="O48" s="15"/>
      <c r="P48" s="15"/>
      <c r="Q48" s="15"/>
      <c r="R48" s="15" t="s">
        <v>54</v>
      </c>
      <c r="S48" s="15" t="s">
        <v>322</v>
      </c>
      <c r="T48" s="19" t="s">
        <v>323</v>
      </c>
      <c r="U48" s="15" t="s">
        <v>46</v>
      </c>
    </row>
    <row r="49" ht="56.25" customHeight="1">
      <c r="A49" s="13" t="s">
        <v>324</v>
      </c>
      <c r="B49" s="15" t="str">
        <f>image("https://i.imgur.com/MKpUnto.png")</f>
        <v/>
      </c>
      <c r="C49" s="15" t="s">
        <v>40</v>
      </c>
      <c r="D49" s="15" t="s">
        <v>50</v>
      </c>
      <c r="E49" s="19" t="s">
        <v>28</v>
      </c>
      <c r="F49" s="13" t="s">
        <v>51</v>
      </c>
      <c r="G49" s="24">
        <v>1600.0</v>
      </c>
      <c r="H49" s="15"/>
      <c r="I49" s="15"/>
      <c r="J49" s="15"/>
      <c r="K49" s="15"/>
      <c r="L49" s="15"/>
      <c r="M49" s="15"/>
      <c r="N49" s="15"/>
      <c r="O49" s="15"/>
      <c r="P49" s="15"/>
      <c r="Q49" s="15"/>
      <c r="R49" s="15" t="s">
        <v>54</v>
      </c>
      <c r="S49" s="15" t="s">
        <v>55</v>
      </c>
      <c r="T49" s="19"/>
      <c r="U49" s="15" t="s">
        <v>46</v>
      </c>
    </row>
    <row r="50" ht="56.25" customHeight="1">
      <c r="A50" s="23" t="s">
        <v>329</v>
      </c>
      <c r="B50" s="32" t="str">
        <f>image("https://i.imgur.com/OQlLFyP.png")</f>
        <v/>
      </c>
      <c r="C50" s="25" t="s">
        <v>40</v>
      </c>
      <c r="D50" s="25" t="s">
        <v>28</v>
      </c>
      <c r="E50" s="25" t="s">
        <v>28</v>
      </c>
      <c r="F50" s="24" t="s">
        <v>51</v>
      </c>
      <c r="G50" s="13">
        <v>3000.0</v>
      </c>
      <c r="H50" s="15">
        <v>6941.0</v>
      </c>
      <c r="I50" s="15"/>
      <c r="J50" s="15"/>
      <c r="K50" s="15"/>
      <c r="L50" s="15" t="s">
        <v>38</v>
      </c>
      <c r="M50" s="15"/>
      <c r="N50" s="15" t="s">
        <v>39</v>
      </c>
      <c r="O50" s="15" t="s">
        <v>40</v>
      </c>
      <c r="P50" s="15" t="s">
        <v>40</v>
      </c>
      <c r="Q50" s="15" t="s">
        <v>41</v>
      </c>
      <c r="R50" s="15" t="s">
        <v>54</v>
      </c>
      <c r="S50" s="15" t="s">
        <v>100</v>
      </c>
      <c r="T50" s="19" t="s">
        <v>101</v>
      </c>
      <c r="U50" s="15" t="s">
        <v>46</v>
      </c>
    </row>
    <row r="51" ht="56.25" customHeight="1">
      <c r="A51" s="13" t="s">
        <v>334</v>
      </c>
      <c r="B51" s="15" t="str">
        <f>image("https://i.imgur.com/vq9oB1n.png")</f>
        <v/>
      </c>
      <c r="C51" s="17" t="str">
        <f>HYPERLINK("https://imgur.com/a/K212Iof","Yes")</f>
        <v>Yes</v>
      </c>
      <c r="D51" s="15" t="s">
        <v>28</v>
      </c>
      <c r="E51" s="15" t="s">
        <v>28</v>
      </c>
      <c r="F51" s="13">
        <v>1300.0</v>
      </c>
      <c r="G51" s="13">
        <v>325.0</v>
      </c>
      <c r="H51" s="15">
        <v>889.0</v>
      </c>
      <c r="I51" s="15" t="s">
        <v>338</v>
      </c>
      <c r="J51" s="15"/>
      <c r="K51" s="15"/>
      <c r="L51" s="15" t="s">
        <v>38</v>
      </c>
      <c r="M51" s="15">
        <v>1.0</v>
      </c>
      <c r="N51" s="15" t="s">
        <v>39</v>
      </c>
      <c r="O51" s="15" t="s">
        <v>40</v>
      </c>
      <c r="P51" s="15" t="s">
        <v>53</v>
      </c>
      <c r="Q51" s="15" t="s">
        <v>41</v>
      </c>
      <c r="R51" s="15" t="s">
        <v>43</v>
      </c>
      <c r="S51" s="15" t="s">
        <v>44</v>
      </c>
      <c r="T51" s="19" t="s">
        <v>202</v>
      </c>
      <c r="U51" s="15" t="s">
        <v>46</v>
      </c>
    </row>
    <row r="52" ht="56.25" customHeight="1">
      <c r="A52" s="13" t="s">
        <v>341</v>
      </c>
      <c r="B52" s="15" t="str">
        <f>image("https://i.imgur.com/6lkntLV.png")</f>
        <v/>
      </c>
      <c r="C52" s="33" t="str">
        <f>HYPERLINK("https://imgur.com/a/EcmLVar","Yes")</f>
        <v>Yes</v>
      </c>
      <c r="D52" s="15" t="s">
        <v>28</v>
      </c>
      <c r="E52" s="19" t="s">
        <v>28</v>
      </c>
      <c r="F52" s="13">
        <v>600.0</v>
      </c>
      <c r="G52" s="13">
        <v>150.0</v>
      </c>
      <c r="H52" s="15">
        <v>2562.0</v>
      </c>
      <c r="I52" s="15" t="s">
        <v>346</v>
      </c>
      <c r="J52" s="15"/>
      <c r="K52" s="15"/>
      <c r="L52" s="15" t="s">
        <v>38</v>
      </c>
      <c r="M52" s="15">
        <v>1.0</v>
      </c>
      <c r="N52" s="15" t="s">
        <v>39</v>
      </c>
      <c r="O52" s="15" t="s">
        <v>40</v>
      </c>
      <c r="P52" s="15" t="s">
        <v>53</v>
      </c>
      <c r="Q52" s="15" t="s">
        <v>164</v>
      </c>
      <c r="R52" s="15" t="s">
        <v>43</v>
      </c>
      <c r="S52" s="15" t="s">
        <v>44</v>
      </c>
      <c r="T52" s="19" t="s">
        <v>202</v>
      </c>
      <c r="U52" s="15" t="s">
        <v>46</v>
      </c>
    </row>
    <row r="53" ht="56.25" customHeight="1">
      <c r="A53" s="13" t="s">
        <v>348</v>
      </c>
      <c r="B53" s="15" t="str">
        <f>image("https://i.imgur.com/j6O8yI7.png")</f>
        <v/>
      </c>
      <c r="C53" s="17" t="str">
        <f>HYPERLINK("https://imgur.com/a/dG3CPUM","Yes")</f>
        <v>Yes</v>
      </c>
      <c r="D53" s="15" t="s">
        <v>28</v>
      </c>
      <c r="E53" s="15" t="s">
        <v>28</v>
      </c>
      <c r="F53" s="13">
        <v>120.0</v>
      </c>
      <c r="G53" s="13">
        <v>30.0</v>
      </c>
      <c r="H53" s="15">
        <v>3672.0</v>
      </c>
      <c r="I53" s="15" t="s">
        <v>243</v>
      </c>
      <c r="J53" s="15"/>
      <c r="K53" s="15"/>
      <c r="L53" s="15" t="s">
        <v>38</v>
      </c>
      <c r="M53" s="15">
        <v>1.0</v>
      </c>
      <c r="N53" s="15" t="s">
        <v>39</v>
      </c>
      <c r="O53" s="15" t="s">
        <v>40</v>
      </c>
      <c r="P53" s="15" t="s">
        <v>40</v>
      </c>
      <c r="Q53" s="15" t="s">
        <v>41</v>
      </c>
      <c r="R53" s="15" t="s">
        <v>43</v>
      </c>
      <c r="S53" s="15" t="s">
        <v>44</v>
      </c>
      <c r="T53" s="19" t="s">
        <v>202</v>
      </c>
      <c r="U53" s="15" t="s">
        <v>46</v>
      </c>
    </row>
    <row r="54" ht="56.25" customHeight="1">
      <c r="A54" s="23" t="s">
        <v>355</v>
      </c>
      <c r="B54" s="32" t="str">
        <f>image("https://i.imgur.com/vANc9XI.png")</f>
        <v/>
      </c>
      <c r="C54" s="25" t="s">
        <v>40</v>
      </c>
      <c r="D54" s="25" t="s">
        <v>28</v>
      </c>
      <c r="E54" s="25" t="s">
        <v>28</v>
      </c>
      <c r="F54" s="24" t="s">
        <v>51</v>
      </c>
      <c r="G54" s="13">
        <v>900.0</v>
      </c>
      <c r="H54" s="15">
        <v>6980.0</v>
      </c>
      <c r="I54" s="15"/>
      <c r="J54" s="15"/>
      <c r="K54" s="15"/>
      <c r="L54" s="15" t="s">
        <v>38</v>
      </c>
      <c r="M54" s="15"/>
      <c r="N54" s="15" t="s">
        <v>39</v>
      </c>
      <c r="O54" s="15" t="s">
        <v>40</v>
      </c>
      <c r="P54" s="15" t="s">
        <v>40</v>
      </c>
      <c r="Q54" s="15" t="s">
        <v>41</v>
      </c>
      <c r="R54" s="15" t="s">
        <v>54</v>
      </c>
      <c r="S54" s="15" t="s">
        <v>100</v>
      </c>
      <c r="T54" s="19" t="s">
        <v>101</v>
      </c>
      <c r="U54" s="15" t="s">
        <v>46</v>
      </c>
    </row>
    <row r="55" ht="56.25" customHeight="1">
      <c r="A55" s="13" t="s">
        <v>361</v>
      </c>
      <c r="B55" s="15" t="str">
        <f>image("https://i.imgur.com/5mfpRS8.png")</f>
        <v/>
      </c>
      <c r="C55" s="17" t="str">
        <f>HYPERLINK("https://imgur.com/a/eiPi0dK","Yes")</f>
        <v>Yes</v>
      </c>
      <c r="D55" s="15" t="s">
        <v>28</v>
      </c>
      <c r="E55" s="25" t="s">
        <v>28</v>
      </c>
      <c r="F55" s="13">
        <v>1200.0</v>
      </c>
      <c r="G55" s="13">
        <v>300.0</v>
      </c>
      <c r="H55" s="15">
        <v>4122.0</v>
      </c>
      <c r="I55" s="15" t="s">
        <v>113</v>
      </c>
      <c r="J55" s="15"/>
      <c r="K55" s="15"/>
      <c r="L55" s="15" t="s">
        <v>38</v>
      </c>
      <c r="M55" s="15">
        <v>1.0</v>
      </c>
      <c r="N55" s="15" t="s">
        <v>39</v>
      </c>
      <c r="O55" s="15" t="s">
        <v>40</v>
      </c>
      <c r="P55" s="15" t="s">
        <v>53</v>
      </c>
      <c r="Q55" s="15" t="s">
        <v>365</v>
      </c>
      <c r="R55" s="15" t="s">
        <v>43</v>
      </c>
      <c r="S55" s="15" t="s">
        <v>44</v>
      </c>
      <c r="T55" s="19" t="s">
        <v>45</v>
      </c>
      <c r="U55" s="15" t="s">
        <v>46</v>
      </c>
    </row>
    <row r="56" ht="56.25" customHeight="1">
      <c r="A56" s="13" t="s">
        <v>367</v>
      </c>
      <c r="B56" s="15" t="str">
        <f>image("https://i.imgur.com/HcJIVwl.png")</f>
        <v/>
      </c>
      <c r="C56" s="17" t="str">
        <f>HYPERLINK("https://imgur.com/a/dG6Sx2z","Yes")</f>
        <v>Yes</v>
      </c>
      <c r="D56" s="15" t="s">
        <v>28</v>
      </c>
      <c r="E56" s="15" t="s">
        <v>28</v>
      </c>
      <c r="F56" s="13">
        <v>2000.0</v>
      </c>
      <c r="G56" s="13">
        <v>500.0</v>
      </c>
      <c r="H56" s="15">
        <v>1708.0</v>
      </c>
      <c r="I56" s="15" t="s">
        <v>60</v>
      </c>
      <c r="J56" s="15"/>
      <c r="K56" s="15"/>
      <c r="L56" s="15" t="s">
        <v>38</v>
      </c>
      <c r="M56" s="15">
        <v>1.0</v>
      </c>
      <c r="N56" s="15" t="s">
        <v>371</v>
      </c>
      <c r="O56" s="15" t="s">
        <v>40</v>
      </c>
      <c r="P56" s="15" t="s">
        <v>53</v>
      </c>
      <c r="Q56" s="15" t="s">
        <v>41</v>
      </c>
      <c r="R56" s="15" t="s">
        <v>43</v>
      </c>
      <c r="S56" s="15" t="s">
        <v>44</v>
      </c>
      <c r="T56" s="19" t="s">
        <v>45</v>
      </c>
      <c r="U56" s="15" t="s">
        <v>46</v>
      </c>
    </row>
    <row r="57" ht="56.25" customHeight="1">
      <c r="A57" s="13" t="s">
        <v>373</v>
      </c>
      <c r="B57" s="15" t="str">
        <f>image("https://i.imgur.com/WGyxknI.png")</f>
        <v/>
      </c>
      <c r="C57" s="17" t="str">
        <f>HYPERLINK("https://imgur.com/a/331V8Pj","Yes")</f>
        <v>Yes</v>
      </c>
      <c r="D57" s="15" t="s">
        <v>28</v>
      </c>
      <c r="E57" s="15" t="s">
        <v>28</v>
      </c>
      <c r="F57" s="13">
        <v>570.0</v>
      </c>
      <c r="G57" s="24">
        <v>141.0</v>
      </c>
      <c r="H57" s="15">
        <v>7136.0</v>
      </c>
      <c r="I57" s="15" t="s">
        <v>60</v>
      </c>
      <c r="J57" s="15"/>
      <c r="K57" s="15"/>
      <c r="L57" s="15" t="s">
        <v>38</v>
      </c>
      <c r="M57" s="15">
        <v>1.0</v>
      </c>
      <c r="N57" s="15" t="s">
        <v>39</v>
      </c>
      <c r="O57" s="15" t="s">
        <v>40</v>
      </c>
      <c r="P57" s="15" t="s">
        <v>40</v>
      </c>
      <c r="Q57" s="15" t="s">
        <v>41</v>
      </c>
      <c r="R57" s="15" t="s">
        <v>43</v>
      </c>
      <c r="S57" s="15" t="s">
        <v>44</v>
      </c>
      <c r="T57" s="19" t="s">
        <v>45</v>
      </c>
      <c r="U57" s="15" t="s">
        <v>46</v>
      </c>
    </row>
    <row r="58" ht="56.25" customHeight="1">
      <c r="A58" s="23" t="s">
        <v>377</v>
      </c>
      <c r="B58" s="32" t="str">
        <f>image("https://i.imgur.com/A8KcR8m.png")</f>
        <v/>
      </c>
      <c r="C58" s="25" t="s">
        <v>40</v>
      </c>
      <c r="D58" s="25" t="s">
        <v>28</v>
      </c>
      <c r="E58" s="25" t="s">
        <v>28</v>
      </c>
      <c r="F58" s="24" t="s">
        <v>51</v>
      </c>
      <c r="G58" s="13">
        <v>2400.0</v>
      </c>
      <c r="H58" s="15">
        <v>6987.0</v>
      </c>
      <c r="I58" s="15"/>
      <c r="J58" s="15"/>
      <c r="K58" s="15"/>
      <c r="L58" s="15" t="s">
        <v>38</v>
      </c>
      <c r="M58" s="15"/>
      <c r="N58" s="15" t="s">
        <v>39</v>
      </c>
      <c r="O58" s="15" t="s">
        <v>40</v>
      </c>
      <c r="P58" s="15" t="s">
        <v>40</v>
      </c>
      <c r="Q58" s="15" t="s">
        <v>41</v>
      </c>
      <c r="R58" s="15" t="s">
        <v>54</v>
      </c>
      <c r="S58" s="15" t="s">
        <v>100</v>
      </c>
      <c r="T58" s="19" t="s">
        <v>101</v>
      </c>
      <c r="U58" s="15" t="s">
        <v>46</v>
      </c>
    </row>
    <row r="59" ht="56.25" customHeight="1">
      <c r="A59" s="13" t="s">
        <v>380</v>
      </c>
      <c r="B59" s="15" t="str">
        <f>image("https://i.imgur.com/fuWc5dZ.png")</f>
        <v/>
      </c>
      <c r="C59" s="17" t="str">
        <f>HYPERLINK("https://imgur.com/a/wu9cIGf","Yes")</f>
        <v>Yes</v>
      </c>
      <c r="D59" s="15" t="s">
        <v>28</v>
      </c>
      <c r="E59" s="15" t="s">
        <v>28</v>
      </c>
      <c r="F59" s="13">
        <v>1500.0</v>
      </c>
      <c r="G59" s="13">
        <v>375.0</v>
      </c>
      <c r="H59" s="15">
        <v>4719.0</v>
      </c>
      <c r="I59" s="15" t="s">
        <v>346</v>
      </c>
      <c r="J59" s="15"/>
      <c r="K59" s="15"/>
      <c r="L59" s="15" t="s">
        <v>38</v>
      </c>
      <c r="M59" s="15">
        <v>1.0</v>
      </c>
      <c r="N59" s="15" t="s">
        <v>39</v>
      </c>
      <c r="O59" s="15" t="s">
        <v>40</v>
      </c>
      <c r="P59" s="15" t="s">
        <v>53</v>
      </c>
      <c r="Q59" s="15" t="s">
        <v>164</v>
      </c>
      <c r="R59" s="15" t="s">
        <v>43</v>
      </c>
      <c r="S59" s="15" t="s">
        <v>44</v>
      </c>
      <c r="T59" s="19" t="s">
        <v>386</v>
      </c>
      <c r="U59" s="15" t="s">
        <v>387</v>
      </c>
    </row>
    <row r="60" ht="56.25" customHeight="1">
      <c r="A60" s="23" t="s">
        <v>388</v>
      </c>
      <c r="B60" s="23" t="str">
        <f>IMAGE("https://i.imgur.com/aaUxLmb.png")</f>
        <v/>
      </c>
      <c r="C60" s="25" t="s">
        <v>40</v>
      </c>
      <c r="D60" s="25" t="s">
        <v>28</v>
      </c>
      <c r="E60" s="25" t="s">
        <v>28</v>
      </c>
      <c r="F60" s="24" t="s">
        <v>51</v>
      </c>
      <c r="G60" s="13">
        <v>900.0</v>
      </c>
      <c r="H60" s="15">
        <v>7407.0</v>
      </c>
      <c r="I60" s="15"/>
      <c r="J60" s="15"/>
      <c r="K60" s="15"/>
      <c r="L60" s="15" t="s">
        <v>38</v>
      </c>
      <c r="M60" s="15"/>
      <c r="N60" s="15" t="s">
        <v>39</v>
      </c>
      <c r="O60" s="15" t="s">
        <v>40</v>
      </c>
      <c r="P60" s="15" t="s">
        <v>40</v>
      </c>
      <c r="Q60" s="15" t="s">
        <v>41</v>
      </c>
      <c r="R60" s="15" t="s">
        <v>54</v>
      </c>
      <c r="S60" s="15" t="s">
        <v>57</v>
      </c>
      <c r="T60" s="19" t="s">
        <v>58</v>
      </c>
      <c r="U60" s="15" t="s">
        <v>46</v>
      </c>
    </row>
    <row r="61" ht="56.25" customHeight="1">
      <c r="A61" s="23" t="s">
        <v>393</v>
      </c>
      <c r="B61" s="32" t="str">
        <f>image("https://i.imgur.com/Ktoh1PB.png")</f>
        <v/>
      </c>
      <c r="C61" s="25" t="s">
        <v>40</v>
      </c>
      <c r="D61" s="25" t="s">
        <v>28</v>
      </c>
      <c r="E61" s="25" t="s">
        <v>28</v>
      </c>
      <c r="F61" s="24" t="s">
        <v>51</v>
      </c>
      <c r="G61" s="13">
        <v>11400.0</v>
      </c>
      <c r="H61" s="15">
        <v>7003.0</v>
      </c>
      <c r="I61" s="15"/>
      <c r="J61" s="15"/>
      <c r="K61" s="15"/>
      <c r="L61" s="15" t="s">
        <v>38</v>
      </c>
      <c r="M61" s="15"/>
      <c r="N61" s="15" t="s">
        <v>39</v>
      </c>
      <c r="O61" s="15" t="s">
        <v>40</v>
      </c>
      <c r="P61" s="15" t="s">
        <v>40</v>
      </c>
      <c r="Q61" s="15" t="s">
        <v>41</v>
      </c>
      <c r="R61" s="15" t="s">
        <v>54</v>
      </c>
      <c r="S61" s="15" t="s">
        <v>100</v>
      </c>
      <c r="T61" s="19" t="s">
        <v>101</v>
      </c>
      <c r="U61" s="15" t="s">
        <v>46</v>
      </c>
    </row>
    <row r="62" ht="56.25" customHeight="1">
      <c r="A62" s="23" t="s">
        <v>399</v>
      </c>
      <c r="B62" s="32" t="str">
        <f>image("https://i.imgur.com/K3mTXlo.png")</f>
        <v/>
      </c>
      <c r="C62" s="25" t="s">
        <v>40</v>
      </c>
      <c r="D62" s="25" t="s">
        <v>28</v>
      </c>
      <c r="E62" s="25" t="s">
        <v>28</v>
      </c>
      <c r="F62" s="24" t="s">
        <v>51</v>
      </c>
      <c r="G62" s="13">
        <v>3000.0</v>
      </c>
      <c r="H62" s="15">
        <v>7027.0</v>
      </c>
      <c r="I62" s="15"/>
      <c r="J62" s="15"/>
      <c r="K62" s="15"/>
      <c r="L62" s="15" t="s">
        <v>38</v>
      </c>
      <c r="M62" s="15"/>
      <c r="N62" s="15" t="s">
        <v>39</v>
      </c>
      <c r="O62" s="15" t="s">
        <v>40</v>
      </c>
      <c r="P62" s="15" t="s">
        <v>40</v>
      </c>
      <c r="Q62" s="15" t="s">
        <v>41</v>
      </c>
      <c r="R62" s="15" t="s">
        <v>54</v>
      </c>
      <c r="S62" s="15" t="s">
        <v>100</v>
      </c>
      <c r="T62" s="19" t="s">
        <v>101</v>
      </c>
      <c r="U62" s="15" t="s">
        <v>46</v>
      </c>
    </row>
    <row r="63" ht="56.25" customHeight="1">
      <c r="A63" s="13" t="s">
        <v>406</v>
      </c>
      <c r="B63" s="15" t="str">
        <f>image("https://i.imgur.com/AdKTwz3.png")</f>
        <v/>
      </c>
      <c r="C63" s="17" t="str">
        <f>HYPERLINK("https://imgur.com/a/Va1HNax","Yes")</f>
        <v>Yes</v>
      </c>
      <c r="D63" s="15" t="s">
        <v>50</v>
      </c>
      <c r="E63" s="15" t="s">
        <v>50</v>
      </c>
      <c r="F63" s="13" t="s">
        <v>51</v>
      </c>
      <c r="G63" s="13">
        <v>3500.0</v>
      </c>
      <c r="H63" s="15">
        <v>4011.0</v>
      </c>
      <c r="I63" s="15" t="s">
        <v>36</v>
      </c>
      <c r="J63" s="15"/>
      <c r="K63" s="15"/>
      <c r="L63" s="15" t="s">
        <v>38</v>
      </c>
      <c r="M63" s="15">
        <v>5.0</v>
      </c>
      <c r="N63" s="15" t="s">
        <v>371</v>
      </c>
      <c r="O63" s="15" t="s">
        <v>40</v>
      </c>
      <c r="P63" s="15" t="s">
        <v>53</v>
      </c>
      <c r="Q63" s="15" t="s">
        <v>41</v>
      </c>
      <c r="R63" s="15" t="s">
        <v>54</v>
      </c>
      <c r="S63" s="15" t="s">
        <v>55</v>
      </c>
      <c r="T63" s="19"/>
      <c r="U63" s="15" t="s">
        <v>46</v>
      </c>
    </row>
    <row r="64" ht="56.25" customHeight="1">
      <c r="A64" s="13" t="s">
        <v>414</v>
      </c>
      <c r="B64" s="15" t="str">
        <f>image("https://i.imgur.com/zDpcXBh.png")</f>
        <v/>
      </c>
      <c r="C64" s="25" t="s">
        <v>40</v>
      </c>
      <c r="D64" s="15" t="s">
        <v>50</v>
      </c>
      <c r="E64" s="15" t="s">
        <v>28</v>
      </c>
      <c r="F64" s="13" t="s">
        <v>51</v>
      </c>
      <c r="G64" s="13">
        <v>3300.0</v>
      </c>
      <c r="H64" s="15">
        <v>6030.0</v>
      </c>
      <c r="I64" s="15" t="s">
        <v>161</v>
      </c>
      <c r="J64" s="15" t="s">
        <v>36</v>
      </c>
      <c r="K64" s="15"/>
      <c r="L64" s="15" t="s">
        <v>38</v>
      </c>
      <c r="M64" s="15"/>
      <c r="N64" s="15" t="s">
        <v>39</v>
      </c>
      <c r="O64" s="15" t="s">
        <v>40</v>
      </c>
      <c r="P64" s="15" t="s">
        <v>40</v>
      </c>
      <c r="Q64" s="15" t="s">
        <v>41</v>
      </c>
      <c r="R64" s="15" t="s">
        <v>54</v>
      </c>
      <c r="S64" s="15" t="s">
        <v>55</v>
      </c>
      <c r="T64" s="19" t="s">
        <v>282</v>
      </c>
      <c r="U64" s="15" t="s">
        <v>46</v>
      </c>
    </row>
    <row r="65" ht="56.25" customHeight="1">
      <c r="A65" s="13" t="s">
        <v>419</v>
      </c>
      <c r="B65" s="15" t="str">
        <f>image("https://i.imgur.com/43VVMJX.png")</f>
        <v/>
      </c>
      <c r="C65" s="17" t="str">
        <f>HYPERLINK("https://imgur.com/a/SskGHFV","Yes")</f>
        <v>Yes</v>
      </c>
      <c r="D65" s="15" t="s">
        <v>28</v>
      </c>
      <c r="E65" s="15" t="s">
        <v>28</v>
      </c>
      <c r="F65" s="13">
        <v>95000.0</v>
      </c>
      <c r="G65" s="13">
        <v>23750.0</v>
      </c>
      <c r="H65" s="15">
        <v>2770.0</v>
      </c>
      <c r="I65" s="15" t="s">
        <v>60</v>
      </c>
      <c r="J65" s="15" t="s">
        <v>62</v>
      </c>
      <c r="K65" s="15"/>
      <c r="L65" s="15" t="s">
        <v>38</v>
      </c>
      <c r="M65" s="15">
        <v>7.0</v>
      </c>
      <c r="N65" s="15" t="s">
        <v>39</v>
      </c>
      <c r="O65" s="15" t="s">
        <v>40</v>
      </c>
      <c r="P65" s="15" t="s">
        <v>40</v>
      </c>
      <c r="Q65" s="15" t="s">
        <v>41</v>
      </c>
      <c r="R65" s="15" t="s">
        <v>43</v>
      </c>
      <c r="S65" s="15" t="s">
        <v>44</v>
      </c>
      <c r="T65" s="19" t="s">
        <v>65</v>
      </c>
      <c r="U65" s="15" t="s">
        <v>46</v>
      </c>
    </row>
    <row r="66" ht="56.25" customHeight="1">
      <c r="A66" s="23" t="s">
        <v>427</v>
      </c>
      <c r="B66" s="23" t="str">
        <f>IMAGE("https://i.imgur.com/qrEMipH.png")</f>
        <v/>
      </c>
      <c r="C66" s="25" t="s">
        <v>40</v>
      </c>
      <c r="D66" s="25" t="s">
        <v>28</v>
      </c>
      <c r="E66" s="25" t="s">
        <v>28</v>
      </c>
      <c r="F66" s="24" t="s">
        <v>51</v>
      </c>
      <c r="G66" s="13">
        <v>30.0</v>
      </c>
      <c r="H66" s="15">
        <v>7095.0</v>
      </c>
      <c r="I66" s="15"/>
      <c r="J66" s="15"/>
      <c r="K66" s="15"/>
      <c r="L66" s="15" t="s">
        <v>38</v>
      </c>
      <c r="M66" s="15"/>
      <c r="N66" s="15" t="s">
        <v>39</v>
      </c>
      <c r="O66" s="15" t="s">
        <v>40</v>
      </c>
      <c r="P66" s="15" t="s">
        <v>40</v>
      </c>
      <c r="Q66" s="15" t="s">
        <v>41</v>
      </c>
      <c r="R66" s="15" t="s">
        <v>54</v>
      </c>
      <c r="S66" s="15" t="s">
        <v>57</v>
      </c>
      <c r="T66" s="19" t="s">
        <v>58</v>
      </c>
      <c r="U66" s="15" t="s">
        <v>46</v>
      </c>
    </row>
    <row r="67" ht="56.25" customHeight="1">
      <c r="A67" s="23" t="s">
        <v>432</v>
      </c>
      <c r="B67" s="23" t="str">
        <f>IMAGE("https://i.imgur.com/QA5tcaY.png")</f>
        <v/>
      </c>
      <c r="C67" s="25" t="s">
        <v>40</v>
      </c>
      <c r="D67" s="25" t="s">
        <v>28</v>
      </c>
      <c r="E67" s="25" t="s">
        <v>28</v>
      </c>
      <c r="F67" s="24" t="s">
        <v>51</v>
      </c>
      <c r="G67" s="13">
        <v>1050.0</v>
      </c>
      <c r="H67" s="15"/>
      <c r="I67" s="15"/>
      <c r="J67" s="15"/>
      <c r="K67" s="15"/>
      <c r="L67" s="15" t="s">
        <v>38</v>
      </c>
      <c r="M67" s="15"/>
      <c r="N67" s="15" t="s">
        <v>39</v>
      </c>
      <c r="O67" s="15" t="s">
        <v>40</v>
      </c>
      <c r="P67" s="15" t="s">
        <v>40</v>
      </c>
      <c r="Q67" s="15" t="s">
        <v>41</v>
      </c>
      <c r="R67" s="15" t="s">
        <v>54</v>
      </c>
      <c r="S67" s="15" t="s">
        <v>57</v>
      </c>
      <c r="T67" s="19" t="s">
        <v>58</v>
      </c>
      <c r="U67" s="15" t="s">
        <v>46</v>
      </c>
    </row>
    <row r="68" ht="56.25" customHeight="1">
      <c r="A68" s="13" t="s">
        <v>435</v>
      </c>
      <c r="B68" s="15" t="str">
        <f>image("https://i.imgur.com/BrhK63C.png")</f>
        <v/>
      </c>
      <c r="C68" s="17" t="str">
        <f>HYPERLINK("https://imgur.com/a/O6p59jg","Yes")</f>
        <v>Yes</v>
      </c>
      <c r="D68" s="15" t="s">
        <v>50</v>
      </c>
      <c r="E68" s="15" t="s">
        <v>50</v>
      </c>
      <c r="F68" s="13" t="s">
        <v>51</v>
      </c>
      <c r="G68" s="13">
        <v>800.0</v>
      </c>
      <c r="H68" s="15">
        <v>4073.0</v>
      </c>
      <c r="I68" s="15" t="s">
        <v>86</v>
      </c>
      <c r="J68" s="15" t="s">
        <v>37</v>
      </c>
      <c r="K68" s="15"/>
      <c r="L68" s="15" t="s">
        <v>38</v>
      </c>
      <c r="M68" s="15">
        <v>2.0</v>
      </c>
      <c r="N68" s="15" t="s">
        <v>39</v>
      </c>
      <c r="O68" s="15" t="s">
        <v>40</v>
      </c>
      <c r="P68" s="15" t="s">
        <v>40</v>
      </c>
      <c r="Q68" s="15" t="s">
        <v>41</v>
      </c>
      <c r="R68" s="15" t="s">
        <v>54</v>
      </c>
      <c r="S68" s="15" t="s">
        <v>55</v>
      </c>
      <c r="T68" s="19"/>
      <c r="U68" s="15" t="s">
        <v>46</v>
      </c>
    </row>
    <row r="69" ht="56.25" customHeight="1">
      <c r="A69" s="23" t="s">
        <v>442</v>
      </c>
      <c r="B69" s="32" t="str">
        <f>image("https://i.imgur.com/3klOCCy.png")</f>
        <v/>
      </c>
      <c r="C69" s="25" t="s">
        <v>40</v>
      </c>
      <c r="D69" s="25" t="s">
        <v>28</v>
      </c>
      <c r="E69" s="25" t="s">
        <v>28</v>
      </c>
      <c r="F69" s="24" t="s">
        <v>51</v>
      </c>
      <c r="G69" s="13">
        <v>1950.0</v>
      </c>
      <c r="H69" s="15">
        <v>6981.0</v>
      </c>
      <c r="I69" s="15"/>
      <c r="J69" s="15"/>
      <c r="K69" s="15"/>
      <c r="L69" s="15" t="s">
        <v>38</v>
      </c>
      <c r="M69" s="15"/>
      <c r="N69" s="15" t="s">
        <v>39</v>
      </c>
      <c r="O69" s="15" t="s">
        <v>40</v>
      </c>
      <c r="P69" s="15" t="s">
        <v>40</v>
      </c>
      <c r="Q69" s="15" t="s">
        <v>41</v>
      </c>
      <c r="R69" s="15" t="s">
        <v>54</v>
      </c>
      <c r="S69" s="15" t="s">
        <v>100</v>
      </c>
      <c r="T69" s="19" t="s">
        <v>101</v>
      </c>
      <c r="U69" s="15" t="s">
        <v>46</v>
      </c>
    </row>
    <row r="70" ht="56.25" customHeight="1">
      <c r="A70" s="13" t="s">
        <v>448</v>
      </c>
      <c r="B70" s="15" t="str">
        <f>image("https://i.imgur.com/RfN3xr4.png")</f>
        <v/>
      </c>
      <c r="C70" s="25" t="s">
        <v>40</v>
      </c>
      <c r="D70" s="15" t="s">
        <v>50</v>
      </c>
      <c r="E70" s="15" t="s">
        <v>28</v>
      </c>
      <c r="F70" s="13" t="s">
        <v>51</v>
      </c>
      <c r="G70" s="13">
        <v>500.0</v>
      </c>
      <c r="H70" s="15">
        <v>3684.0</v>
      </c>
      <c r="I70" s="15" t="s">
        <v>37</v>
      </c>
      <c r="J70" s="15" t="s">
        <v>84</v>
      </c>
      <c r="K70" s="15"/>
      <c r="L70" s="15" t="s">
        <v>38</v>
      </c>
      <c r="M70" s="15"/>
      <c r="N70" s="15" t="s">
        <v>39</v>
      </c>
      <c r="O70" s="15" t="s">
        <v>40</v>
      </c>
      <c r="P70" s="15" t="s">
        <v>40</v>
      </c>
      <c r="Q70" s="15" t="s">
        <v>41</v>
      </c>
      <c r="R70" s="15" t="s">
        <v>54</v>
      </c>
      <c r="S70" s="15" t="s">
        <v>55</v>
      </c>
      <c r="T70" s="19"/>
      <c r="U70" s="15" t="s">
        <v>46</v>
      </c>
    </row>
    <row r="71" ht="56.25" customHeight="1">
      <c r="A71" s="23" t="s">
        <v>455</v>
      </c>
      <c r="B71" s="32" t="str">
        <f>image("https://i.imgur.com/1IlyjPd.png")</f>
        <v/>
      </c>
      <c r="C71" s="25" t="s">
        <v>40</v>
      </c>
      <c r="D71" s="25" t="s">
        <v>28</v>
      </c>
      <c r="E71" s="25" t="s">
        <v>28</v>
      </c>
      <c r="F71" s="24" t="s">
        <v>51</v>
      </c>
      <c r="G71" s="13">
        <v>45000.0</v>
      </c>
      <c r="H71" s="15">
        <v>7016.0</v>
      </c>
      <c r="I71" s="15"/>
      <c r="J71" s="15"/>
      <c r="K71" s="15"/>
      <c r="L71" s="15" t="s">
        <v>38</v>
      </c>
      <c r="M71" s="15"/>
      <c r="N71" s="15" t="s">
        <v>39</v>
      </c>
      <c r="O71" s="15" t="s">
        <v>40</v>
      </c>
      <c r="P71" s="15" t="s">
        <v>40</v>
      </c>
      <c r="Q71" s="15" t="s">
        <v>41</v>
      </c>
      <c r="R71" s="15" t="s">
        <v>54</v>
      </c>
      <c r="S71" s="15" t="s">
        <v>100</v>
      </c>
      <c r="T71" s="19" t="s">
        <v>101</v>
      </c>
      <c r="U71" s="15" t="s">
        <v>46</v>
      </c>
    </row>
    <row r="72" ht="56.25" customHeight="1">
      <c r="A72" s="13" t="s">
        <v>461</v>
      </c>
      <c r="B72" s="15" t="str">
        <f>image("https://i.imgur.com/fxKc3qG.png")</f>
        <v/>
      </c>
      <c r="C72" s="17" t="str">
        <f>HYPERLINK("https://imgur.com/a/HggWthf","Yes")</f>
        <v>Yes</v>
      </c>
      <c r="D72" s="15" t="s">
        <v>28</v>
      </c>
      <c r="E72" s="15" t="s">
        <v>28</v>
      </c>
      <c r="F72" s="13">
        <v>270.0</v>
      </c>
      <c r="G72" s="24">
        <v>67.0</v>
      </c>
      <c r="H72" s="15">
        <v>918.0</v>
      </c>
      <c r="I72" s="15" t="s">
        <v>86</v>
      </c>
      <c r="J72" s="15" t="s">
        <v>37</v>
      </c>
      <c r="K72" s="15"/>
      <c r="L72" s="15" t="s">
        <v>38</v>
      </c>
      <c r="M72" s="15">
        <v>1.0</v>
      </c>
      <c r="N72" s="15" t="s">
        <v>39</v>
      </c>
      <c r="O72" s="15" t="s">
        <v>40</v>
      </c>
      <c r="P72" s="15" t="s">
        <v>40</v>
      </c>
      <c r="Q72" s="15" t="s">
        <v>41</v>
      </c>
      <c r="R72" s="15" t="s">
        <v>43</v>
      </c>
      <c r="S72" s="15" t="s">
        <v>44</v>
      </c>
      <c r="T72" s="19" t="s">
        <v>45</v>
      </c>
      <c r="U72" s="15" t="s">
        <v>46</v>
      </c>
    </row>
    <row r="73" ht="56.25" customHeight="1">
      <c r="A73" s="13" t="s">
        <v>467</v>
      </c>
      <c r="B73" s="15" t="str">
        <f>image("https://i.imgur.com/Sn41fT7.png")</f>
        <v/>
      </c>
      <c r="C73" s="25" t="s">
        <v>40</v>
      </c>
      <c r="D73" s="15" t="s">
        <v>28</v>
      </c>
      <c r="E73" s="15" t="s">
        <v>28</v>
      </c>
      <c r="F73" s="13">
        <v>2200.0</v>
      </c>
      <c r="G73" s="13">
        <v>550.0</v>
      </c>
      <c r="H73" s="15">
        <v>920.0</v>
      </c>
      <c r="I73" s="15" t="s">
        <v>86</v>
      </c>
      <c r="J73" s="15" t="s">
        <v>37</v>
      </c>
      <c r="K73" s="15"/>
      <c r="L73" s="15" t="s">
        <v>38</v>
      </c>
      <c r="M73" s="15"/>
      <c r="N73" s="15" t="s">
        <v>39</v>
      </c>
      <c r="O73" s="15" t="s">
        <v>40</v>
      </c>
      <c r="P73" s="15" t="s">
        <v>53</v>
      </c>
      <c r="Q73" s="15" t="s">
        <v>41</v>
      </c>
      <c r="R73" s="15" t="s">
        <v>43</v>
      </c>
      <c r="S73" s="15" t="s">
        <v>44</v>
      </c>
      <c r="T73" s="19" t="s">
        <v>45</v>
      </c>
      <c r="U73" s="15" t="s">
        <v>46</v>
      </c>
    </row>
    <row r="74" ht="56.25" customHeight="1">
      <c r="A74" s="23" t="s">
        <v>472</v>
      </c>
      <c r="B74" s="23" t="str">
        <f>IMAGE("https://i.imgur.com/Bxc99d4.png")</f>
        <v/>
      </c>
      <c r="C74" s="25" t="s">
        <v>40</v>
      </c>
      <c r="D74" s="25" t="s">
        <v>28</v>
      </c>
      <c r="E74" s="25" t="s">
        <v>28</v>
      </c>
      <c r="F74" s="24" t="s">
        <v>51</v>
      </c>
      <c r="G74" s="13">
        <v>900.0</v>
      </c>
      <c r="H74" s="15">
        <v>7111.0</v>
      </c>
      <c r="I74" s="15"/>
      <c r="J74" s="15"/>
      <c r="K74" s="15"/>
      <c r="L74" s="15" t="s">
        <v>38</v>
      </c>
      <c r="M74" s="15"/>
      <c r="N74" s="15" t="s">
        <v>39</v>
      </c>
      <c r="O74" s="15" t="s">
        <v>40</v>
      </c>
      <c r="P74" s="15" t="s">
        <v>40</v>
      </c>
      <c r="Q74" s="15" t="s">
        <v>41</v>
      </c>
      <c r="R74" s="15" t="s">
        <v>54</v>
      </c>
      <c r="S74" s="15" t="s">
        <v>57</v>
      </c>
      <c r="T74" s="19" t="s">
        <v>58</v>
      </c>
      <c r="U74" s="15" t="s">
        <v>46</v>
      </c>
    </row>
    <row r="75" ht="56.25" customHeight="1">
      <c r="A75" s="23" t="s">
        <v>474</v>
      </c>
      <c r="B75" s="23" t="str">
        <f>IMAGE("https://i.imgur.com/XcRJam3.png")</f>
        <v/>
      </c>
      <c r="C75" s="25" t="s">
        <v>40</v>
      </c>
      <c r="D75" s="25" t="s">
        <v>28</v>
      </c>
      <c r="E75" s="25" t="s">
        <v>28</v>
      </c>
      <c r="F75" s="24" t="s">
        <v>51</v>
      </c>
      <c r="G75" s="13">
        <v>480.0</v>
      </c>
      <c r="H75" s="15">
        <v>7085.0</v>
      </c>
      <c r="I75" s="15"/>
      <c r="J75" s="15"/>
      <c r="K75" s="15"/>
      <c r="L75" s="15" t="s">
        <v>38</v>
      </c>
      <c r="M75" s="15"/>
      <c r="N75" s="15" t="s">
        <v>39</v>
      </c>
      <c r="O75" s="15" t="s">
        <v>40</v>
      </c>
      <c r="P75" s="15" t="s">
        <v>40</v>
      </c>
      <c r="Q75" s="15" t="s">
        <v>41</v>
      </c>
      <c r="R75" s="15" t="s">
        <v>54</v>
      </c>
      <c r="S75" s="15" t="s">
        <v>57</v>
      </c>
      <c r="T75" s="19" t="s">
        <v>58</v>
      </c>
      <c r="U75" s="15" t="s">
        <v>46</v>
      </c>
    </row>
    <row r="76" ht="56.25" customHeight="1">
      <c r="A76" s="13" t="s">
        <v>478</v>
      </c>
      <c r="B76" s="15" t="str">
        <f>image("https://i.imgur.com/afGqdTu.png")</f>
        <v/>
      </c>
      <c r="C76" s="17" t="str">
        <f>HYPERLINK("https://imgur.com/a/LEoFFQ7","Yes")</f>
        <v>Yes</v>
      </c>
      <c r="D76" s="15" t="s">
        <v>28</v>
      </c>
      <c r="E76" s="15" t="s">
        <v>28</v>
      </c>
      <c r="F76" s="13">
        <v>1700.0</v>
      </c>
      <c r="G76" s="13">
        <v>425.0</v>
      </c>
      <c r="H76" s="15">
        <v>3064.0</v>
      </c>
      <c r="I76" s="15" t="s">
        <v>338</v>
      </c>
      <c r="J76" s="15" t="s">
        <v>37</v>
      </c>
      <c r="K76" s="15"/>
      <c r="L76" s="15" t="s">
        <v>38</v>
      </c>
      <c r="M76" s="15">
        <v>1.0</v>
      </c>
      <c r="N76" s="15" t="s">
        <v>39</v>
      </c>
      <c r="O76" s="15" t="s">
        <v>40</v>
      </c>
      <c r="P76" s="15" t="s">
        <v>53</v>
      </c>
      <c r="Q76" s="15" t="s">
        <v>41</v>
      </c>
      <c r="R76" s="15" t="s">
        <v>43</v>
      </c>
      <c r="S76" s="15" t="s">
        <v>44</v>
      </c>
      <c r="T76" s="19" t="s">
        <v>202</v>
      </c>
      <c r="U76" s="15" t="s">
        <v>46</v>
      </c>
    </row>
    <row r="77" ht="56.25" customHeight="1">
      <c r="A77" s="13" t="s">
        <v>482</v>
      </c>
      <c r="B77" s="15" t="str">
        <f>image("https://i.imgur.com/u9Rjlbs.png")</f>
        <v/>
      </c>
      <c r="C77" s="17" t="str">
        <f>HYPERLINK("https://imgur.com/a/kkGb4o1","Yes")</f>
        <v>Yes</v>
      </c>
      <c r="D77" s="15" t="s">
        <v>28</v>
      </c>
      <c r="E77" s="15" t="s">
        <v>28</v>
      </c>
      <c r="F77" s="13">
        <v>1600.0</v>
      </c>
      <c r="G77" s="13">
        <v>400.0</v>
      </c>
      <c r="H77" s="15">
        <v>4009.0</v>
      </c>
      <c r="I77" s="15" t="s">
        <v>61</v>
      </c>
      <c r="J77" s="15" t="s">
        <v>60</v>
      </c>
      <c r="K77" s="15"/>
      <c r="L77" s="15" t="s">
        <v>38</v>
      </c>
      <c r="M77" s="15">
        <v>1.0</v>
      </c>
      <c r="N77" s="15" t="s">
        <v>39</v>
      </c>
      <c r="O77" s="15" t="s">
        <v>40</v>
      </c>
      <c r="P77" s="15" t="s">
        <v>53</v>
      </c>
      <c r="Q77" s="15" t="s">
        <v>41</v>
      </c>
      <c r="R77" s="15" t="s">
        <v>43</v>
      </c>
      <c r="S77" s="15" t="s">
        <v>44</v>
      </c>
      <c r="T77" s="19" t="s">
        <v>45</v>
      </c>
      <c r="U77" s="15" t="s">
        <v>46</v>
      </c>
    </row>
    <row r="78" ht="56.25" customHeight="1">
      <c r="A78" s="23" t="s">
        <v>489</v>
      </c>
      <c r="B78" s="32" t="str">
        <f>image("https://i.imgur.com/WCaTptD.png")</f>
        <v/>
      </c>
      <c r="C78" s="25" t="s">
        <v>40</v>
      </c>
      <c r="D78" s="25" t="s">
        <v>28</v>
      </c>
      <c r="E78" s="25" t="s">
        <v>28</v>
      </c>
      <c r="F78" s="24" t="s">
        <v>51</v>
      </c>
      <c r="G78" s="13">
        <v>600.0</v>
      </c>
      <c r="H78" s="15">
        <v>7029.0</v>
      </c>
      <c r="I78" s="15"/>
      <c r="J78" s="15"/>
      <c r="K78" s="15"/>
      <c r="L78" s="15" t="s">
        <v>38</v>
      </c>
      <c r="M78" s="15"/>
      <c r="N78" s="15" t="s">
        <v>39</v>
      </c>
      <c r="O78" s="15" t="s">
        <v>40</v>
      </c>
      <c r="P78" s="15" t="s">
        <v>40</v>
      </c>
      <c r="Q78" s="15" t="s">
        <v>41</v>
      </c>
      <c r="R78" s="15" t="s">
        <v>54</v>
      </c>
      <c r="S78" s="15" t="s">
        <v>100</v>
      </c>
      <c r="T78" s="19" t="s">
        <v>101</v>
      </c>
      <c r="U78" s="15" t="s">
        <v>46</v>
      </c>
    </row>
    <row r="79" ht="56.25" customHeight="1">
      <c r="A79" s="13" t="s">
        <v>493</v>
      </c>
      <c r="B79" s="15" t="str">
        <f>image("https://i.imgur.com/UUX4hOM.png")</f>
        <v/>
      </c>
      <c r="C79" s="17" t="str">
        <f>HYPERLINK("https://imgur.com/a/MkpoKWH","Yes")</f>
        <v>Yes</v>
      </c>
      <c r="D79" s="15" t="s">
        <v>28</v>
      </c>
      <c r="E79" s="15" t="s">
        <v>28</v>
      </c>
      <c r="F79" s="13">
        <v>500.0</v>
      </c>
      <c r="G79" s="13">
        <v>125.0</v>
      </c>
      <c r="H79" s="15">
        <v>1161.0</v>
      </c>
      <c r="I79" s="15" t="s">
        <v>86</v>
      </c>
      <c r="J79" s="15" t="s">
        <v>37</v>
      </c>
      <c r="K79" s="15"/>
      <c r="L79" s="15" t="s">
        <v>38</v>
      </c>
      <c r="M79" s="15">
        <v>1.0</v>
      </c>
      <c r="N79" s="15" t="s">
        <v>39</v>
      </c>
      <c r="O79" s="15" t="s">
        <v>40</v>
      </c>
      <c r="P79" s="15" t="s">
        <v>40</v>
      </c>
      <c r="Q79" s="15" t="s">
        <v>41</v>
      </c>
      <c r="R79" s="15" t="s">
        <v>43</v>
      </c>
      <c r="S79" s="15" t="s">
        <v>44</v>
      </c>
      <c r="T79" s="19" t="s">
        <v>45</v>
      </c>
      <c r="U79" s="15" t="s">
        <v>46</v>
      </c>
    </row>
    <row r="80" ht="56.25" customHeight="1">
      <c r="A80" s="23" t="s">
        <v>500</v>
      </c>
      <c r="B80" s="23" t="str">
        <f>IMAGE("https://i.imgur.com/v4we0Ov.png")</f>
        <v/>
      </c>
      <c r="C80" s="25" t="s">
        <v>40</v>
      </c>
      <c r="D80" s="25" t="s">
        <v>28</v>
      </c>
      <c r="E80" s="25" t="s">
        <v>28</v>
      </c>
      <c r="F80" s="24" t="s">
        <v>51</v>
      </c>
      <c r="G80" s="13">
        <v>390.0</v>
      </c>
      <c r="H80" s="15">
        <v>7077.0</v>
      </c>
      <c r="I80" s="15"/>
      <c r="J80" s="15"/>
      <c r="K80" s="15"/>
      <c r="L80" s="15" t="s">
        <v>38</v>
      </c>
      <c r="M80" s="15"/>
      <c r="N80" s="15" t="s">
        <v>39</v>
      </c>
      <c r="O80" s="15" t="s">
        <v>40</v>
      </c>
      <c r="P80" s="15" t="s">
        <v>40</v>
      </c>
      <c r="Q80" s="15" t="s">
        <v>41</v>
      </c>
      <c r="R80" s="15" t="s">
        <v>54</v>
      </c>
      <c r="S80" s="15" t="s">
        <v>57</v>
      </c>
      <c r="T80" s="19" t="s">
        <v>58</v>
      </c>
      <c r="U80" s="15" t="s">
        <v>46</v>
      </c>
    </row>
    <row r="81" ht="56.25" customHeight="1">
      <c r="A81" s="23" t="s">
        <v>505</v>
      </c>
      <c r="B81" s="32" t="str">
        <f>image("https://i.imgur.com/giKDlSO.png")</f>
        <v/>
      </c>
      <c r="C81" s="25" t="s">
        <v>40</v>
      </c>
      <c r="D81" s="25" t="s">
        <v>28</v>
      </c>
      <c r="E81" s="25" t="s">
        <v>28</v>
      </c>
      <c r="F81" s="24" t="s">
        <v>51</v>
      </c>
      <c r="G81" s="13">
        <v>480.0</v>
      </c>
      <c r="H81" s="15">
        <v>6929.0</v>
      </c>
      <c r="I81" s="15"/>
      <c r="J81" s="15"/>
      <c r="K81" s="15"/>
      <c r="L81" s="15" t="s">
        <v>38</v>
      </c>
      <c r="M81" s="15"/>
      <c r="N81" s="15" t="s">
        <v>39</v>
      </c>
      <c r="O81" s="15" t="s">
        <v>40</v>
      </c>
      <c r="P81" s="15" t="s">
        <v>40</v>
      </c>
      <c r="Q81" s="15" t="s">
        <v>41</v>
      </c>
      <c r="R81" s="15" t="s">
        <v>54</v>
      </c>
      <c r="S81" s="15" t="s">
        <v>100</v>
      </c>
      <c r="T81" s="19" t="s">
        <v>101</v>
      </c>
      <c r="U81" s="15" t="s">
        <v>46</v>
      </c>
    </row>
    <row r="82" ht="56.25" customHeight="1">
      <c r="A82" s="13" t="s">
        <v>511</v>
      </c>
      <c r="B82" s="15" t="str">
        <f>image("https://i.imgur.com/1zkaC3S.png")</f>
        <v/>
      </c>
      <c r="C82" s="17" t="str">
        <f>HYPERLINK("https://imgur.com/a/6cIOpyG","Yes")</f>
        <v>Yes</v>
      </c>
      <c r="D82" s="15" t="s">
        <v>28</v>
      </c>
      <c r="E82" s="15" t="s">
        <v>50</v>
      </c>
      <c r="F82" s="13">
        <v>300.0</v>
      </c>
      <c r="G82" s="13">
        <v>75.0</v>
      </c>
      <c r="H82" s="15">
        <v>1792.0</v>
      </c>
      <c r="I82" s="15" t="s">
        <v>60</v>
      </c>
      <c r="J82" s="15" t="s">
        <v>113</v>
      </c>
      <c r="K82" s="15"/>
      <c r="L82" s="15" t="s">
        <v>38</v>
      </c>
      <c r="M82" s="15">
        <v>1.0</v>
      </c>
      <c r="N82" s="15" t="s">
        <v>39</v>
      </c>
      <c r="O82" s="15" t="s">
        <v>40</v>
      </c>
      <c r="P82" s="15" t="s">
        <v>53</v>
      </c>
      <c r="Q82" s="15" t="s">
        <v>41</v>
      </c>
      <c r="R82" s="15" t="s">
        <v>43</v>
      </c>
      <c r="S82" s="15" t="s">
        <v>44</v>
      </c>
      <c r="T82" s="19" t="s">
        <v>45</v>
      </c>
      <c r="U82" s="15" t="s">
        <v>46</v>
      </c>
    </row>
    <row r="83" ht="56.25" customHeight="1">
      <c r="A83" s="13" t="s">
        <v>519</v>
      </c>
      <c r="B83" s="15" t="str">
        <f>image("https://i.imgur.com/0XhlxLm.png")</f>
        <v/>
      </c>
      <c r="C83" s="17" t="str">
        <f>HYPERLINK("https://imgur.com/a/cpKFITD","Yes")</f>
        <v>Yes</v>
      </c>
      <c r="D83" s="15" t="s">
        <v>28</v>
      </c>
      <c r="E83" s="15" t="s">
        <v>28</v>
      </c>
      <c r="F83" s="13">
        <v>2600.0</v>
      </c>
      <c r="G83" s="13">
        <v>650.0</v>
      </c>
      <c r="H83" s="15">
        <v>4003.0</v>
      </c>
      <c r="I83" s="15" t="s">
        <v>36</v>
      </c>
      <c r="J83" s="15"/>
      <c r="K83" s="15" t="s">
        <v>384</v>
      </c>
      <c r="L83" s="15" t="s">
        <v>38</v>
      </c>
      <c r="M83" s="15">
        <v>1.0</v>
      </c>
      <c r="N83" s="15" t="s">
        <v>371</v>
      </c>
      <c r="O83" s="15" t="s">
        <v>40</v>
      </c>
      <c r="P83" s="15" t="s">
        <v>53</v>
      </c>
      <c r="Q83" s="15" t="s">
        <v>41</v>
      </c>
      <c r="R83" s="15" t="s">
        <v>43</v>
      </c>
      <c r="S83" s="15" t="s">
        <v>44</v>
      </c>
      <c r="T83" s="19" t="s">
        <v>45</v>
      </c>
      <c r="U83" s="15" t="s">
        <v>46</v>
      </c>
    </row>
    <row r="84" ht="56.25" customHeight="1">
      <c r="A84" s="13" t="s">
        <v>526</v>
      </c>
      <c r="B84" s="15" t="str">
        <f>image("https://i.imgur.com/C2MKfRg.png")</f>
        <v/>
      </c>
      <c r="C84" s="22" t="str">
        <f>HYPERLINK("https://imgur.com/a/JTmh4dn","Yes")</f>
        <v>Yes</v>
      </c>
      <c r="D84" s="25" t="s">
        <v>50</v>
      </c>
      <c r="E84" s="15" t="s">
        <v>50</v>
      </c>
      <c r="F84" s="13" t="s">
        <v>51</v>
      </c>
      <c r="G84" s="13">
        <v>990.0</v>
      </c>
      <c r="H84" s="15">
        <v>3618.0</v>
      </c>
      <c r="I84" s="15" t="s">
        <v>86</v>
      </c>
      <c r="J84" s="15" t="s">
        <v>37</v>
      </c>
      <c r="K84" s="15"/>
      <c r="L84" s="15" t="s">
        <v>38</v>
      </c>
      <c r="M84" s="15">
        <v>3.0</v>
      </c>
      <c r="N84" s="15" t="s">
        <v>39</v>
      </c>
      <c r="O84" s="15" t="s">
        <v>40</v>
      </c>
      <c r="P84" s="15" t="s">
        <v>40</v>
      </c>
      <c r="Q84" s="15" t="s">
        <v>41</v>
      </c>
      <c r="R84" s="15" t="s">
        <v>54</v>
      </c>
      <c r="S84" s="15" t="s">
        <v>55</v>
      </c>
      <c r="T84" s="19"/>
      <c r="U84" s="15" t="s">
        <v>46</v>
      </c>
    </row>
    <row r="85" ht="56.25" customHeight="1">
      <c r="A85" s="23" t="s">
        <v>535</v>
      </c>
      <c r="B85" s="23" t="str">
        <f>IMAGE("https://i.imgur.com/6gGvtwz.png")</f>
        <v/>
      </c>
      <c r="C85" s="25" t="s">
        <v>40</v>
      </c>
      <c r="D85" s="25" t="s">
        <v>28</v>
      </c>
      <c r="E85" s="25" t="s">
        <v>28</v>
      </c>
      <c r="F85" s="24" t="s">
        <v>51</v>
      </c>
      <c r="G85" s="13">
        <v>24000.0</v>
      </c>
      <c r="H85" s="15">
        <v>7064.0</v>
      </c>
      <c r="I85" s="15"/>
      <c r="J85" s="15"/>
      <c r="K85" s="15"/>
      <c r="L85" s="15" t="s">
        <v>38</v>
      </c>
      <c r="M85" s="15"/>
      <c r="N85" s="15" t="s">
        <v>39</v>
      </c>
      <c r="O85" s="15" t="s">
        <v>40</v>
      </c>
      <c r="P85" s="15" t="s">
        <v>40</v>
      </c>
      <c r="Q85" s="15" t="s">
        <v>41</v>
      </c>
      <c r="R85" s="15" t="s">
        <v>54</v>
      </c>
      <c r="S85" s="15" t="s">
        <v>57</v>
      </c>
      <c r="T85" s="19" t="s">
        <v>58</v>
      </c>
      <c r="U85" s="15" t="s">
        <v>46</v>
      </c>
    </row>
    <row r="86" ht="56.25" customHeight="1">
      <c r="A86" s="23" t="s">
        <v>541</v>
      </c>
      <c r="B86" s="32" t="str">
        <f>image("https://i.imgur.com/HTaiHmF.png")</f>
        <v/>
      </c>
      <c r="C86" s="25" t="s">
        <v>40</v>
      </c>
      <c r="D86" s="25" t="s">
        <v>28</v>
      </c>
      <c r="E86" s="25" t="s">
        <v>28</v>
      </c>
      <c r="F86" s="24" t="s">
        <v>51</v>
      </c>
      <c r="G86" s="13">
        <v>900.0</v>
      </c>
      <c r="H86" s="15">
        <v>6965.0</v>
      </c>
      <c r="I86" s="15"/>
      <c r="J86" s="15"/>
      <c r="K86" s="15"/>
      <c r="L86" s="15" t="s">
        <v>38</v>
      </c>
      <c r="M86" s="15"/>
      <c r="N86" s="15" t="s">
        <v>39</v>
      </c>
      <c r="O86" s="15" t="s">
        <v>40</v>
      </c>
      <c r="P86" s="15" t="s">
        <v>40</v>
      </c>
      <c r="Q86" s="15" t="s">
        <v>41</v>
      </c>
      <c r="R86" s="15" t="s">
        <v>54</v>
      </c>
      <c r="S86" s="15" t="s">
        <v>100</v>
      </c>
      <c r="T86" s="19" t="s">
        <v>101</v>
      </c>
      <c r="U86" s="15" t="s">
        <v>46</v>
      </c>
    </row>
    <row r="87" ht="56.25" customHeight="1">
      <c r="A87" s="23" t="s">
        <v>550</v>
      </c>
      <c r="B87" s="32" t="str">
        <f>image("https://i.imgur.com/QwvDvKe.png")</f>
        <v/>
      </c>
      <c r="C87" s="25" t="s">
        <v>40</v>
      </c>
      <c r="D87" s="25" t="s">
        <v>28</v>
      </c>
      <c r="E87" s="25" t="s">
        <v>28</v>
      </c>
      <c r="F87" s="24" t="s">
        <v>51</v>
      </c>
      <c r="G87" s="13">
        <v>720.0</v>
      </c>
      <c r="H87" s="15">
        <v>7024.0</v>
      </c>
      <c r="I87" s="15"/>
      <c r="J87" s="15"/>
      <c r="K87" s="15"/>
      <c r="L87" s="15" t="s">
        <v>38</v>
      </c>
      <c r="M87" s="15"/>
      <c r="N87" s="15" t="s">
        <v>39</v>
      </c>
      <c r="O87" s="15" t="s">
        <v>40</v>
      </c>
      <c r="P87" s="15" t="s">
        <v>40</v>
      </c>
      <c r="Q87" s="15" t="s">
        <v>41</v>
      </c>
      <c r="R87" s="15" t="s">
        <v>54</v>
      </c>
      <c r="S87" s="15" t="s">
        <v>100</v>
      </c>
      <c r="T87" s="19" t="s">
        <v>101</v>
      </c>
      <c r="U87" s="15" t="s">
        <v>46</v>
      </c>
    </row>
    <row r="88" ht="56.25" customHeight="1">
      <c r="A88" s="13" t="s">
        <v>559</v>
      </c>
      <c r="B88" s="15" t="str">
        <f>image("https://i.imgur.com/eZbKlZK.png")</f>
        <v/>
      </c>
      <c r="C88" s="17" t="str">
        <f>HYPERLINK("https://imgur.com/a/tjaY5de","Yes")</f>
        <v>Yes</v>
      </c>
      <c r="D88" s="25" t="s">
        <v>28</v>
      </c>
      <c r="E88" s="15" t="s">
        <v>28</v>
      </c>
      <c r="F88" s="13" t="s">
        <v>51</v>
      </c>
      <c r="G88" s="13">
        <v>1010.0</v>
      </c>
      <c r="H88" s="15">
        <v>12140.0</v>
      </c>
      <c r="I88" s="15" t="s">
        <v>113</v>
      </c>
      <c r="J88" s="15" t="s">
        <v>60</v>
      </c>
      <c r="K88" s="15"/>
      <c r="L88" s="15" t="s">
        <v>38</v>
      </c>
      <c r="M88" s="15">
        <v>2.0</v>
      </c>
      <c r="N88" s="15" t="s">
        <v>39</v>
      </c>
      <c r="O88" s="15" t="s">
        <v>40</v>
      </c>
      <c r="P88" s="15" t="s">
        <v>40</v>
      </c>
      <c r="Q88" s="15" t="s">
        <v>41</v>
      </c>
      <c r="R88" s="15" t="s">
        <v>54</v>
      </c>
      <c r="S88" s="15" t="s">
        <v>563</v>
      </c>
      <c r="T88" s="19" t="s">
        <v>565</v>
      </c>
      <c r="U88" s="15" t="s">
        <v>46</v>
      </c>
    </row>
    <row r="89" ht="56.25" customHeight="1">
      <c r="A89" s="13" t="s">
        <v>567</v>
      </c>
      <c r="B89" s="15" t="str">
        <f>image("https://i.imgur.com/G7rbPnO.png")</f>
        <v/>
      </c>
      <c r="C89" s="25" t="s">
        <v>40</v>
      </c>
      <c r="D89" s="25" t="s">
        <v>28</v>
      </c>
      <c r="E89" s="15" t="s">
        <v>28</v>
      </c>
      <c r="F89" s="13" t="s">
        <v>51</v>
      </c>
      <c r="G89" s="13">
        <v>1010.0</v>
      </c>
      <c r="H89" s="15">
        <v>12139.0</v>
      </c>
      <c r="I89" s="15" t="s">
        <v>86</v>
      </c>
      <c r="J89" s="15" t="s">
        <v>60</v>
      </c>
      <c r="K89" s="15"/>
      <c r="L89" s="15" t="s">
        <v>38</v>
      </c>
      <c r="M89" s="15"/>
      <c r="N89" s="15" t="s">
        <v>39</v>
      </c>
      <c r="O89" s="15" t="s">
        <v>40</v>
      </c>
      <c r="P89" s="15" t="s">
        <v>40</v>
      </c>
      <c r="Q89" s="15" t="s">
        <v>41</v>
      </c>
      <c r="R89" s="15" t="s">
        <v>54</v>
      </c>
      <c r="S89" s="15" t="s">
        <v>563</v>
      </c>
      <c r="T89" s="19" t="s">
        <v>565</v>
      </c>
      <c r="U89" s="15" t="s">
        <v>46</v>
      </c>
    </row>
    <row r="90" ht="56.25" customHeight="1">
      <c r="A90" s="13" t="s">
        <v>571</v>
      </c>
      <c r="B90" s="15" t="str">
        <f>image("https://i.imgur.com/EQVuCaB.png")</f>
        <v/>
      </c>
      <c r="C90" s="22" t="str">
        <f>HYPERLINK("https://imgur.com/a/jVreBC1","Yes")</f>
        <v>Yes</v>
      </c>
      <c r="D90" s="15" t="s">
        <v>28</v>
      </c>
      <c r="E90" s="25" t="s">
        <v>50</v>
      </c>
      <c r="F90" s="13" t="s">
        <v>51</v>
      </c>
      <c r="G90" s="13">
        <v>1300.0</v>
      </c>
      <c r="H90" s="15">
        <v>685.0</v>
      </c>
      <c r="I90" s="15" t="s">
        <v>284</v>
      </c>
      <c r="J90" s="15"/>
      <c r="K90" s="15"/>
      <c r="L90" s="15" t="s">
        <v>38</v>
      </c>
      <c r="M90" s="15">
        <v>2.0</v>
      </c>
      <c r="N90" s="15" t="s">
        <v>39</v>
      </c>
      <c r="O90" s="15" t="s">
        <v>40</v>
      </c>
      <c r="P90" s="15" t="s">
        <v>40</v>
      </c>
      <c r="Q90" s="15" t="s">
        <v>41</v>
      </c>
      <c r="R90" s="15" t="s">
        <v>54</v>
      </c>
      <c r="S90" s="15" t="s">
        <v>574</v>
      </c>
      <c r="T90" s="19"/>
      <c r="U90" s="15" t="s">
        <v>46</v>
      </c>
    </row>
    <row r="91" ht="56.25" customHeight="1">
      <c r="A91" s="23" t="s">
        <v>575</v>
      </c>
      <c r="B91" s="23" t="str">
        <f>IMAGE("https://i.imgur.com/NGrGhU0.png")</f>
        <v/>
      </c>
      <c r="C91" s="25" t="s">
        <v>40</v>
      </c>
      <c r="D91" s="25" t="s">
        <v>28</v>
      </c>
      <c r="E91" s="25" t="s">
        <v>28</v>
      </c>
      <c r="F91" s="24" t="s">
        <v>51</v>
      </c>
      <c r="G91" s="13">
        <v>1500.0</v>
      </c>
      <c r="H91" s="15">
        <v>7121.0</v>
      </c>
      <c r="I91" s="15"/>
      <c r="J91" s="15"/>
      <c r="K91" s="15"/>
      <c r="L91" s="15" t="s">
        <v>38</v>
      </c>
      <c r="M91" s="15"/>
      <c r="N91" s="15" t="s">
        <v>39</v>
      </c>
      <c r="O91" s="15" t="s">
        <v>40</v>
      </c>
      <c r="P91" s="15" t="s">
        <v>40</v>
      </c>
      <c r="Q91" s="15" t="s">
        <v>41</v>
      </c>
      <c r="R91" s="15" t="s">
        <v>54</v>
      </c>
      <c r="S91" s="15" t="s">
        <v>57</v>
      </c>
      <c r="T91" s="19" t="s">
        <v>58</v>
      </c>
      <c r="U91" s="15" t="s">
        <v>46</v>
      </c>
    </row>
    <row r="92" ht="56.25" customHeight="1">
      <c r="A92" s="23" t="s">
        <v>580</v>
      </c>
      <c r="B92" s="23" t="str">
        <f>IMAGE("https://i.imgur.com/WS0r3ZO.png")</f>
        <v/>
      </c>
      <c r="C92" s="25" t="s">
        <v>40</v>
      </c>
      <c r="D92" s="25" t="s">
        <v>28</v>
      </c>
      <c r="E92" s="25" t="s">
        <v>28</v>
      </c>
      <c r="F92" s="24" t="s">
        <v>51</v>
      </c>
      <c r="G92" s="13">
        <v>690.0</v>
      </c>
      <c r="H92" s="15">
        <v>7058.0</v>
      </c>
      <c r="I92" s="15"/>
      <c r="J92" s="15"/>
      <c r="K92" s="15"/>
      <c r="L92" s="15" t="s">
        <v>38</v>
      </c>
      <c r="M92" s="15"/>
      <c r="N92" s="15" t="s">
        <v>39</v>
      </c>
      <c r="O92" s="15" t="s">
        <v>40</v>
      </c>
      <c r="P92" s="15" t="s">
        <v>40</v>
      </c>
      <c r="Q92" s="15" t="s">
        <v>41</v>
      </c>
      <c r="R92" s="15" t="s">
        <v>54</v>
      </c>
      <c r="S92" s="15" t="s">
        <v>57</v>
      </c>
      <c r="T92" s="19" t="s">
        <v>58</v>
      </c>
      <c r="U92" s="15" t="s">
        <v>46</v>
      </c>
    </row>
    <row r="93" ht="56.25" customHeight="1">
      <c r="A93" s="13" t="s">
        <v>584</v>
      </c>
      <c r="B93" s="15" t="str">
        <f>image("https://i.imgur.com/3fjKLIB.png")</f>
        <v/>
      </c>
      <c r="C93" s="17" t="str">
        <f>HYPERLINK("https://imgur.com/a/JMCu5xj","Yes")</f>
        <v>Yes</v>
      </c>
      <c r="D93" s="15" t="s">
        <v>50</v>
      </c>
      <c r="E93" s="15" t="s">
        <v>50</v>
      </c>
      <c r="F93" s="13" t="s">
        <v>51</v>
      </c>
      <c r="G93" s="13">
        <v>480.0</v>
      </c>
      <c r="H93" s="15">
        <v>1797.0</v>
      </c>
      <c r="I93" s="15" t="s">
        <v>113</v>
      </c>
      <c r="J93" s="15"/>
      <c r="K93" s="15"/>
      <c r="L93" s="15" t="s">
        <v>38</v>
      </c>
      <c r="M93" s="15">
        <v>1.0</v>
      </c>
      <c r="N93" s="15" t="s">
        <v>39</v>
      </c>
      <c r="O93" s="15" t="s">
        <v>40</v>
      </c>
      <c r="P93" s="15" t="s">
        <v>40</v>
      </c>
      <c r="Q93" s="15" t="s">
        <v>41</v>
      </c>
      <c r="R93" s="15" t="s">
        <v>54</v>
      </c>
      <c r="S93" s="15" t="s">
        <v>55</v>
      </c>
      <c r="T93" s="19"/>
      <c r="U93" s="15" t="s">
        <v>46</v>
      </c>
    </row>
    <row r="94" ht="56.25" customHeight="1">
      <c r="A94" s="13" t="s">
        <v>589</v>
      </c>
      <c r="B94" s="15" t="str">
        <f>image("https://i.imgur.com/Gu7XBh5.png")</f>
        <v/>
      </c>
      <c r="C94" s="17" t="str">
        <f>HYPERLINK("https://imgur.com/a/DqjE0ns","Yes")</f>
        <v>Yes</v>
      </c>
      <c r="D94" s="15" t="s">
        <v>28</v>
      </c>
      <c r="E94" s="15" t="s">
        <v>28</v>
      </c>
      <c r="F94" s="13">
        <v>1600.0</v>
      </c>
      <c r="G94" s="13">
        <v>400.0</v>
      </c>
      <c r="H94" s="15">
        <v>1868.0</v>
      </c>
      <c r="I94" s="15" t="s">
        <v>113</v>
      </c>
      <c r="J94" s="15" t="s">
        <v>37</v>
      </c>
      <c r="K94" s="15"/>
      <c r="L94" s="15" t="s">
        <v>38</v>
      </c>
      <c r="M94" s="15">
        <v>1.0</v>
      </c>
      <c r="N94" s="15" t="s">
        <v>39</v>
      </c>
      <c r="O94" s="15" t="s">
        <v>40</v>
      </c>
      <c r="P94" s="15" t="s">
        <v>53</v>
      </c>
      <c r="Q94" s="15" t="s">
        <v>41</v>
      </c>
      <c r="R94" s="15" t="s">
        <v>43</v>
      </c>
      <c r="S94" s="15" t="s">
        <v>44</v>
      </c>
      <c r="T94" s="19" t="s">
        <v>45</v>
      </c>
      <c r="U94" s="15" t="s">
        <v>46</v>
      </c>
    </row>
    <row r="95" ht="56.25" customHeight="1">
      <c r="A95" s="13" t="s">
        <v>595</v>
      </c>
      <c r="B95" s="15" t="str">
        <f>image("https://i.imgur.com/vs041yK.png")</f>
        <v/>
      </c>
      <c r="C95" s="17" t="str">
        <f>HYPERLINK("https://imgur.com/a/IopfypO","Yes")</f>
        <v>Yes</v>
      </c>
      <c r="D95" s="15" t="s">
        <v>28</v>
      </c>
      <c r="E95" s="15" t="s">
        <v>28</v>
      </c>
      <c r="F95" s="13">
        <v>100000.0</v>
      </c>
      <c r="G95" s="13">
        <v>25000.0</v>
      </c>
      <c r="H95" s="15">
        <v>3590.0</v>
      </c>
      <c r="I95" s="15" t="s">
        <v>61</v>
      </c>
      <c r="J95" s="15" t="s">
        <v>60</v>
      </c>
      <c r="K95" s="15"/>
      <c r="L95" s="15" t="s">
        <v>38</v>
      </c>
      <c r="M95" s="15">
        <v>7.0</v>
      </c>
      <c r="N95" s="15" t="s">
        <v>39</v>
      </c>
      <c r="O95" s="15" t="s">
        <v>40</v>
      </c>
      <c r="P95" s="15" t="s">
        <v>53</v>
      </c>
      <c r="Q95" s="15" t="s">
        <v>215</v>
      </c>
      <c r="R95" s="15" t="s">
        <v>43</v>
      </c>
      <c r="S95" s="15" t="s">
        <v>44</v>
      </c>
      <c r="T95" s="19" t="s">
        <v>65</v>
      </c>
      <c r="U95" s="15" t="s">
        <v>46</v>
      </c>
    </row>
    <row r="96" ht="56.25" customHeight="1">
      <c r="A96" s="13" t="s">
        <v>597</v>
      </c>
      <c r="B96" s="15" t="str">
        <f>image("https://i.imgur.com/G8E8aZx.png")</f>
        <v/>
      </c>
      <c r="C96" s="17" t="str">
        <f>HYPERLINK("https://imgur.com/a/5nkH527","Yes")</f>
        <v>Yes</v>
      </c>
      <c r="D96" s="15" t="s">
        <v>28</v>
      </c>
      <c r="E96" s="15" t="s">
        <v>28</v>
      </c>
      <c r="F96" s="13">
        <v>1600.0</v>
      </c>
      <c r="G96" s="13">
        <v>400.0</v>
      </c>
      <c r="H96" s="15">
        <v>2731.0</v>
      </c>
      <c r="I96" s="15" t="s">
        <v>60</v>
      </c>
      <c r="J96" s="15" t="s">
        <v>113</v>
      </c>
      <c r="K96" s="15"/>
      <c r="L96" s="15" t="s">
        <v>38</v>
      </c>
      <c r="M96" s="15">
        <v>1.0</v>
      </c>
      <c r="N96" s="15" t="s">
        <v>39</v>
      </c>
      <c r="O96" s="15" t="s">
        <v>40</v>
      </c>
      <c r="P96" s="15" t="s">
        <v>53</v>
      </c>
      <c r="Q96" s="15" t="s">
        <v>41</v>
      </c>
      <c r="R96" s="15" t="s">
        <v>43</v>
      </c>
      <c r="S96" s="15" t="s">
        <v>44</v>
      </c>
      <c r="T96" s="19" t="s">
        <v>45</v>
      </c>
      <c r="U96" s="15" t="s">
        <v>46</v>
      </c>
    </row>
    <row r="97" ht="56.25" customHeight="1">
      <c r="A97" s="13" t="s">
        <v>600</v>
      </c>
      <c r="B97" s="15" t="str">
        <f>image("https://i.imgur.com/IMx54Ix.png")</f>
        <v/>
      </c>
      <c r="C97" s="25" t="s">
        <v>40</v>
      </c>
      <c r="D97" s="15" t="s">
        <v>28</v>
      </c>
      <c r="E97" s="15" t="s">
        <v>28</v>
      </c>
      <c r="F97" s="13">
        <v>930.0</v>
      </c>
      <c r="G97" s="24">
        <v>232.0</v>
      </c>
      <c r="H97" s="15">
        <v>1798.0</v>
      </c>
      <c r="I97" s="15" t="s">
        <v>86</v>
      </c>
      <c r="J97" s="15" t="s">
        <v>37</v>
      </c>
      <c r="K97" s="15"/>
      <c r="L97" s="15" t="s">
        <v>38</v>
      </c>
      <c r="M97" s="15"/>
      <c r="N97" s="15" t="s">
        <v>39</v>
      </c>
      <c r="O97" s="15" t="s">
        <v>40</v>
      </c>
      <c r="P97" s="15" t="s">
        <v>40</v>
      </c>
      <c r="Q97" s="15" t="s">
        <v>41</v>
      </c>
      <c r="R97" s="15" t="s">
        <v>43</v>
      </c>
      <c r="S97" s="15" t="s">
        <v>44</v>
      </c>
      <c r="T97" s="19" t="s">
        <v>45</v>
      </c>
      <c r="U97" s="15" t="s">
        <v>46</v>
      </c>
    </row>
    <row r="98" ht="56.25" customHeight="1">
      <c r="A98" s="13" t="s">
        <v>604</v>
      </c>
      <c r="B98" s="15" t="str">
        <f>image("https://i.imgur.com/NouMSV0.png")</f>
        <v/>
      </c>
      <c r="C98" s="17" t="str">
        <f>HYPERLINK("https://imgur.com/a/0FOsBC7","Yes")</f>
        <v>Yes</v>
      </c>
      <c r="D98" s="15" t="s">
        <v>28</v>
      </c>
      <c r="E98" s="15" t="s">
        <v>28</v>
      </c>
      <c r="F98" s="13">
        <v>530.0</v>
      </c>
      <c r="G98" s="24">
        <v>132.0</v>
      </c>
      <c r="H98" s="15">
        <v>3400.0</v>
      </c>
      <c r="I98" s="15" t="s">
        <v>86</v>
      </c>
      <c r="J98" s="15" t="s">
        <v>37</v>
      </c>
      <c r="K98" s="15"/>
      <c r="L98" s="15" t="s">
        <v>38</v>
      </c>
      <c r="M98" s="15">
        <v>1.0</v>
      </c>
      <c r="N98" s="15" t="s">
        <v>39</v>
      </c>
      <c r="O98" s="15" t="s">
        <v>40</v>
      </c>
      <c r="P98" s="15" t="s">
        <v>40</v>
      </c>
      <c r="Q98" s="15" t="s">
        <v>41</v>
      </c>
      <c r="R98" s="15" t="s">
        <v>43</v>
      </c>
      <c r="S98" s="15" t="s">
        <v>44</v>
      </c>
      <c r="T98" s="19" t="s">
        <v>45</v>
      </c>
      <c r="U98" s="15" t="s">
        <v>46</v>
      </c>
    </row>
    <row r="99" ht="56.25" customHeight="1">
      <c r="A99" s="23" t="s">
        <v>611</v>
      </c>
      <c r="B99" s="23" t="str">
        <f>IMAGE("https://i.imgur.com/DwnaMYO.png")</f>
        <v/>
      </c>
      <c r="C99" s="25" t="s">
        <v>40</v>
      </c>
      <c r="D99" s="25" t="s">
        <v>28</v>
      </c>
      <c r="E99" s="25" t="s">
        <v>28</v>
      </c>
      <c r="F99" s="24" t="s">
        <v>51</v>
      </c>
      <c r="G99" s="13">
        <v>2400.0</v>
      </c>
      <c r="H99" s="15">
        <v>7057.0</v>
      </c>
      <c r="I99" s="15"/>
      <c r="J99" s="15"/>
      <c r="K99" s="15"/>
      <c r="L99" s="15" t="s">
        <v>38</v>
      </c>
      <c r="M99" s="15"/>
      <c r="N99" s="15" t="s">
        <v>39</v>
      </c>
      <c r="O99" s="15" t="s">
        <v>40</v>
      </c>
      <c r="P99" s="15" t="s">
        <v>40</v>
      </c>
      <c r="Q99" s="15" t="s">
        <v>41</v>
      </c>
      <c r="R99" s="15" t="s">
        <v>54</v>
      </c>
      <c r="S99" s="15" t="s">
        <v>57</v>
      </c>
      <c r="T99" s="19" t="s">
        <v>58</v>
      </c>
      <c r="U99" s="15" t="s">
        <v>46</v>
      </c>
    </row>
    <row r="100" ht="56.25" customHeight="1">
      <c r="A100" s="13" t="s">
        <v>616</v>
      </c>
      <c r="B100" s="15" t="str">
        <f>image("https://i.imgur.com/oURvgnj.png")</f>
        <v/>
      </c>
      <c r="C100" s="17" t="str">
        <f>HYPERLINK("https://imgur.com/a/5VeQ6ub","Yes")</f>
        <v>Yes</v>
      </c>
      <c r="D100" s="15" t="s">
        <v>50</v>
      </c>
      <c r="E100" s="15" t="s">
        <v>50</v>
      </c>
      <c r="F100" s="13">
        <v>1600.0</v>
      </c>
      <c r="G100" s="13">
        <v>400.0</v>
      </c>
      <c r="H100" s="15">
        <v>1750.0</v>
      </c>
      <c r="I100" s="15" t="s">
        <v>61</v>
      </c>
      <c r="J100" s="15" t="s">
        <v>136</v>
      </c>
      <c r="K100" s="15"/>
      <c r="L100" s="15" t="s">
        <v>38</v>
      </c>
      <c r="M100" s="15">
        <v>2.0</v>
      </c>
      <c r="N100" s="15" t="s">
        <v>39</v>
      </c>
      <c r="O100" s="15" t="s">
        <v>40</v>
      </c>
      <c r="P100" s="15" t="s">
        <v>40</v>
      </c>
      <c r="Q100" s="15" t="s">
        <v>41</v>
      </c>
      <c r="R100" s="15" t="s">
        <v>43</v>
      </c>
      <c r="S100" s="15" t="s">
        <v>44</v>
      </c>
      <c r="T100" s="19" t="s">
        <v>45</v>
      </c>
      <c r="U100" s="15" t="s">
        <v>46</v>
      </c>
    </row>
    <row r="101" ht="56.25" customHeight="1">
      <c r="A101" s="13" t="s">
        <v>624</v>
      </c>
      <c r="B101" s="15" t="str">
        <f>image("https://i.imgur.com/lS3zoHQ.png")</f>
        <v/>
      </c>
      <c r="C101" s="17" t="str">
        <f>HYPERLINK("https://imgur.com/a/QLDuuGb","Yes")</f>
        <v>Yes</v>
      </c>
      <c r="D101" s="15" t="s">
        <v>28</v>
      </c>
      <c r="E101" s="15" t="s">
        <v>28</v>
      </c>
      <c r="F101" s="13">
        <v>1600.0</v>
      </c>
      <c r="G101" s="13">
        <v>400.0</v>
      </c>
      <c r="H101" s="15">
        <v>1495.0</v>
      </c>
      <c r="I101" s="15" t="s">
        <v>113</v>
      </c>
      <c r="J101" s="15" t="s">
        <v>36</v>
      </c>
      <c r="K101" s="15"/>
      <c r="L101" s="15" t="s">
        <v>38</v>
      </c>
      <c r="M101" s="15">
        <v>1.0</v>
      </c>
      <c r="N101" s="15" t="s">
        <v>39</v>
      </c>
      <c r="O101" s="15" t="s">
        <v>40</v>
      </c>
      <c r="P101" s="15" t="s">
        <v>40</v>
      </c>
      <c r="Q101" s="15" t="s">
        <v>41</v>
      </c>
      <c r="R101" s="15" t="s">
        <v>43</v>
      </c>
      <c r="S101" s="15" t="s">
        <v>44</v>
      </c>
      <c r="T101" s="19" t="s">
        <v>45</v>
      </c>
      <c r="U101" s="15" t="s">
        <v>46</v>
      </c>
    </row>
    <row r="102" ht="56.25" customHeight="1">
      <c r="A102" s="23" t="s">
        <v>630</v>
      </c>
      <c r="B102" s="32" t="str">
        <f>image("https://i.imgur.com/zIyKorG.png")</f>
        <v/>
      </c>
      <c r="C102" s="25" t="s">
        <v>40</v>
      </c>
      <c r="D102" s="25" t="s">
        <v>28</v>
      </c>
      <c r="E102" s="25" t="s">
        <v>28</v>
      </c>
      <c r="F102" s="24" t="s">
        <v>51</v>
      </c>
      <c r="G102" s="13">
        <v>45000.0</v>
      </c>
      <c r="H102" s="15">
        <v>7837.0</v>
      </c>
      <c r="I102" s="15"/>
      <c r="J102" s="15"/>
      <c r="K102" s="15"/>
      <c r="L102" s="15" t="s">
        <v>38</v>
      </c>
      <c r="M102" s="15"/>
      <c r="N102" s="15" t="s">
        <v>39</v>
      </c>
      <c r="O102" s="15" t="s">
        <v>40</v>
      </c>
      <c r="P102" s="15" t="s">
        <v>40</v>
      </c>
      <c r="Q102" s="15" t="s">
        <v>41</v>
      </c>
      <c r="R102" s="15" t="s">
        <v>54</v>
      </c>
      <c r="S102" s="15" t="s">
        <v>100</v>
      </c>
      <c r="T102" s="19" t="s">
        <v>101</v>
      </c>
      <c r="U102" s="15" t="s">
        <v>46</v>
      </c>
    </row>
    <row r="103" ht="56.25" customHeight="1">
      <c r="A103" s="23" t="s">
        <v>637</v>
      </c>
      <c r="B103" s="23" t="str">
        <f>IMAGE("https://i.imgur.com/4n8iond.png")</f>
        <v/>
      </c>
      <c r="C103" s="25" t="s">
        <v>40</v>
      </c>
      <c r="D103" s="25" t="s">
        <v>28</v>
      </c>
      <c r="E103" s="25" t="s">
        <v>28</v>
      </c>
      <c r="F103" s="24" t="s">
        <v>51</v>
      </c>
      <c r="G103" s="13">
        <v>600.0</v>
      </c>
      <c r="H103" s="15">
        <v>7114.0</v>
      </c>
      <c r="I103" s="15"/>
      <c r="J103" s="15"/>
      <c r="K103" s="15"/>
      <c r="L103" s="15" t="s">
        <v>38</v>
      </c>
      <c r="M103" s="15"/>
      <c r="N103" s="15" t="s">
        <v>39</v>
      </c>
      <c r="O103" s="15" t="s">
        <v>40</v>
      </c>
      <c r="P103" s="15" t="s">
        <v>40</v>
      </c>
      <c r="Q103" s="15" t="s">
        <v>41</v>
      </c>
      <c r="R103" s="15" t="s">
        <v>54</v>
      </c>
      <c r="S103" s="15" t="s">
        <v>57</v>
      </c>
      <c r="T103" s="19" t="s">
        <v>58</v>
      </c>
      <c r="U103" s="15" t="s">
        <v>46</v>
      </c>
    </row>
    <row r="104" ht="56.25" customHeight="1">
      <c r="A104" s="23" t="s">
        <v>640</v>
      </c>
      <c r="B104" s="23" t="str">
        <f>IMAGE("https://i.imgur.com/WFnXZuX.png")</f>
        <v/>
      </c>
      <c r="C104" s="25" t="s">
        <v>40</v>
      </c>
      <c r="D104" s="25" t="s">
        <v>28</v>
      </c>
      <c r="E104" s="25" t="s">
        <v>28</v>
      </c>
      <c r="F104" s="24" t="s">
        <v>51</v>
      </c>
      <c r="G104" s="13">
        <v>9000.0</v>
      </c>
      <c r="H104" s="15">
        <v>7066.0</v>
      </c>
      <c r="I104" s="15"/>
      <c r="J104" s="15"/>
      <c r="K104" s="15"/>
      <c r="L104" s="15" t="s">
        <v>38</v>
      </c>
      <c r="M104" s="15"/>
      <c r="N104" s="15" t="s">
        <v>39</v>
      </c>
      <c r="O104" s="15" t="s">
        <v>40</v>
      </c>
      <c r="P104" s="15" t="s">
        <v>40</v>
      </c>
      <c r="Q104" s="15" t="s">
        <v>41</v>
      </c>
      <c r="R104" s="15" t="s">
        <v>54</v>
      </c>
      <c r="S104" s="15" t="s">
        <v>57</v>
      </c>
      <c r="T104" s="19" t="s">
        <v>58</v>
      </c>
      <c r="U104" s="15" t="s">
        <v>46</v>
      </c>
    </row>
    <row r="105" ht="56.25" customHeight="1">
      <c r="A105" s="23" t="s">
        <v>644</v>
      </c>
      <c r="B105" s="23" t="str">
        <f>IMAGE("https://i.imgur.com/kmbhHk6.png")</f>
        <v/>
      </c>
      <c r="C105" s="25" t="s">
        <v>40</v>
      </c>
      <c r="D105" s="25" t="s">
        <v>28</v>
      </c>
      <c r="E105" s="25" t="s">
        <v>28</v>
      </c>
      <c r="F105" s="24" t="s">
        <v>51</v>
      </c>
      <c r="G105" s="13">
        <v>900.0</v>
      </c>
      <c r="H105" s="15"/>
      <c r="I105" s="15"/>
      <c r="J105" s="15"/>
      <c r="K105" s="15"/>
      <c r="L105" s="15" t="s">
        <v>38</v>
      </c>
      <c r="M105" s="15"/>
      <c r="N105" s="15" t="s">
        <v>39</v>
      </c>
      <c r="O105" s="15" t="s">
        <v>40</v>
      </c>
      <c r="P105" s="15" t="s">
        <v>40</v>
      </c>
      <c r="Q105" s="15" t="s">
        <v>41</v>
      </c>
      <c r="R105" s="15" t="s">
        <v>54</v>
      </c>
      <c r="S105" s="15" t="s">
        <v>57</v>
      </c>
      <c r="T105" s="19" t="s">
        <v>58</v>
      </c>
      <c r="U105" s="15" t="s">
        <v>46</v>
      </c>
    </row>
    <row r="106" ht="56.25" customHeight="1">
      <c r="A106" s="13" t="s">
        <v>650</v>
      </c>
      <c r="B106" s="15" t="str">
        <f>image("https://i.imgur.com/R0uViDU.png")</f>
        <v/>
      </c>
      <c r="C106" s="17" t="str">
        <f>HYPERLINK("https://imgur.com/a/WGfwyDe","Yes")</f>
        <v>Yes</v>
      </c>
      <c r="D106" s="15" t="s">
        <v>28</v>
      </c>
      <c r="E106" s="15" t="s">
        <v>28</v>
      </c>
      <c r="F106" s="13">
        <v>1300.0</v>
      </c>
      <c r="G106" s="13">
        <v>325.0</v>
      </c>
      <c r="H106" s="15">
        <v>4071.0</v>
      </c>
      <c r="I106" s="15" t="s">
        <v>80</v>
      </c>
      <c r="J106" s="15" t="s">
        <v>90</v>
      </c>
      <c r="K106" s="15"/>
      <c r="L106" s="15" t="s">
        <v>38</v>
      </c>
      <c r="M106" s="15">
        <v>1.0</v>
      </c>
      <c r="N106" s="15" t="s">
        <v>39</v>
      </c>
      <c r="O106" s="15" t="s">
        <v>40</v>
      </c>
      <c r="P106" s="15" t="s">
        <v>53</v>
      </c>
      <c r="Q106" s="15" t="s">
        <v>365</v>
      </c>
      <c r="R106" s="15" t="s">
        <v>43</v>
      </c>
      <c r="S106" s="15" t="s">
        <v>44</v>
      </c>
      <c r="T106" s="19" t="s">
        <v>45</v>
      </c>
      <c r="U106" s="15" t="s">
        <v>46</v>
      </c>
    </row>
    <row r="107" ht="56.25" customHeight="1">
      <c r="A107" s="23" t="s">
        <v>654</v>
      </c>
      <c r="B107" s="23" t="str">
        <f>IMAGE("https://i.imgur.com/8h8ntIF.png")</f>
        <v/>
      </c>
      <c r="C107" s="25" t="s">
        <v>40</v>
      </c>
      <c r="D107" s="25" t="s">
        <v>28</v>
      </c>
      <c r="E107" s="25" t="s">
        <v>28</v>
      </c>
      <c r="F107" s="24" t="s">
        <v>51</v>
      </c>
      <c r="G107" s="13">
        <v>12000.0</v>
      </c>
      <c r="H107" s="15">
        <v>7086.0</v>
      </c>
      <c r="I107" s="15"/>
      <c r="J107" s="15"/>
      <c r="K107" s="15"/>
      <c r="L107" s="15" t="s">
        <v>38</v>
      </c>
      <c r="M107" s="15"/>
      <c r="N107" s="15" t="s">
        <v>39</v>
      </c>
      <c r="O107" s="15" t="s">
        <v>40</v>
      </c>
      <c r="P107" s="15" t="s">
        <v>40</v>
      </c>
      <c r="Q107" s="15" t="s">
        <v>41</v>
      </c>
      <c r="R107" s="15" t="s">
        <v>54</v>
      </c>
      <c r="S107" s="15" t="s">
        <v>57</v>
      </c>
      <c r="T107" s="19" t="s">
        <v>58</v>
      </c>
      <c r="U107" s="15" t="s">
        <v>46</v>
      </c>
    </row>
    <row r="108" ht="56.25" customHeight="1">
      <c r="A108" s="13" t="s">
        <v>661</v>
      </c>
      <c r="B108" s="15" t="str">
        <f>image("https://i.imgur.com/tvPedFB.png")</f>
        <v/>
      </c>
      <c r="C108" s="17" t="str">
        <f>HYPERLINK("https://imgur.com/a/S1PHFiQ","Yes")</f>
        <v>Yes</v>
      </c>
      <c r="D108" s="15" t="s">
        <v>28</v>
      </c>
      <c r="E108" s="15" t="s">
        <v>28</v>
      </c>
      <c r="F108" s="13">
        <v>5600.0</v>
      </c>
      <c r="G108" s="13">
        <v>1400.0</v>
      </c>
      <c r="H108" s="15">
        <v>954.0</v>
      </c>
      <c r="I108" s="15" t="s">
        <v>86</v>
      </c>
      <c r="J108" s="15" t="s">
        <v>37</v>
      </c>
      <c r="K108" s="15"/>
      <c r="L108" s="15" t="s">
        <v>38</v>
      </c>
      <c r="M108" s="15">
        <v>2.0</v>
      </c>
      <c r="N108" s="15" t="s">
        <v>39</v>
      </c>
      <c r="O108" s="15" t="s">
        <v>40</v>
      </c>
      <c r="P108" s="15" t="s">
        <v>53</v>
      </c>
      <c r="Q108" s="15" t="s">
        <v>41</v>
      </c>
      <c r="R108" s="15" t="s">
        <v>43</v>
      </c>
      <c r="S108" s="15" t="s">
        <v>44</v>
      </c>
      <c r="T108" s="19" t="s">
        <v>45</v>
      </c>
      <c r="U108" s="15" t="s">
        <v>46</v>
      </c>
    </row>
    <row r="109" ht="56.25" customHeight="1">
      <c r="A109" s="13" t="s">
        <v>666</v>
      </c>
      <c r="B109" s="15" t="str">
        <f>image("https://i.imgur.com/47rWqv2.png")</f>
        <v/>
      </c>
      <c r="C109" s="17" t="str">
        <f>HYPERLINK("https://imgur.com/a/xHLiM1P","Yes")</f>
        <v>Yes</v>
      </c>
      <c r="D109" s="15" t="s">
        <v>28</v>
      </c>
      <c r="E109" s="15" t="s">
        <v>28</v>
      </c>
      <c r="F109" s="13">
        <v>650.0</v>
      </c>
      <c r="G109" s="24">
        <v>162.0</v>
      </c>
      <c r="H109" s="15">
        <v>4110.0</v>
      </c>
      <c r="I109" s="15" t="s">
        <v>136</v>
      </c>
      <c r="J109" s="15"/>
      <c r="K109" s="15"/>
      <c r="L109" s="15" t="s">
        <v>38</v>
      </c>
      <c r="M109" s="15">
        <v>1.0</v>
      </c>
      <c r="N109" s="15" t="s">
        <v>39</v>
      </c>
      <c r="O109" s="15" t="s">
        <v>40</v>
      </c>
      <c r="P109" s="15" t="s">
        <v>40</v>
      </c>
      <c r="Q109" s="15" t="s">
        <v>41</v>
      </c>
      <c r="R109" s="15" t="s">
        <v>43</v>
      </c>
      <c r="S109" s="15" t="s">
        <v>44</v>
      </c>
      <c r="T109" s="19" t="s">
        <v>45</v>
      </c>
      <c r="U109" s="15" t="s">
        <v>46</v>
      </c>
    </row>
    <row r="110" ht="56.25" customHeight="1">
      <c r="A110" s="23" t="s">
        <v>671</v>
      </c>
      <c r="B110" s="23" t="str">
        <f>IMAGE("https://i.imgur.com/mlpbfqx.png")</f>
        <v/>
      </c>
      <c r="C110" s="25" t="s">
        <v>40</v>
      </c>
      <c r="D110" s="25" t="s">
        <v>28</v>
      </c>
      <c r="E110" s="25" t="s">
        <v>28</v>
      </c>
      <c r="F110" s="24" t="s">
        <v>51</v>
      </c>
      <c r="G110" s="13">
        <v>1650.0</v>
      </c>
      <c r="H110" s="15">
        <v>7063.0</v>
      </c>
      <c r="I110" s="15"/>
      <c r="J110" s="15"/>
      <c r="K110" s="15"/>
      <c r="L110" s="15" t="s">
        <v>38</v>
      </c>
      <c r="M110" s="15"/>
      <c r="N110" s="15" t="s">
        <v>39</v>
      </c>
      <c r="O110" s="15" t="s">
        <v>40</v>
      </c>
      <c r="P110" s="15" t="s">
        <v>40</v>
      </c>
      <c r="Q110" s="15" t="s">
        <v>41</v>
      </c>
      <c r="R110" s="15" t="s">
        <v>54</v>
      </c>
      <c r="S110" s="15" t="s">
        <v>57</v>
      </c>
      <c r="T110" s="19" t="s">
        <v>58</v>
      </c>
      <c r="U110" s="15" t="s">
        <v>46</v>
      </c>
    </row>
    <row r="111" ht="56.25" customHeight="1">
      <c r="A111" s="13" t="s">
        <v>675</v>
      </c>
      <c r="B111" s="15" t="str">
        <f>image("https://i.imgur.com/CmuLrhu.png")</f>
        <v/>
      </c>
      <c r="C111" s="17" t="str">
        <f>HYPERLINK("https://imgur.com/a/6DU3Vj3","Yes")</f>
        <v>Yes</v>
      </c>
      <c r="D111" s="15" t="s">
        <v>28</v>
      </c>
      <c r="E111" s="19" t="s">
        <v>28</v>
      </c>
      <c r="F111" s="13">
        <v>140000.0</v>
      </c>
      <c r="G111" s="13">
        <v>35000.0</v>
      </c>
      <c r="H111" s="15">
        <v>2772.0</v>
      </c>
      <c r="I111" s="15" t="s">
        <v>52</v>
      </c>
      <c r="J111" s="15" t="s">
        <v>62</v>
      </c>
      <c r="K111" s="15"/>
      <c r="L111" s="15" t="s">
        <v>38</v>
      </c>
      <c r="M111" s="15">
        <v>7.0</v>
      </c>
      <c r="N111" s="15" t="s">
        <v>39</v>
      </c>
      <c r="O111" s="15" t="s">
        <v>40</v>
      </c>
      <c r="P111" s="15" t="s">
        <v>53</v>
      </c>
      <c r="Q111" s="15" t="s">
        <v>41</v>
      </c>
      <c r="R111" s="15" t="s">
        <v>43</v>
      </c>
      <c r="S111" s="15" t="s">
        <v>44</v>
      </c>
      <c r="T111" s="19" t="s">
        <v>65</v>
      </c>
      <c r="U111" s="15" t="s">
        <v>46</v>
      </c>
    </row>
    <row r="112" ht="56.25" customHeight="1">
      <c r="A112" s="13" t="s">
        <v>681</v>
      </c>
      <c r="B112" s="15" t="str">
        <f>image("https://i.imgur.com/qrOfgAq.png")</f>
        <v/>
      </c>
      <c r="C112" s="17" t="str">
        <f>HYPERLINK("https://imgur.com/a/vCOi7WR","Yes")</f>
        <v>Yes</v>
      </c>
      <c r="D112" s="15" t="s">
        <v>28</v>
      </c>
      <c r="E112" s="19" t="s">
        <v>28</v>
      </c>
      <c r="F112" s="13">
        <v>1500.0</v>
      </c>
      <c r="G112" s="13">
        <v>375.0</v>
      </c>
      <c r="H112" s="15">
        <v>4101.0</v>
      </c>
      <c r="I112" s="15" t="s">
        <v>61</v>
      </c>
      <c r="J112" s="15"/>
      <c r="K112" s="15"/>
      <c r="L112" s="15" t="s">
        <v>38</v>
      </c>
      <c r="M112" s="15">
        <v>1.0</v>
      </c>
      <c r="N112" s="15" t="s">
        <v>39</v>
      </c>
      <c r="O112" s="15" t="s">
        <v>40</v>
      </c>
      <c r="P112" s="15" t="s">
        <v>53</v>
      </c>
      <c r="Q112" s="15" t="s">
        <v>41</v>
      </c>
      <c r="R112" s="15" t="s">
        <v>43</v>
      </c>
      <c r="S112" s="15" t="s">
        <v>44</v>
      </c>
      <c r="T112" s="19" t="s">
        <v>45</v>
      </c>
      <c r="U112" s="15" t="s">
        <v>46</v>
      </c>
    </row>
    <row r="113" ht="56.25" customHeight="1">
      <c r="A113" s="13" t="s">
        <v>686</v>
      </c>
      <c r="B113" s="15" t="str">
        <f>image("https://i.imgur.com/prnGPhq.png")</f>
        <v/>
      </c>
      <c r="C113" s="25" t="s">
        <v>40</v>
      </c>
      <c r="D113" s="15" t="s">
        <v>50</v>
      </c>
      <c r="E113" s="15" t="s">
        <v>28</v>
      </c>
      <c r="F113" s="13" t="s">
        <v>51</v>
      </c>
      <c r="G113" s="13">
        <v>320.0</v>
      </c>
      <c r="H113" s="15">
        <v>12230.0</v>
      </c>
      <c r="I113" s="15" t="s">
        <v>212</v>
      </c>
      <c r="J113" s="15" t="s">
        <v>36</v>
      </c>
      <c r="K113" s="15"/>
      <c r="L113" s="15" t="s">
        <v>38</v>
      </c>
      <c r="M113" s="15"/>
      <c r="N113" s="15" t="s">
        <v>39</v>
      </c>
      <c r="O113" s="15" t="s">
        <v>40</v>
      </c>
      <c r="P113" s="15" t="s">
        <v>40</v>
      </c>
      <c r="Q113" s="15" t="s">
        <v>41</v>
      </c>
      <c r="R113" s="15" t="s">
        <v>54</v>
      </c>
      <c r="S113" s="15" t="s">
        <v>55</v>
      </c>
      <c r="T113" s="19" t="s">
        <v>418</v>
      </c>
      <c r="U113" s="15" t="s">
        <v>46</v>
      </c>
    </row>
    <row r="114" ht="56.25" customHeight="1">
      <c r="A114" s="13" t="s">
        <v>687</v>
      </c>
      <c r="B114" s="15" t="str">
        <f>image("https://i.imgur.com/Lr5FPla.png")</f>
        <v/>
      </c>
      <c r="C114" s="25" t="s">
        <v>40</v>
      </c>
      <c r="D114" s="15" t="s">
        <v>28</v>
      </c>
      <c r="E114" s="19" t="s">
        <v>28</v>
      </c>
      <c r="F114" s="13">
        <v>2400.0</v>
      </c>
      <c r="G114" s="13">
        <v>600.0</v>
      </c>
      <c r="H114" s="15">
        <v>3963.0</v>
      </c>
      <c r="I114" s="15" t="s">
        <v>90</v>
      </c>
      <c r="J114" s="15"/>
      <c r="K114" s="15"/>
      <c r="L114" s="15" t="s">
        <v>38</v>
      </c>
      <c r="M114" s="15"/>
      <c r="N114" s="15" t="s">
        <v>39</v>
      </c>
      <c r="O114" s="15" t="s">
        <v>40</v>
      </c>
      <c r="P114" s="15" t="s">
        <v>53</v>
      </c>
      <c r="Q114" s="15" t="s">
        <v>689</v>
      </c>
      <c r="R114" s="15" t="s">
        <v>43</v>
      </c>
      <c r="S114" s="15" t="s">
        <v>44</v>
      </c>
      <c r="T114" s="19" t="s">
        <v>45</v>
      </c>
      <c r="U114" s="15" t="s">
        <v>46</v>
      </c>
    </row>
    <row r="115" ht="56.25" customHeight="1">
      <c r="A115" s="23" t="s">
        <v>690</v>
      </c>
      <c r="B115" s="23" t="str">
        <f>IMAGE("https://i.imgur.com/WgOdzpx.png")</f>
        <v/>
      </c>
      <c r="C115" s="25" t="s">
        <v>40</v>
      </c>
      <c r="D115" s="25" t="s">
        <v>28</v>
      </c>
      <c r="E115" s="25" t="s">
        <v>28</v>
      </c>
      <c r="F115" s="24" t="s">
        <v>51</v>
      </c>
      <c r="G115" s="13">
        <v>900.0</v>
      </c>
      <c r="H115" s="15">
        <v>7065.0</v>
      </c>
      <c r="I115" s="15"/>
      <c r="J115" s="15"/>
      <c r="K115" s="15"/>
      <c r="L115" s="15" t="s">
        <v>38</v>
      </c>
      <c r="M115" s="15"/>
      <c r="N115" s="15" t="s">
        <v>39</v>
      </c>
      <c r="O115" s="15" t="s">
        <v>40</v>
      </c>
      <c r="P115" s="15" t="s">
        <v>40</v>
      </c>
      <c r="Q115" s="15" t="s">
        <v>41</v>
      </c>
      <c r="R115" s="15" t="s">
        <v>54</v>
      </c>
      <c r="S115" s="15" t="s">
        <v>57</v>
      </c>
      <c r="T115" s="19" t="s">
        <v>58</v>
      </c>
      <c r="U115" s="15" t="s">
        <v>46</v>
      </c>
    </row>
    <row r="116" ht="56.25" customHeight="1">
      <c r="A116" s="13" t="s">
        <v>695</v>
      </c>
      <c r="B116" s="15" t="str">
        <f>image("https://i.imgur.com/2B33pau.png")</f>
        <v/>
      </c>
      <c r="C116" s="25" t="s">
        <v>40</v>
      </c>
      <c r="D116" s="15" t="s">
        <v>50</v>
      </c>
      <c r="E116" s="15" t="s">
        <v>28</v>
      </c>
      <c r="F116" s="13" t="s">
        <v>51</v>
      </c>
      <c r="G116" s="13">
        <v>960.0</v>
      </c>
      <c r="H116" s="15">
        <v>5970.0</v>
      </c>
      <c r="I116" s="15" t="s">
        <v>243</v>
      </c>
      <c r="J116" s="15" t="s">
        <v>95</v>
      </c>
      <c r="K116" s="15"/>
      <c r="L116" s="15" t="s">
        <v>38</v>
      </c>
      <c r="M116" s="15"/>
      <c r="N116" s="15" t="s">
        <v>39</v>
      </c>
      <c r="O116" s="15" t="s">
        <v>40</v>
      </c>
      <c r="P116" s="15" t="s">
        <v>40</v>
      </c>
      <c r="Q116" s="15" t="s">
        <v>41</v>
      </c>
      <c r="R116" s="15" t="s">
        <v>54</v>
      </c>
      <c r="S116" s="15" t="s">
        <v>55</v>
      </c>
      <c r="T116" s="19"/>
      <c r="U116" s="15" t="s">
        <v>46</v>
      </c>
    </row>
    <row r="117" ht="56.25" customHeight="1">
      <c r="A117" s="23" t="s">
        <v>699</v>
      </c>
      <c r="B117" s="23" t="str">
        <f>IMAGE("https://i.imgur.com/u6LNpdF.png")</f>
        <v/>
      </c>
      <c r="C117" s="25" t="s">
        <v>40</v>
      </c>
      <c r="D117" s="25" t="s">
        <v>28</v>
      </c>
      <c r="E117" s="25" t="s">
        <v>28</v>
      </c>
      <c r="F117" s="24" t="s">
        <v>51</v>
      </c>
      <c r="G117" s="13">
        <v>210.0</v>
      </c>
      <c r="H117" s="15">
        <v>5935.0</v>
      </c>
      <c r="I117" s="15"/>
      <c r="J117" s="15"/>
      <c r="K117" s="15"/>
      <c r="L117" s="15" t="s">
        <v>38</v>
      </c>
      <c r="M117" s="15"/>
      <c r="N117" s="15" t="s">
        <v>39</v>
      </c>
      <c r="O117" s="15" t="s">
        <v>40</v>
      </c>
      <c r="P117" s="15" t="s">
        <v>40</v>
      </c>
      <c r="Q117" s="15" t="s">
        <v>41</v>
      </c>
      <c r="R117" s="15" t="s">
        <v>54</v>
      </c>
      <c r="S117" s="15" t="s">
        <v>57</v>
      </c>
      <c r="T117" s="19" t="s">
        <v>58</v>
      </c>
      <c r="U117" s="15" t="s">
        <v>46</v>
      </c>
    </row>
    <row r="118" ht="56.25" customHeight="1">
      <c r="A118" s="13" t="s">
        <v>704</v>
      </c>
      <c r="B118" s="15" t="str">
        <f>image("https://i.imgur.com/PpXGHCr.png")</f>
        <v/>
      </c>
      <c r="C118" s="17" t="str">
        <f>HYPERLINK("https://imgur.com/a/4VnT88M","Yes")</f>
        <v>Yes</v>
      </c>
      <c r="D118" s="15" t="s">
        <v>28</v>
      </c>
      <c r="E118" s="19" t="s">
        <v>28</v>
      </c>
      <c r="F118" s="13">
        <v>1600.0</v>
      </c>
      <c r="G118" s="13">
        <v>400.0</v>
      </c>
      <c r="H118" s="15">
        <v>4094.0</v>
      </c>
      <c r="I118" s="15" t="s">
        <v>60</v>
      </c>
      <c r="J118" s="15" t="s">
        <v>95</v>
      </c>
      <c r="K118" s="15"/>
      <c r="L118" s="15" t="s">
        <v>38</v>
      </c>
      <c r="M118" s="15">
        <v>1.0</v>
      </c>
      <c r="N118" s="15" t="s">
        <v>39</v>
      </c>
      <c r="O118" s="15" t="s">
        <v>40</v>
      </c>
      <c r="P118" s="15" t="s">
        <v>40</v>
      </c>
      <c r="Q118" s="15" t="s">
        <v>41</v>
      </c>
      <c r="R118" s="15" t="s">
        <v>43</v>
      </c>
      <c r="S118" s="15" t="s">
        <v>44</v>
      </c>
      <c r="T118" s="19" t="s">
        <v>63</v>
      </c>
      <c r="U118" s="15" t="s">
        <v>46</v>
      </c>
    </row>
    <row r="119" ht="56.25" customHeight="1">
      <c r="A119" s="13" t="s">
        <v>710</v>
      </c>
      <c r="B119" s="15" t="str">
        <f>image("https://i.imgur.com/e6S24r7.png")</f>
        <v/>
      </c>
      <c r="C119" s="17" t="str">
        <f>HYPERLINK("https://imgur.com/a/5VjJ08V","Yes")</f>
        <v>Yes</v>
      </c>
      <c r="D119" s="15" t="s">
        <v>28</v>
      </c>
      <c r="E119" s="19" t="s">
        <v>28</v>
      </c>
      <c r="F119" s="13">
        <v>890.0</v>
      </c>
      <c r="G119" s="24">
        <v>222.0</v>
      </c>
      <c r="H119" s="15">
        <v>7260.0</v>
      </c>
      <c r="I119" s="15" t="s">
        <v>243</v>
      </c>
      <c r="J119" s="15" t="s">
        <v>90</v>
      </c>
      <c r="K119" s="15"/>
      <c r="L119" s="15" t="s">
        <v>38</v>
      </c>
      <c r="M119" s="15">
        <v>1.0</v>
      </c>
      <c r="N119" s="15" t="s">
        <v>39</v>
      </c>
      <c r="O119" s="15" t="s">
        <v>40</v>
      </c>
      <c r="P119" s="15" t="s">
        <v>40</v>
      </c>
      <c r="Q119" s="15" t="s">
        <v>41</v>
      </c>
      <c r="R119" s="15" t="s">
        <v>43</v>
      </c>
      <c r="S119" s="15" t="s">
        <v>44</v>
      </c>
      <c r="T119" s="19" t="s">
        <v>63</v>
      </c>
      <c r="U119" s="15" t="s">
        <v>46</v>
      </c>
    </row>
    <row r="120" ht="56.25" customHeight="1">
      <c r="A120" s="23" t="s">
        <v>714</v>
      </c>
      <c r="B120" s="23" t="str">
        <f>IMAGE("https://i.imgur.com/YoxOjYz.png")</f>
        <v/>
      </c>
      <c r="C120" s="25" t="s">
        <v>40</v>
      </c>
      <c r="D120" s="25" t="s">
        <v>28</v>
      </c>
      <c r="E120" s="25" t="s">
        <v>28</v>
      </c>
      <c r="F120" s="24" t="s">
        <v>51</v>
      </c>
      <c r="G120" s="13">
        <v>180.0</v>
      </c>
      <c r="H120" s="15">
        <v>7060.0</v>
      </c>
      <c r="I120" s="15"/>
      <c r="J120" s="15"/>
      <c r="K120" s="15"/>
      <c r="L120" s="15" t="s">
        <v>38</v>
      </c>
      <c r="M120" s="15"/>
      <c r="N120" s="15" t="s">
        <v>39</v>
      </c>
      <c r="O120" s="15" t="s">
        <v>40</v>
      </c>
      <c r="P120" s="15" t="s">
        <v>40</v>
      </c>
      <c r="Q120" s="15" t="s">
        <v>41</v>
      </c>
      <c r="R120" s="15" t="s">
        <v>54</v>
      </c>
      <c r="S120" s="15" t="s">
        <v>57</v>
      </c>
      <c r="T120" s="19" t="s">
        <v>58</v>
      </c>
      <c r="U120" s="15" t="s">
        <v>46</v>
      </c>
    </row>
    <row r="121" ht="56.25" customHeight="1">
      <c r="A121" s="13" t="s">
        <v>718</v>
      </c>
      <c r="B121" s="15" t="str">
        <f>image("https://i.imgur.com/j6Pv2rX.png")</f>
        <v/>
      </c>
      <c r="C121" s="25" t="s">
        <v>40</v>
      </c>
      <c r="D121" s="15" t="s">
        <v>28</v>
      </c>
      <c r="E121" s="19" t="s">
        <v>28</v>
      </c>
      <c r="F121" s="13">
        <v>400.0</v>
      </c>
      <c r="G121" s="13">
        <v>100.0</v>
      </c>
      <c r="H121" s="15">
        <v>4381.0</v>
      </c>
      <c r="I121" s="15" t="s">
        <v>156</v>
      </c>
      <c r="J121" s="15" t="s">
        <v>80</v>
      </c>
      <c r="K121" s="15"/>
      <c r="L121" s="15" t="s">
        <v>38</v>
      </c>
      <c r="M121" s="15"/>
      <c r="N121" s="15" t="s">
        <v>39</v>
      </c>
      <c r="O121" s="15" t="s">
        <v>40</v>
      </c>
      <c r="P121" s="15" t="s">
        <v>40</v>
      </c>
      <c r="Q121" s="15" t="s">
        <v>41</v>
      </c>
      <c r="R121" s="15" t="s">
        <v>43</v>
      </c>
      <c r="S121" s="15" t="s">
        <v>44</v>
      </c>
      <c r="T121" s="19" t="s">
        <v>45</v>
      </c>
      <c r="U121" s="15" t="s">
        <v>46</v>
      </c>
    </row>
    <row r="122" ht="56.25" customHeight="1">
      <c r="A122" s="23" t="s">
        <v>721</v>
      </c>
      <c r="B122" s="32" t="str">
        <f>image("https://i.imgur.com/wWxgWjv.png")</f>
        <v/>
      </c>
      <c r="C122" s="25" t="s">
        <v>40</v>
      </c>
      <c r="D122" s="25" t="s">
        <v>28</v>
      </c>
      <c r="E122" s="25" t="s">
        <v>28</v>
      </c>
      <c r="F122" s="24" t="s">
        <v>51</v>
      </c>
      <c r="G122" s="13">
        <v>7500.0</v>
      </c>
      <c r="H122" s="15">
        <v>6940.0</v>
      </c>
      <c r="I122" s="15"/>
      <c r="J122" s="15"/>
      <c r="K122" s="15"/>
      <c r="L122" s="15" t="s">
        <v>38</v>
      </c>
      <c r="M122" s="15"/>
      <c r="N122" s="15" t="s">
        <v>39</v>
      </c>
      <c r="O122" s="15" t="s">
        <v>40</v>
      </c>
      <c r="P122" s="15" t="s">
        <v>40</v>
      </c>
      <c r="Q122" s="15" t="s">
        <v>41</v>
      </c>
      <c r="R122" s="15" t="s">
        <v>54</v>
      </c>
      <c r="S122" s="15" t="s">
        <v>100</v>
      </c>
      <c r="T122" s="19" t="s">
        <v>101</v>
      </c>
      <c r="U122" s="15" t="s">
        <v>46</v>
      </c>
    </row>
    <row r="123" ht="56.25" customHeight="1">
      <c r="A123" s="13" t="s">
        <v>725</v>
      </c>
      <c r="B123" s="15" t="str">
        <f>image("https://i.imgur.com/VTVUW3a.png")</f>
        <v/>
      </c>
      <c r="C123" s="17" t="str">
        <f>HYPERLINK("https://imgur.com/a/4nYKKVQ","Yes")</f>
        <v>Yes</v>
      </c>
      <c r="D123" s="15" t="s">
        <v>28</v>
      </c>
      <c r="E123" s="19" t="s">
        <v>28</v>
      </c>
      <c r="F123" s="13">
        <v>1000.0</v>
      </c>
      <c r="G123" s="13">
        <v>250.0</v>
      </c>
      <c r="H123" s="15">
        <v>3961.0</v>
      </c>
      <c r="I123" s="15" t="s">
        <v>113</v>
      </c>
      <c r="J123" s="15" t="s">
        <v>346</v>
      </c>
      <c r="K123" s="15"/>
      <c r="L123" s="15" t="s">
        <v>38</v>
      </c>
      <c r="M123" s="15">
        <v>1.0</v>
      </c>
      <c r="N123" s="15" t="s">
        <v>39</v>
      </c>
      <c r="O123" s="15" t="s">
        <v>40</v>
      </c>
      <c r="P123" s="15" t="s">
        <v>53</v>
      </c>
      <c r="Q123" s="15" t="s">
        <v>164</v>
      </c>
      <c r="R123" s="15" t="s">
        <v>43</v>
      </c>
      <c r="S123" s="15" t="s">
        <v>44</v>
      </c>
      <c r="T123" s="19" t="s">
        <v>45</v>
      </c>
      <c r="U123" s="15" t="s">
        <v>46</v>
      </c>
    </row>
    <row r="124" ht="56.25" customHeight="1">
      <c r="A124" s="13" t="s">
        <v>728</v>
      </c>
      <c r="B124" s="15" t="str">
        <f>image("https://i.imgur.com/RMwHGvM.png")</f>
        <v/>
      </c>
      <c r="C124" s="22" t="str">
        <f>HYPERLINK("https://imgur.com/a/0QuqJnj","Yes")</f>
        <v>Yes</v>
      </c>
      <c r="D124" s="15" t="s">
        <v>28</v>
      </c>
      <c r="E124" s="19" t="s">
        <v>28</v>
      </c>
      <c r="F124" s="13">
        <v>1400.0</v>
      </c>
      <c r="G124" s="13">
        <v>350.0</v>
      </c>
      <c r="H124" s="15">
        <v>8418.0</v>
      </c>
      <c r="I124" s="15" t="s">
        <v>60</v>
      </c>
      <c r="J124" s="15"/>
      <c r="K124" s="15"/>
      <c r="L124" s="15" t="s">
        <v>38</v>
      </c>
      <c r="M124" s="15">
        <v>1.0</v>
      </c>
      <c r="N124" s="15" t="s">
        <v>39</v>
      </c>
      <c r="O124" s="15" t="s">
        <v>40</v>
      </c>
      <c r="P124" s="15" t="s">
        <v>53</v>
      </c>
      <c r="Q124" s="15" t="s">
        <v>365</v>
      </c>
      <c r="R124" s="15" t="s">
        <v>43</v>
      </c>
      <c r="S124" s="15" t="s">
        <v>44</v>
      </c>
      <c r="T124" s="19" t="s">
        <v>45</v>
      </c>
      <c r="U124" s="15" t="s">
        <v>46</v>
      </c>
    </row>
    <row r="125" ht="56.25" customHeight="1">
      <c r="A125" s="13" t="s">
        <v>732</v>
      </c>
      <c r="B125" s="15" t="str">
        <f>image("https://i.imgur.com/adhdoaJ.png")</f>
        <v/>
      </c>
      <c r="C125" s="22" t="str">
        <f>HYPERLINK("https://imgur.com/a/KXGTGwd","Yes")</f>
        <v>Yes</v>
      </c>
      <c r="D125" s="15" t="s">
        <v>28</v>
      </c>
      <c r="E125" s="19" t="s">
        <v>28</v>
      </c>
      <c r="F125" s="13">
        <v>830.0</v>
      </c>
      <c r="G125" s="24">
        <v>207.0</v>
      </c>
      <c r="H125" s="15">
        <v>10244.0</v>
      </c>
      <c r="I125" s="15" t="s">
        <v>60</v>
      </c>
      <c r="J125" s="15" t="s">
        <v>36</v>
      </c>
      <c r="K125" s="15"/>
      <c r="L125" s="15" t="s">
        <v>38</v>
      </c>
      <c r="M125" s="15">
        <v>1.0</v>
      </c>
      <c r="N125" s="15" t="s">
        <v>39</v>
      </c>
      <c r="O125" s="15" t="s">
        <v>40</v>
      </c>
      <c r="P125" s="15" t="s">
        <v>40</v>
      </c>
      <c r="Q125" s="15" t="s">
        <v>41</v>
      </c>
      <c r="R125" s="15" t="s">
        <v>43</v>
      </c>
      <c r="S125" s="15" t="s">
        <v>44</v>
      </c>
      <c r="T125" s="19" t="s">
        <v>45</v>
      </c>
      <c r="U125" s="15" t="s">
        <v>46</v>
      </c>
    </row>
    <row r="126" ht="56.25" customHeight="1">
      <c r="A126" s="23" t="s">
        <v>735</v>
      </c>
      <c r="B126" s="32" t="str">
        <f>image("https://i.imgur.com/uVjDAIa.png")</f>
        <v/>
      </c>
      <c r="C126" s="25" t="s">
        <v>40</v>
      </c>
      <c r="D126" s="25" t="s">
        <v>28</v>
      </c>
      <c r="E126" s="25" t="s">
        <v>28</v>
      </c>
      <c r="F126" s="24" t="s">
        <v>51</v>
      </c>
      <c r="G126" s="13">
        <v>1200.0</v>
      </c>
      <c r="H126" s="15">
        <v>6946.0</v>
      </c>
      <c r="I126" s="15"/>
      <c r="J126" s="15"/>
      <c r="K126" s="15"/>
      <c r="L126" s="15" t="s">
        <v>38</v>
      </c>
      <c r="M126" s="15"/>
      <c r="N126" s="15" t="s">
        <v>39</v>
      </c>
      <c r="O126" s="15" t="s">
        <v>40</v>
      </c>
      <c r="P126" s="15" t="s">
        <v>40</v>
      </c>
      <c r="Q126" s="15" t="s">
        <v>41</v>
      </c>
      <c r="R126" s="15" t="s">
        <v>54</v>
      </c>
      <c r="S126" s="15" t="s">
        <v>100</v>
      </c>
      <c r="T126" s="19" t="s">
        <v>101</v>
      </c>
      <c r="U126" s="15" t="s">
        <v>46</v>
      </c>
    </row>
    <row r="127" ht="56.25" customHeight="1">
      <c r="A127" s="23" t="s">
        <v>738</v>
      </c>
      <c r="B127" s="32" t="str">
        <f>image("https://i.imgur.com/mbG7aZM.png")</f>
        <v/>
      </c>
      <c r="C127" s="25" t="s">
        <v>40</v>
      </c>
      <c r="D127" s="25" t="s">
        <v>28</v>
      </c>
      <c r="E127" s="25" t="s">
        <v>28</v>
      </c>
      <c r="F127" s="24" t="s">
        <v>51</v>
      </c>
      <c r="G127" s="13">
        <v>360.0</v>
      </c>
      <c r="H127" s="15">
        <v>6962.0</v>
      </c>
      <c r="I127" s="15"/>
      <c r="J127" s="15"/>
      <c r="K127" s="15"/>
      <c r="L127" s="15" t="s">
        <v>38</v>
      </c>
      <c r="M127" s="15"/>
      <c r="N127" s="15" t="s">
        <v>39</v>
      </c>
      <c r="O127" s="15" t="s">
        <v>40</v>
      </c>
      <c r="P127" s="15" t="s">
        <v>40</v>
      </c>
      <c r="Q127" s="15" t="s">
        <v>41</v>
      </c>
      <c r="R127" s="15" t="s">
        <v>54</v>
      </c>
      <c r="S127" s="15" t="s">
        <v>100</v>
      </c>
      <c r="T127" s="19" t="s">
        <v>101</v>
      </c>
      <c r="U127" s="15" t="s">
        <v>46</v>
      </c>
    </row>
    <row r="128" ht="56.25" customHeight="1">
      <c r="A128" s="13" t="s">
        <v>740</v>
      </c>
      <c r="B128" s="15" t="str">
        <f>image("https://i.imgur.com/rEUctjs.png")</f>
        <v/>
      </c>
      <c r="C128" s="17" t="str">
        <f>HYPERLINK("https://imgur.com/a/j3vIuKE","Yes")</f>
        <v>Yes</v>
      </c>
      <c r="D128" s="15" t="s">
        <v>50</v>
      </c>
      <c r="E128" s="15" t="s">
        <v>50</v>
      </c>
      <c r="F128" s="13" t="s">
        <v>51</v>
      </c>
      <c r="G128" s="13">
        <v>5400.0</v>
      </c>
      <c r="H128" s="15">
        <v>4279.0</v>
      </c>
      <c r="I128" s="15" t="s">
        <v>745</v>
      </c>
      <c r="J128" s="15" t="s">
        <v>113</v>
      </c>
      <c r="K128" s="15"/>
      <c r="L128" s="15" t="s">
        <v>38</v>
      </c>
      <c r="M128" s="15">
        <v>7.0</v>
      </c>
      <c r="N128" s="15" t="s">
        <v>39</v>
      </c>
      <c r="O128" s="15" t="s">
        <v>40</v>
      </c>
      <c r="P128" s="15" t="s">
        <v>40</v>
      </c>
      <c r="Q128" s="15" t="s">
        <v>41</v>
      </c>
      <c r="R128" s="15" t="s">
        <v>54</v>
      </c>
      <c r="S128" s="15" t="s">
        <v>747</v>
      </c>
      <c r="T128" s="19" t="s">
        <v>749</v>
      </c>
      <c r="U128" s="15" t="s">
        <v>46</v>
      </c>
    </row>
    <row r="129" ht="56.25" customHeight="1">
      <c r="A129" s="13" t="s">
        <v>750</v>
      </c>
      <c r="B129" s="15" t="str">
        <f>image("https://i.imgur.com/bzC7R6V.png")</f>
        <v/>
      </c>
      <c r="C129" s="25" t="s">
        <v>40</v>
      </c>
      <c r="D129" s="15" t="s">
        <v>50</v>
      </c>
      <c r="E129" s="15" t="s">
        <v>28</v>
      </c>
      <c r="F129" s="13" t="s">
        <v>51</v>
      </c>
      <c r="G129" s="13">
        <v>1000.0</v>
      </c>
      <c r="H129" s="15">
        <v>975.0</v>
      </c>
      <c r="I129" s="15" t="s">
        <v>86</v>
      </c>
      <c r="J129" s="15" t="s">
        <v>36</v>
      </c>
      <c r="K129" s="15"/>
      <c r="L129" s="15" t="s">
        <v>38</v>
      </c>
      <c r="M129" s="15"/>
      <c r="N129" s="15" t="s">
        <v>39</v>
      </c>
      <c r="O129" s="15" t="s">
        <v>40</v>
      </c>
      <c r="P129" s="15" t="s">
        <v>40</v>
      </c>
      <c r="Q129" s="15" t="s">
        <v>41</v>
      </c>
      <c r="R129" s="15" t="s">
        <v>54</v>
      </c>
      <c r="S129" s="15" t="s">
        <v>55</v>
      </c>
      <c r="T129" s="19"/>
      <c r="U129" s="15" t="s">
        <v>46</v>
      </c>
    </row>
    <row r="130" ht="56.25" customHeight="1">
      <c r="A130" s="13" t="s">
        <v>754</v>
      </c>
      <c r="B130" s="15" t="str">
        <f>image("https://i.imgur.com/Cb2A2eF.png")</f>
        <v/>
      </c>
      <c r="C130" s="17" t="str">
        <f>HYPERLINK("https://imgur.com/a/56EQwJ1","Yes")</f>
        <v>Yes</v>
      </c>
      <c r="D130" s="15" t="s">
        <v>50</v>
      </c>
      <c r="E130" s="15" t="s">
        <v>50</v>
      </c>
      <c r="F130" s="38" t="s">
        <v>51</v>
      </c>
      <c r="G130" s="13">
        <v>1500.0</v>
      </c>
      <c r="H130" s="15">
        <v>4104.0</v>
      </c>
      <c r="I130" s="15" t="s">
        <v>86</v>
      </c>
      <c r="J130" s="15" t="s">
        <v>37</v>
      </c>
      <c r="K130" s="15"/>
      <c r="L130" s="15" t="s">
        <v>38</v>
      </c>
      <c r="M130" s="15">
        <v>2.0</v>
      </c>
      <c r="N130" s="15" t="s">
        <v>39</v>
      </c>
      <c r="O130" s="15" t="s">
        <v>40</v>
      </c>
      <c r="P130" s="15" t="s">
        <v>40</v>
      </c>
      <c r="Q130" s="15" t="s">
        <v>41</v>
      </c>
      <c r="R130" s="15" t="s">
        <v>54</v>
      </c>
      <c r="S130" s="15" t="s">
        <v>55</v>
      </c>
      <c r="T130" s="19"/>
      <c r="U130" s="15" t="s">
        <v>46</v>
      </c>
    </row>
    <row r="131" ht="56.25" customHeight="1">
      <c r="A131" s="23" t="s">
        <v>761</v>
      </c>
      <c r="B131" s="32" t="str">
        <f>image("https://i.imgur.com/rlr58Wt.png")</f>
        <v/>
      </c>
      <c r="C131" s="25" t="s">
        <v>40</v>
      </c>
      <c r="D131" s="25" t="s">
        <v>28</v>
      </c>
      <c r="E131" s="25" t="s">
        <v>28</v>
      </c>
      <c r="F131" s="24" t="s">
        <v>51</v>
      </c>
      <c r="G131" s="13">
        <v>18000.0</v>
      </c>
      <c r="H131" s="15">
        <v>6952.0</v>
      </c>
      <c r="I131" s="15"/>
      <c r="J131" s="15"/>
      <c r="K131" s="15"/>
      <c r="L131" s="15" t="s">
        <v>38</v>
      </c>
      <c r="M131" s="15"/>
      <c r="N131" s="15" t="s">
        <v>39</v>
      </c>
      <c r="O131" s="15" t="s">
        <v>40</v>
      </c>
      <c r="P131" s="15" t="s">
        <v>40</v>
      </c>
      <c r="Q131" s="15" t="s">
        <v>41</v>
      </c>
      <c r="R131" s="15" t="s">
        <v>54</v>
      </c>
      <c r="S131" s="15" t="s">
        <v>100</v>
      </c>
      <c r="T131" s="19" t="s">
        <v>101</v>
      </c>
      <c r="U131" s="15" t="s">
        <v>46</v>
      </c>
    </row>
    <row r="132" ht="56.25" customHeight="1">
      <c r="A132" s="13" t="s">
        <v>764</v>
      </c>
      <c r="B132" s="15" t="str">
        <f>image("https://i.imgur.com/70IVY4T.png")</f>
        <v/>
      </c>
      <c r="C132" s="17" t="str">
        <f>HYPERLINK("https://imgur.com/a/i1z2xed","Yes")</f>
        <v>Yes</v>
      </c>
      <c r="D132" s="15" t="s">
        <v>28</v>
      </c>
      <c r="E132" s="15" t="s">
        <v>28</v>
      </c>
      <c r="F132" s="13">
        <v>1900.0</v>
      </c>
      <c r="G132" s="13">
        <v>475.0</v>
      </c>
      <c r="H132" s="15">
        <v>1624.0</v>
      </c>
      <c r="I132" s="15" t="s">
        <v>95</v>
      </c>
      <c r="J132" s="15"/>
      <c r="K132" s="15"/>
      <c r="L132" s="15" t="s">
        <v>38</v>
      </c>
      <c r="M132" s="15">
        <v>1.0</v>
      </c>
      <c r="N132" s="15" t="s">
        <v>39</v>
      </c>
      <c r="O132" s="15" t="s">
        <v>40</v>
      </c>
      <c r="P132" s="15" t="s">
        <v>40</v>
      </c>
      <c r="Q132" s="15" t="s">
        <v>41</v>
      </c>
      <c r="R132" s="15" t="s">
        <v>43</v>
      </c>
      <c r="S132" s="15" t="s">
        <v>44</v>
      </c>
      <c r="T132" s="19" t="s">
        <v>63</v>
      </c>
      <c r="U132" s="15" t="s">
        <v>46</v>
      </c>
    </row>
    <row r="133" ht="56.25" customHeight="1">
      <c r="A133" s="23" t="s">
        <v>770</v>
      </c>
      <c r="B133" s="23" t="str">
        <f>IMAGE("https://i.imgur.com/8PA942A.png")</f>
        <v/>
      </c>
      <c r="C133" s="25" t="s">
        <v>40</v>
      </c>
      <c r="D133" s="25" t="s">
        <v>28</v>
      </c>
      <c r="E133" s="25" t="s">
        <v>28</v>
      </c>
      <c r="F133" s="24" t="s">
        <v>51</v>
      </c>
      <c r="G133" s="13">
        <v>1500.0</v>
      </c>
      <c r="H133" s="15">
        <v>7078.0</v>
      </c>
      <c r="I133" s="15"/>
      <c r="J133" s="15"/>
      <c r="K133" s="15"/>
      <c r="L133" s="15" t="s">
        <v>38</v>
      </c>
      <c r="M133" s="15"/>
      <c r="N133" s="15" t="s">
        <v>39</v>
      </c>
      <c r="O133" s="15" t="s">
        <v>40</v>
      </c>
      <c r="P133" s="15" t="s">
        <v>40</v>
      </c>
      <c r="Q133" s="15" t="s">
        <v>41</v>
      </c>
      <c r="R133" s="15" t="s">
        <v>54</v>
      </c>
      <c r="S133" s="15" t="s">
        <v>57</v>
      </c>
      <c r="T133" s="19" t="s">
        <v>58</v>
      </c>
      <c r="U133" s="15" t="s">
        <v>46</v>
      </c>
    </row>
    <row r="134" ht="56.25" customHeight="1">
      <c r="A134" s="23" t="s">
        <v>775</v>
      </c>
      <c r="B134" s="32" t="str">
        <f>image("https://i.imgur.com/8uYK232.png")</f>
        <v/>
      </c>
      <c r="C134" s="25" t="s">
        <v>40</v>
      </c>
      <c r="D134" s="25" t="s">
        <v>28</v>
      </c>
      <c r="E134" s="25" t="s">
        <v>28</v>
      </c>
      <c r="F134" s="24" t="s">
        <v>51</v>
      </c>
      <c r="G134" s="13">
        <v>16500.0</v>
      </c>
      <c r="H134" s="15">
        <v>7007.0</v>
      </c>
      <c r="I134" s="15"/>
      <c r="J134" s="15"/>
      <c r="K134" s="15"/>
      <c r="L134" s="15" t="s">
        <v>38</v>
      </c>
      <c r="M134" s="15"/>
      <c r="N134" s="15" t="s">
        <v>39</v>
      </c>
      <c r="O134" s="15" t="s">
        <v>40</v>
      </c>
      <c r="P134" s="15" t="s">
        <v>40</v>
      </c>
      <c r="Q134" s="15" t="s">
        <v>41</v>
      </c>
      <c r="R134" s="15" t="s">
        <v>54</v>
      </c>
      <c r="S134" s="15" t="s">
        <v>100</v>
      </c>
      <c r="T134" s="19" t="s">
        <v>101</v>
      </c>
      <c r="U134" s="15" t="s">
        <v>46</v>
      </c>
    </row>
    <row r="135" ht="56.25" customHeight="1">
      <c r="A135" s="23" t="s">
        <v>781</v>
      </c>
      <c r="B135" s="23" t="str">
        <f>IMAGE("https://i.imgur.com/zdy2xah.png")</f>
        <v/>
      </c>
      <c r="C135" s="25" t="s">
        <v>40</v>
      </c>
      <c r="D135" s="25" t="s">
        <v>28</v>
      </c>
      <c r="E135" s="25" t="s">
        <v>28</v>
      </c>
      <c r="F135" s="24" t="s">
        <v>51</v>
      </c>
      <c r="G135" s="13">
        <v>30000.0</v>
      </c>
      <c r="H135" s="15">
        <v>7092.0</v>
      </c>
      <c r="I135" s="15"/>
      <c r="J135" s="15"/>
      <c r="K135" s="15"/>
      <c r="L135" s="15" t="s">
        <v>38</v>
      </c>
      <c r="M135" s="15"/>
      <c r="N135" s="15" t="s">
        <v>39</v>
      </c>
      <c r="O135" s="15" t="s">
        <v>40</v>
      </c>
      <c r="P135" s="15" t="s">
        <v>40</v>
      </c>
      <c r="Q135" s="15" t="s">
        <v>41</v>
      </c>
      <c r="R135" s="15" t="s">
        <v>54</v>
      </c>
      <c r="S135" s="15" t="s">
        <v>57</v>
      </c>
      <c r="T135" s="19" t="s">
        <v>58</v>
      </c>
      <c r="U135" s="15" t="s">
        <v>46</v>
      </c>
    </row>
    <row r="136" ht="56.25" customHeight="1">
      <c r="A136" s="23" t="s">
        <v>786</v>
      </c>
      <c r="B136" s="32" t="str">
        <f>image("https://i.imgur.com/ifoQ6qH.png")</f>
        <v/>
      </c>
      <c r="C136" s="25" t="s">
        <v>40</v>
      </c>
      <c r="D136" s="25" t="s">
        <v>28</v>
      </c>
      <c r="E136" s="25" t="s">
        <v>28</v>
      </c>
      <c r="F136" s="24" t="s">
        <v>51</v>
      </c>
      <c r="G136" s="13">
        <v>13500.0</v>
      </c>
      <c r="H136" s="15">
        <v>7010.0</v>
      </c>
      <c r="I136" s="15"/>
      <c r="J136" s="15"/>
      <c r="K136" s="15"/>
      <c r="L136" s="15" t="s">
        <v>38</v>
      </c>
      <c r="M136" s="15"/>
      <c r="N136" s="15" t="s">
        <v>39</v>
      </c>
      <c r="O136" s="15" t="s">
        <v>40</v>
      </c>
      <c r="P136" s="15" t="s">
        <v>40</v>
      </c>
      <c r="Q136" s="15" t="s">
        <v>41</v>
      </c>
      <c r="R136" s="15" t="s">
        <v>54</v>
      </c>
      <c r="S136" s="15" t="s">
        <v>100</v>
      </c>
      <c r="T136" s="19" t="s">
        <v>101</v>
      </c>
      <c r="U136" s="15" t="s">
        <v>46</v>
      </c>
    </row>
    <row r="137" ht="56.25" customHeight="1">
      <c r="A137" s="23" t="s">
        <v>794</v>
      </c>
      <c r="B137" s="23" t="str">
        <f>IMAGE("https://i.imgur.com/6za7q9k.png")</f>
        <v/>
      </c>
      <c r="C137" s="25" t="s">
        <v>40</v>
      </c>
      <c r="D137" s="25" t="s">
        <v>28</v>
      </c>
      <c r="E137" s="25" t="s">
        <v>28</v>
      </c>
      <c r="F137" s="24" t="s">
        <v>51</v>
      </c>
      <c r="G137" s="13">
        <v>6000.0</v>
      </c>
      <c r="H137" s="15">
        <v>7120.0</v>
      </c>
      <c r="I137" s="15"/>
      <c r="J137" s="15"/>
      <c r="K137" s="15"/>
      <c r="L137" s="15" t="s">
        <v>38</v>
      </c>
      <c r="M137" s="15"/>
      <c r="N137" s="15" t="s">
        <v>39</v>
      </c>
      <c r="O137" s="15" t="s">
        <v>40</v>
      </c>
      <c r="P137" s="15" t="s">
        <v>40</v>
      </c>
      <c r="Q137" s="15" t="s">
        <v>41</v>
      </c>
      <c r="R137" s="15" t="s">
        <v>54</v>
      </c>
      <c r="S137" s="15" t="s">
        <v>57</v>
      </c>
      <c r="T137" s="19" t="s">
        <v>58</v>
      </c>
      <c r="U137" s="15" t="s">
        <v>46</v>
      </c>
    </row>
    <row r="138" ht="56.25" customHeight="1">
      <c r="A138" s="23" t="s">
        <v>798</v>
      </c>
      <c r="B138" s="23" t="str">
        <f>IMAGE("https://i.imgur.com/TjMzwrd.png")</f>
        <v/>
      </c>
      <c r="C138" s="25" t="s">
        <v>40</v>
      </c>
      <c r="D138" s="25" t="s">
        <v>28</v>
      </c>
      <c r="E138" s="25" t="s">
        <v>28</v>
      </c>
      <c r="F138" s="24" t="s">
        <v>51</v>
      </c>
      <c r="G138" s="13">
        <v>36000.0</v>
      </c>
      <c r="H138" s="15"/>
      <c r="I138" s="15"/>
      <c r="J138" s="15"/>
      <c r="K138" s="15"/>
      <c r="L138" s="15" t="s">
        <v>38</v>
      </c>
      <c r="M138" s="15"/>
      <c r="N138" s="15" t="s">
        <v>39</v>
      </c>
      <c r="O138" s="15" t="s">
        <v>40</v>
      </c>
      <c r="P138" s="15" t="s">
        <v>40</v>
      </c>
      <c r="Q138" s="15" t="s">
        <v>41</v>
      </c>
      <c r="R138" s="15" t="s">
        <v>54</v>
      </c>
      <c r="S138" s="15" t="s">
        <v>57</v>
      </c>
      <c r="T138" s="19" t="s">
        <v>58</v>
      </c>
      <c r="U138" s="15" t="s">
        <v>46</v>
      </c>
    </row>
    <row r="139" ht="56.25" customHeight="1">
      <c r="A139" s="13" t="s">
        <v>804</v>
      </c>
      <c r="B139" s="15" t="str">
        <f>image("https://i.imgur.com/SL6Mmk2.png")</f>
        <v/>
      </c>
      <c r="C139" s="17" t="str">
        <f>HYPERLINK("https://imgur.com/a/tRUnVEY","Yes")</f>
        <v>Yes</v>
      </c>
      <c r="D139" s="15" t="s">
        <v>28</v>
      </c>
      <c r="E139" s="15" t="s">
        <v>28</v>
      </c>
      <c r="F139" s="13">
        <v>350.0</v>
      </c>
      <c r="G139" s="24">
        <v>87.0</v>
      </c>
      <c r="H139" s="15">
        <v>4230.0</v>
      </c>
      <c r="I139" s="15" t="s">
        <v>60</v>
      </c>
      <c r="J139" s="15"/>
      <c r="K139" s="15"/>
      <c r="L139" s="15" t="s">
        <v>38</v>
      </c>
      <c r="M139" s="15">
        <v>1.0</v>
      </c>
      <c r="N139" s="15" t="s">
        <v>39</v>
      </c>
      <c r="O139" s="15" t="s">
        <v>40</v>
      </c>
      <c r="P139" s="15" t="s">
        <v>53</v>
      </c>
      <c r="Q139" s="15" t="s">
        <v>164</v>
      </c>
      <c r="R139" s="15" t="s">
        <v>43</v>
      </c>
      <c r="S139" s="15" t="s">
        <v>44</v>
      </c>
      <c r="T139" s="19" t="s">
        <v>45</v>
      </c>
      <c r="U139" s="15" t="s">
        <v>46</v>
      </c>
    </row>
    <row r="140" ht="56.25" customHeight="1">
      <c r="A140" s="13" t="s">
        <v>813</v>
      </c>
      <c r="B140" s="15" t="str">
        <f>image("https://i.imgur.com/R4KZOUj.png")</f>
        <v/>
      </c>
      <c r="C140" s="17" t="str">
        <f>HYPERLINK("https://imgur.com/a/4B1bM97","Yes")</f>
        <v>Yes</v>
      </c>
      <c r="D140" s="15" t="s">
        <v>28</v>
      </c>
      <c r="E140" s="15" t="s">
        <v>28</v>
      </c>
      <c r="F140" s="13">
        <v>1800.0</v>
      </c>
      <c r="G140" s="13">
        <v>450.0</v>
      </c>
      <c r="H140" s="15">
        <v>1411.0</v>
      </c>
      <c r="I140" s="15" t="s">
        <v>113</v>
      </c>
      <c r="J140" s="15" t="s">
        <v>80</v>
      </c>
      <c r="K140" s="15"/>
      <c r="L140" s="15" t="s">
        <v>38</v>
      </c>
      <c r="M140" s="15">
        <v>1.0</v>
      </c>
      <c r="N140" s="15" t="s">
        <v>39</v>
      </c>
      <c r="O140" s="15" t="s">
        <v>40</v>
      </c>
      <c r="P140" s="15" t="s">
        <v>53</v>
      </c>
      <c r="Q140" s="15" t="s">
        <v>41</v>
      </c>
      <c r="R140" s="15" t="s">
        <v>43</v>
      </c>
      <c r="S140" s="15" t="s">
        <v>44</v>
      </c>
      <c r="T140" s="19" t="s">
        <v>45</v>
      </c>
      <c r="U140" s="15" t="s">
        <v>46</v>
      </c>
    </row>
    <row r="141" ht="56.25" customHeight="1">
      <c r="A141" s="13" t="s">
        <v>819</v>
      </c>
      <c r="B141" s="15" t="str">
        <f>image("https://i.imgur.com/W94kPB8.png")</f>
        <v/>
      </c>
      <c r="C141" s="25" t="s">
        <v>40</v>
      </c>
      <c r="D141" s="15" t="s">
        <v>50</v>
      </c>
      <c r="E141" s="15" t="s">
        <v>28</v>
      </c>
      <c r="F141" s="13" t="s">
        <v>51</v>
      </c>
      <c r="G141" s="13">
        <v>30000.0</v>
      </c>
      <c r="H141" s="15">
        <v>3065.0</v>
      </c>
      <c r="I141" s="15" t="s">
        <v>62</v>
      </c>
      <c r="J141" s="15"/>
      <c r="K141" s="15"/>
      <c r="L141" s="15" t="s">
        <v>38</v>
      </c>
      <c r="M141" s="15"/>
      <c r="N141" s="15" t="s">
        <v>39</v>
      </c>
      <c r="O141" s="15" t="s">
        <v>40</v>
      </c>
      <c r="P141" s="15" t="s">
        <v>40</v>
      </c>
      <c r="Q141" s="15" t="s">
        <v>41</v>
      </c>
      <c r="R141" s="15" t="s">
        <v>54</v>
      </c>
      <c r="S141" s="15" t="s">
        <v>55</v>
      </c>
      <c r="T141" s="19"/>
      <c r="U141" s="15" t="s">
        <v>46</v>
      </c>
    </row>
    <row r="142" ht="56.25" customHeight="1">
      <c r="A142" s="13" t="s">
        <v>823</v>
      </c>
      <c r="B142" s="15" t="str">
        <f>image("https://i.imgur.com/zPC1b9B.png")</f>
        <v/>
      </c>
      <c r="C142" s="25" t="s">
        <v>40</v>
      </c>
      <c r="D142" s="15" t="s">
        <v>28</v>
      </c>
      <c r="E142" s="15" t="s">
        <v>28</v>
      </c>
      <c r="F142" s="13" t="s">
        <v>51</v>
      </c>
      <c r="G142" s="13">
        <v>450.0</v>
      </c>
      <c r="H142" s="15">
        <v>1203.0</v>
      </c>
      <c r="I142" s="15" t="s">
        <v>62</v>
      </c>
      <c r="J142" s="15"/>
      <c r="K142" s="15"/>
      <c r="L142" s="15" t="s">
        <v>38</v>
      </c>
      <c r="M142" s="15"/>
      <c r="N142" s="15" t="s">
        <v>39</v>
      </c>
      <c r="O142" s="15" t="s">
        <v>40</v>
      </c>
      <c r="P142" s="15" t="s">
        <v>40</v>
      </c>
      <c r="Q142" s="15" t="s">
        <v>41</v>
      </c>
      <c r="R142" s="15" t="s">
        <v>54</v>
      </c>
      <c r="S142" s="15" t="s">
        <v>264</v>
      </c>
      <c r="T142" s="19"/>
      <c r="U142" s="15" t="s">
        <v>46</v>
      </c>
    </row>
    <row r="143" ht="56.25" customHeight="1">
      <c r="A143" s="13" t="s">
        <v>827</v>
      </c>
      <c r="B143" s="15" t="str">
        <f>image("https://i.imgur.com/S3l0hE2.png")</f>
        <v/>
      </c>
      <c r="C143" s="25" t="s">
        <v>40</v>
      </c>
      <c r="D143" s="15" t="s">
        <v>28</v>
      </c>
      <c r="E143" s="15" t="s">
        <v>28</v>
      </c>
      <c r="F143" s="13" t="s">
        <v>51</v>
      </c>
      <c r="G143" s="13">
        <v>450.0</v>
      </c>
      <c r="H143" s="15">
        <v>1200.0</v>
      </c>
      <c r="I143" s="15" t="s">
        <v>62</v>
      </c>
      <c r="J143" s="15"/>
      <c r="K143" s="15"/>
      <c r="L143" s="15" t="s">
        <v>38</v>
      </c>
      <c r="M143" s="15"/>
      <c r="N143" s="15" t="s">
        <v>39</v>
      </c>
      <c r="O143" s="15" t="s">
        <v>40</v>
      </c>
      <c r="P143" s="15" t="s">
        <v>40</v>
      </c>
      <c r="Q143" s="15" t="s">
        <v>41</v>
      </c>
      <c r="R143" s="15" t="s">
        <v>54</v>
      </c>
      <c r="S143" s="15" t="s">
        <v>85</v>
      </c>
      <c r="T143" s="19"/>
      <c r="U143" s="15" t="s">
        <v>46</v>
      </c>
    </row>
    <row r="144" ht="56.25" customHeight="1">
      <c r="A144" s="13" t="s">
        <v>832</v>
      </c>
      <c r="B144" s="15" t="str">
        <f>image("https://i.imgur.com/YfCDAfQ.png")</f>
        <v/>
      </c>
      <c r="C144" s="25" t="s">
        <v>40</v>
      </c>
      <c r="D144" s="15" t="s">
        <v>28</v>
      </c>
      <c r="E144" s="15" t="s">
        <v>28</v>
      </c>
      <c r="F144" s="13" t="s">
        <v>51</v>
      </c>
      <c r="G144" s="13">
        <v>450.0</v>
      </c>
      <c r="H144" s="15">
        <v>7032.0</v>
      </c>
      <c r="I144" s="15" t="s">
        <v>62</v>
      </c>
      <c r="J144" s="15"/>
      <c r="K144" s="15"/>
      <c r="L144" s="15" t="s">
        <v>38</v>
      </c>
      <c r="M144" s="15"/>
      <c r="N144" s="15" t="s">
        <v>39</v>
      </c>
      <c r="O144" s="15" t="s">
        <v>40</v>
      </c>
      <c r="P144" s="15" t="s">
        <v>40</v>
      </c>
      <c r="Q144" s="15" t="s">
        <v>41</v>
      </c>
      <c r="R144" s="15" t="s">
        <v>54</v>
      </c>
      <c r="S144" s="15" t="s">
        <v>247</v>
      </c>
      <c r="T144" s="19"/>
      <c r="U144" s="15" t="s">
        <v>46</v>
      </c>
    </row>
    <row r="145" ht="56.25" customHeight="1">
      <c r="A145" s="13" t="s">
        <v>835</v>
      </c>
      <c r="B145" s="15" t="str">
        <f>image("https://i.imgur.com/VOde4Do.png")</f>
        <v/>
      </c>
      <c r="C145" s="25" t="s">
        <v>40</v>
      </c>
      <c r="D145" s="15" t="s">
        <v>50</v>
      </c>
      <c r="E145" s="15" t="s">
        <v>28</v>
      </c>
      <c r="F145" s="13" t="s">
        <v>51</v>
      </c>
      <c r="G145" s="13">
        <v>30000.0</v>
      </c>
      <c r="H145" s="15">
        <v>11260.0</v>
      </c>
      <c r="I145" s="15" t="s">
        <v>84</v>
      </c>
      <c r="J145" s="15" t="s">
        <v>90</v>
      </c>
      <c r="K145" s="15"/>
      <c r="L145" s="15" t="s">
        <v>38</v>
      </c>
      <c r="M145" s="15"/>
      <c r="N145" s="15" t="s">
        <v>39</v>
      </c>
      <c r="O145" s="15" t="s">
        <v>40</v>
      </c>
      <c r="P145" s="15" t="s">
        <v>40</v>
      </c>
      <c r="Q145" s="15" t="s">
        <v>41</v>
      </c>
      <c r="R145" s="15" t="s">
        <v>54</v>
      </c>
      <c r="S145" s="15" t="s">
        <v>55</v>
      </c>
      <c r="T145" s="19"/>
      <c r="U145" s="15" t="s">
        <v>46</v>
      </c>
    </row>
    <row r="146" ht="56.25" customHeight="1">
      <c r="A146" s="13" t="s">
        <v>840</v>
      </c>
      <c r="B146" s="15" t="str">
        <f>image("https://i.imgur.com/n428GXl.png")</f>
        <v/>
      </c>
      <c r="C146" s="25" t="s">
        <v>40</v>
      </c>
      <c r="D146" s="15" t="s">
        <v>50</v>
      </c>
      <c r="E146" s="15" t="s">
        <v>28</v>
      </c>
      <c r="F146" s="13" t="s">
        <v>51</v>
      </c>
      <c r="G146" s="13">
        <v>20000.0</v>
      </c>
      <c r="H146" s="15">
        <v>3772.0</v>
      </c>
      <c r="I146" s="15" t="s">
        <v>62</v>
      </c>
      <c r="J146" s="15" t="s">
        <v>346</v>
      </c>
      <c r="K146" s="15"/>
      <c r="L146" s="15" t="s">
        <v>38</v>
      </c>
      <c r="M146" s="15"/>
      <c r="N146" s="15" t="s">
        <v>39</v>
      </c>
      <c r="O146" s="15" t="s">
        <v>40</v>
      </c>
      <c r="P146" s="15" t="s">
        <v>53</v>
      </c>
      <c r="Q146" s="15" t="s">
        <v>164</v>
      </c>
      <c r="R146" s="15" t="s">
        <v>54</v>
      </c>
      <c r="S146" s="15" t="s">
        <v>55</v>
      </c>
      <c r="T146" s="19"/>
      <c r="U146" s="15" t="s">
        <v>46</v>
      </c>
    </row>
    <row r="147" ht="56.25" customHeight="1">
      <c r="A147" s="13" t="s">
        <v>843</v>
      </c>
      <c r="B147" s="15" t="str">
        <f>image("https://i.imgur.com/NBo0Mbu.png")</f>
        <v/>
      </c>
      <c r="C147" s="25" t="s">
        <v>40</v>
      </c>
      <c r="D147" s="15" t="s">
        <v>50</v>
      </c>
      <c r="E147" s="15" t="s">
        <v>28</v>
      </c>
      <c r="F147" s="13" t="s">
        <v>51</v>
      </c>
      <c r="G147" s="13">
        <v>10000.0</v>
      </c>
      <c r="H147" s="15">
        <v>3810.0</v>
      </c>
      <c r="I147" s="15" t="s">
        <v>86</v>
      </c>
      <c r="J147" s="15" t="s">
        <v>62</v>
      </c>
      <c r="K147" s="15"/>
      <c r="L147" s="15" t="s">
        <v>38</v>
      </c>
      <c r="M147" s="15"/>
      <c r="N147" s="15" t="s">
        <v>39</v>
      </c>
      <c r="O147" s="15" t="s">
        <v>40</v>
      </c>
      <c r="P147" s="15" t="s">
        <v>40</v>
      </c>
      <c r="Q147" s="15" t="s">
        <v>41</v>
      </c>
      <c r="R147" s="15" t="s">
        <v>54</v>
      </c>
      <c r="S147" s="15" t="s">
        <v>55</v>
      </c>
      <c r="T147" s="19"/>
      <c r="U147" s="15" t="s">
        <v>46</v>
      </c>
    </row>
    <row r="148" ht="56.25" customHeight="1">
      <c r="A148" s="13" t="s">
        <v>849</v>
      </c>
      <c r="B148" s="15" t="str">
        <f>image("https://i.imgur.com/bh6x0YZ.png")</f>
        <v/>
      </c>
      <c r="C148" s="25" t="s">
        <v>40</v>
      </c>
      <c r="D148" s="15" t="s">
        <v>50</v>
      </c>
      <c r="E148" s="15" t="s">
        <v>28</v>
      </c>
      <c r="F148" s="13" t="s">
        <v>51</v>
      </c>
      <c r="G148" s="13">
        <v>30000.0</v>
      </c>
      <c r="H148" s="15">
        <v>5941.0</v>
      </c>
      <c r="I148" s="15" t="s">
        <v>62</v>
      </c>
      <c r="J148" s="15"/>
      <c r="K148" s="15"/>
      <c r="L148" s="15" t="s">
        <v>38</v>
      </c>
      <c r="M148" s="15"/>
      <c r="N148" s="15" t="s">
        <v>39</v>
      </c>
      <c r="O148" s="15" t="s">
        <v>40</v>
      </c>
      <c r="P148" s="15" t="s">
        <v>40</v>
      </c>
      <c r="Q148" s="15" t="s">
        <v>41</v>
      </c>
      <c r="R148" s="15" t="s">
        <v>54</v>
      </c>
      <c r="S148" s="15" t="s">
        <v>55</v>
      </c>
      <c r="T148" s="19"/>
      <c r="U148" s="15" t="s">
        <v>46</v>
      </c>
    </row>
    <row r="149" ht="56.25" customHeight="1">
      <c r="A149" s="23" t="s">
        <v>853</v>
      </c>
      <c r="B149" s="23" t="str">
        <f>IMAGE("https://i.imgur.com/ixatali.png")</f>
        <v/>
      </c>
      <c r="C149" s="25" t="s">
        <v>40</v>
      </c>
      <c r="D149" s="25" t="s">
        <v>28</v>
      </c>
      <c r="E149" s="25" t="s">
        <v>28</v>
      </c>
      <c r="F149" s="24" t="s">
        <v>51</v>
      </c>
      <c r="G149" s="13">
        <v>36000.0</v>
      </c>
      <c r="H149" s="15">
        <v>7093.0</v>
      </c>
      <c r="I149" s="15"/>
      <c r="J149" s="15"/>
      <c r="K149" s="15"/>
      <c r="L149" s="15" t="s">
        <v>38</v>
      </c>
      <c r="M149" s="15"/>
      <c r="N149" s="15" t="s">
        <v>39</v>
      </c>
      <c r="O149" s="15" t="s">
        <v>40</v>
      </c>
      <c r="P149" s="15" t="s">
        <v>40</v>
      </c>
      <c r="Q149" s="15" t="s">
        <v>41</v>
      </c>
      <c r="R149" s="15" t="s">
        <v>54</v>
      </c>
      <c r="S149" s="15" t="s">
        <v>57</v>
      </c>
      <c r="T149" s="19" t="s">
        <v>58</v>
      </c>
      <c r="U149" s="15" t="s">
        <v>46</v>
      </c>
    </row>
    <row r="150" ht="56.25" customHeight="1">
      <c r="A150" s="23" t="s">
        <v>861</v>
      </c>
      <c r="B150" s="32" t="str">
        <f>image("https://i.imgur.com/MZuOjqQ.png")</f>
        <v/>
      </c>
      <c r="C150" s="25" t="s">
        <v>40</v>
      </c>
      <c r="D150" s="25" t="s">
        <v>28</v>
      </c>
      <c r="E150" s="25" t="s">
        <v>28</v>
      </c>
      <c r="F150" s="24" t="s">
        <v>51</v>
      </c>
      <c r="G150" s="13">
        <v>45000.0</v>
      </c>
      <c r="H150" s="15">
        <v>6953.0</v>
      </c>
      <c r="I150" s="15"/>
      <c r="J150" s="15"/>
      <c r="K150" s="15"/>
      <c r="L150" s="15" t="s">
        <v>38</v>
      </c>
      <c r="M150" s="15"/>
      <c r="N150" s="15" t="s">
        <v>39</v>
      </c>
      <c r="O150" s="15" t="s">
        <v>40</v>
      </c>
      <c r="P150" s="15" t="s">
        <v>40</v>
      </c>
      <c r="Q150" s="15" t="s">
        <v>41</v>
      </c>
      <c r="R150" s="15" t="s">
        <v>54</v>
      </c>
      <c r="S150" s="15" t="s">
        <v>100</v>
      </c>
      <c r="T150" s="19" t="s">
        <v>101</v>
      </c>
      <c r="U150" s="15" t="s">
        <v>46</v>
      </c>
    </row>
    <row r="151" ht="56.25" customHeight="1">
      <c r="A151" s="23" t="s">
        <v>866</v>
      </c>
      <c r="B151" s="32" t="str">
        <f>image("https://i.imgur.com/80fhjDC.png")</f>
        <v/>
      </c>
      <c r="C151" s="25" t="s">
        <v>40</v>
      </c>
      <c r="D151" s="25" t="s">
        <v>28</v>
      </c>
      <c r="E151" s="25" t="s">
        <v>28</v>
      </c>
      <c r="F151" s="24" t="s">
        <v>51</v>
      </c>
      <c r="G151" s="13">
        <v>3900.0</v>
      </c>
      <c r="H151" s="15">
        <v>6930.0</v>
      </c>
      <c r="I151" s="15"/>
      <c r="J151" s="15"/>
      <c r="K151" s="15"/>
      <c r="L151" s="15" t="s">
        <v>38</v>
      </c>
      <c r="M151" s="15"/>
      <c r="N151" s="15" t="s">
        <v>39</v>
      </c>
      <c r="O151" s="15" t="s">
        <v>40</v>
      </c>
      <c r="P151" s="15" t="s">
        <v>40</v>
      </c>
      <c r="Q151" s="15" t="s">
        <v>41</v>
      </c>
      <c r="R151" s="15" t="s">
        <v>54</v>
      </c>
      <c r="S151" s="15" t="s">
        <v>100</v>
      </c>
      <c r="T151" s="19" t="s">
        <v>101</v>
      </c>
      <c r="U151" s="15" t="s">
        <v>46</v>
      </c>
    </row>
    <row r="152" ht="56.25" customHeight="1">
      <c r="A152" s="23" t="s">
        <v>873</v>
      </c>
      <c r="B152" s="23" t="str">
        <f>IMAGE("https://i.imgur.com/35SLZRh.png")</f>
        <v/>
      </c>
      <c r="C152" s="25" t="s">
        <v>40</v>
      </c>
      <c r="D152" s="25" t="s">
        <v>28</v>
      </c>
      <c r="E152" s="25" t="s">
        <v>28</v>
      </c>
      <c r="F152" s="24" t="s">
        <v>51</v>
      </c>
      <c r="G152" s="13">
        <v>24000.0</v>
      </c>
      <c r="H152" s="15"/>
      <c r="I152" s="15"/>
      <c r="J152" s="15"/>
      <c r="K152" s="15"/>
      <c r="L152" s="15" t="s">
        <v>38</v>
      </c>
      <c r="M152" s="15"/>
      <c r="N152" s="15" t="s">
        <v>39</v>
      </c>
      <c r="O152" s="15" t="s">
        <v>40</v>
      </c>
      <c r="P152" s="15" t="s">
        <v>40</v>
      </c>
      <c r="Q152" s="15" t="s">
        <v>41</v>
      </c>
      <c r="R152" s="15" t="s">
        <v>54</v>
      </c>
      <c r="S152" s="15" t="s">
        <v>57</v>
      </c>
      <c r="T152" s="19" t="s">
        <v>58</v>
      </c>
      <c r="U152" s="15" t="s">
        <v>46</v>
      </c>
    </row>
    <row r="153" ht="56.25" customHeight="1">
      <c r="A153" s="23" t="s">
        <v>878</v>
      </c>
      <c r="B153" s="23" t="str">
        <f>IMAGE("https://i.imgur.com/SNXkO3s.png")</f>
        <v/>
      </c>
      <c r="C153" s="25" t="s">
        <v>40</v>
      </c>
      <c r="D153" s="25" t="s">
        <v>28</v>
      </c>
      <c r="E153" s="25" t="s">
        <v>28</v>
      </c>
      <c r="F153" s="24" t="s">
        <v>51</v>
      </c>
      <c r="G153" s="13">
        <v>9000.0</v>
      </c>
      <c r="H153" s="15"/>
      <c r="I153" s="15"/>
      <c r="J153" s="15"/>
      <c r="K153" s="15"/>
      <c r="L153" s="15" t="s">
        <v>38</v>
      </c>
      <c r="M153" s="15"/>
      <c r="N153" s="15" t="s">
        <v>39</v>
      </c>
      <c r="O153" s="15" t="s">
        <v>40</v>
      </c>
      <c r="P153" s="15" t="s">
        <v>40</v>
      </c>
      <c r="Q153" s="15" t="s">
        <v>41</v>
      </c>
      <c r="R153" s="15" t="s">
        <v>54</v>
      </c>
      <c r="S153" s="15" t="s">
        <v>57</v>
      </c>
      <c r="T153" s="19" t="s">
        <v>58</v>
      </c>
      <c r="U153" s="15" t="s">
        <v>46</v>
      </c>
    </row>
    <row r="154" ht="56.25" customHeight="1">
      <c r="A154" s="23" t="s">
        <v>887</v>
      </c>
      <c r="B154" s="23" t="str">
        <f>IMAGE("https://i.imgur.com/HkVrZfJ.png")</f>
        <v/>
      </c>
      <c r="C154" s="25" t="s">
        <v>40</v>
      </c>
      <c r="D154" s="25" t="s">
        <v>28</v>
      </c>
      <c r="E154" s="25" t="s">
        <v>28</v>
      </c>
      <c r="F154" s="24" t="s">
        <v>51</v>
      </c>
      <c r="G154" s="13">
        <v>13500.0</v>
      </c>
      <c r="H154" s="15"/>
      <c r="I154" s="15"/>
      <c r="J154" s="15"/>
      <c r="K154" s="15"/>
      <c r="L154" s="15" t="s">
        <v>38</v>
      </c>
      <c r="M154" s="15"/>
      <c r="N154" s="15" t="s">
        <v>39</v>
      </c>
      <c r="O154" s="15" t="s">
        <v>40</v>
      </c>
      <c r="P154" s="15" t="s">
        <v>40</v>
      </c>
      <c r="Q154" s="15" t="s">
        <v>41</v>
      </c>
      <c r="R154" s="15" t="s">
        <v>54</v>
      </c>
      <c r="S154" s="15" t="s">
        <v>57</v>
      </c>
      <c r="T154" s="19" t="s">
        <v>58</v>
      </c>
      <c r="U154" s="15" t="s">
        <v>46</v>
      </c>
    </row>
    <row r="155" ht="56.25" customHeight="1">
      <c r="A155" s="23" t="s">
        <v>896</v>
      </c>
      <c r="B155" s="23" t="str">
        <f>IMAGE("https://i.imgur.com/FW5qAyl.png")</f>
        <v/>
      </c>
      <c r="C155" s="25" t="s">
        <v>40</v>
      </c>
      <c r="D155" s="25" t="s">
        <v>28</v>
      </c>
      <c r="E155" s="25" t="s">
        <v>28</v>
      </c>
      <c r="F155" s="24" t="s">
        <v>51</v>
      </c>
      <c r="G155" s="13">
        <v>480.0</v>
      </c>
      <c r="H155" s="15">
        <v>7073.0</v>
      </c>
      <c r="I155" s="15"/>
      <c r="J155" s="15"/>
      <c r="K155" s="15"/>
      <c r="L155" s="15" t="s">
        <v>38</v>
      </c>
      <c r="M155" s="15"/>
      <c r="N155" s="15" t="s">
        <v>39</v>
      </c>
      <c r="O155" s="15" t="s">
        <v>40</v>
      </c>
      <c r="P155" s="15" t="s">
        <v>40</v>
      </c>
      <c r="Q155" s="15" t="s">
        <v>41</v>
      </c>
      <c r="R155" s="15" t="s">
        <v>54</v>
      </c>
      <c r="S155" s="15" t="s">
        <v>57</v>
      </c>
      <c r="T155" s="19" t="s">
        <v>58</v>
      </c>
      <c r="U155" s="15" t="s">
        <v>46</v>
      </c>
    </row>
    <row r="156" ht="56.25" customHeight="1">
      <c r="A156" s="23" t="s">
        <v>903</v>
      </c>
      <c r="B156" s="23" t="str">
        <f>IMAGE("https://i.imgur.com/TYTuHal.png")</f>
        <v/>
      </c>
      <c r="C156" s="25" t="s">
        <v>40</v>
      </c>
      <c r="D156" s="25" t="s">
        <v>28</v>
      </c>
      <c r="E156" s="25" t="s">
        <v>28</v>
      </c>
      <c r="F156" s="24" t="s">
        <v>51</v>
      </c>
      <c r="G156" s="13">
        <v>9000.0</v>
      </c>
      <c r="H156" s="15">
        <v>7113.0</v>
      </c>
      <c r="I156" s="15"/>
      <c r="J156" s="15"/>
      <c r="K156" s="15"/>
      <c r="L156" s="15" t="s">
        <v>38</v>
      </c>
      <c r="M156" s="15"/>
      <c r="N156" s="15" t="s">
        <v>39</v>
      </c>
      <c r="O156" s="15" t="s">
        <v>40</v>
      </c>
      <c r="P156" s="15" t="s">
        <v>40</v>
      </c>
      <c r="Q156" s="15" t="s">
        <v>41</v>
      </c>
      <c r="R156" s="15" t="s">
        <v>54</v>
      </c>
      <c r="S156" s="15" t="s">
        <v>57</v>
      </c>
      <c r="T156" s="19" t="s">
        <v>58</v>
      </c>
      <c r="U156" s="15" t="s">
        <v>46</v>
      </c>
    </row>
    <row r="157" ht="56.25" customHeight="1">
      <c r="A157" s="23" t="s">
        <v>911</v>
      </c>
      <c r="B157" s="32" t="str">
        <f>image("https://i.imgur.com/I3IChP3.png")</f>
        <v/>
      </c>
      <c r="C157" s="25" t="s">
        <v>40</v>
      </c>
      <c r="D157" s="25" t="s">
        <v>28</v>
      </c>
      <c r="E157" s="25" t="s">
        <v>28</v>
      </c>
      <c r="F157" s="24" t="s">
        <v>51</v>
      </c>
      <c r="G157" s="13">
        <v>3900.0</v>
      </c>
      <c r="H157" s="15">
        <v>6954.0</v>
      </c>
      <c r="I157" s="15"/>
      <c r="J157" s="15"/>
      <c r="K157" s="15"/>
      <c r="L157" s="15" t="s">
        <v>38</v>
      </c>
      <c r="M157" s="15"/>
      <c r="N157" s="15" t="s">
        <v>39</v>
      </c>
      <c r="O157" s="15" t="s">
        <v>40</v>
      </c>
      <c r="P157" s="15" t="s">
        <v>40</v>
      </c>
      <c r="Q157" s="15" t="s">
        <v>41</v>
      </c>
      <c r="R157" s="15" t="s">
        <v>54</v>
      </c>
      <c r="S157" s="15" t="s">
        <v>100</v>
      </c>
      <c r="T157" s="19" t="s">
        <v>101</v>
      </c>
      <c r="U157" s="15" t="s">
        <v>46</v>
      </c>
    </row>
    <row r="158" ht="56.25" customHeight="1">
      <c r="A158" s="23" t="s">
        <v>917</v>
      </c>
      <c r="B158" s="32" t="str">
        <f>image("https://i.imgur.com/s5k9N4Q.png")</f>
        <v/>
      </c>
      <c r="C158" s="25" t="s">
        <v>40</v>
      </c>
      <c r="D158" s="25" t="s">
        <v>28</v>
      </c>
      <c r="E158" s="25" t="s">
        <v>28</v>
      </c>
      <c r="F158" s="24" t="s">
        <v>51</v>
      </c>
      <c r="G158" s="13">
        <v>24000.0</v>
      </c>
      <c r="H158" s="15">
        <v>7015.0</v>
      </c>
      <c r="I158" s="15"/>
      <c r="J158" s="15"/>
      <c r="K158" s="15"/>
      <c r="L158" s="15" t="s">
        <v>38</v>
      </c>
      <c r="M158" s="15"/>
      <c r="N158" s="15" t="s">
        <v>39</v>
      </c>
      <c r="O158" s="15" t="s">
        <v>40</v>
      </c>
      <c r="P158" s="15" t="s">
        <v>40</v>
      </c>
      <c r="Q158" s="15" t="s">
        <v>41</v>
      </c>
      <c r="R158" s="15" t="s">
        <v>54</v>
      </c>
      <c r="S158" s="15" t="s">
        <v>100</v>
      </c>
      <c r="T158" s="19" t="s">
        <v>101</v>
      </c>
      <c r="U158" s="15" t="s">
        <v>46</v>
      </c>
    </row>
    <row r="159" ht="56.25" customHeight="1">
      <c r="A159" s="13" t="s">
        <v>921</v>
      </c>
      <c r="B159" s="15" t="str">
        <f>image("https://i.imgur.com/z9XHI3B.png")</f>
        <v/>
      </c>
      <c r="C159" s="17" t="str">
        <f>HYPERLINK("https://imgur.com/a/ZVnOWXU","Yes")</f>
        <v>Yes</v>
      </c>
      <c r="D159" s="15" t="s">
        <v>28</v>
      </c>
      <c r="E159" s="15" t="s">
        <v>28</v>
      </c>
      <c r="F159" s="13">
        <v>870.0</v>
      </c>
      <c r="G159" s="24">
        <v>217.0</v>
      </c>
      <c r="H159" s="15">
        <v>1348.0</v>
      </c>
      <c r="I159" s="15" t="s">
        <v>60</v>
      </c>
      <c r="J159" s="15"/>
      <c r="K159" s="15"/>
      <c r="L159" s="15" t="s">
        <v>38</v>
      </c>
      <c r="M159" s="15">
        <v>1.0</v>
      </c>
      <c r="N159" s="15" t="s">
        <v>39</v>
      </c>
      <c r="O159" s="15" t="s">
        <v>40</v>
      </c>
      <c r="P159" s="15" t="s">
        <v>53</v>
      </c>
      <c r="Q159" s="15" t="s">
        <v>41</v>
      </c>
      <c r="R159" s="15" t="s">
        <v>43</v>
      </c>
      <c r="S159" s="15" t="s">
        <v>44</v>
      </c>
      <c r="T159" s="19" t="s">
        <v>45</v>
      </c>
      <c r="U159" s="15" t="s">
        <v>46</v>
      </c>
    </row>
    <row r="160" ht="56.25" customHeight="1">
      <c r="A160" s="13" t="s">
        <v>925</v>
      </c>
      <c r="B160" s="15" t="str">
        <f>image("https://i.imgur.com/Ief0PQ3.png")</f>
        <v/>
      </c>
      <c r="C160" s="17" t="str">
        <f>HYPERLINK("https://imgur.com/a/aSEOzBW","Yes")</f>
        <v>Yes</v>
      </c>
      <c r="D160" s="15" t="s">
        <v>28</v>
      </c>
      <c r="E160" s="15" t="s">
        <v>28</v>
      </c>
      <c r="F160" s="13">
        <v>1400.0</v>
      </c>
      <c r="G160" s="13">
        <v>350.0</v>
      </c>
      <c r="H160" s="15">
        <v>3960.0</v>
      </c>
      <c r="I160" s="15" t="s">
        <v>156</v>
      </c>
      <c r="J160" s="15" t="s">
        <v>80</v>
      </c>
      <c r="K160" s="15"/>
      <c r="L160" s="15" t="s">
        <v>38</v>
      </c>
      <c r="M160" s="15">
        <v>1.0</v>
      </c>
      <c r="N160" s="15" t="s">
        <v>39</v>
      </c>
      <c r="O160" s="15" t="s">
        <v>40</v>
      </c>
      <c r="P160" s="15" t="s">
        <v>40</v>
      </c>
      <c r="Q160" s="15" t="s">
        <v>41</v>
      </c>
      <c r="R160" s="15" t="s">
        <v>43</v>
      </c>
      <c r="S160" s="15" t="s">
        <v>44</v>
      </c>
      <c r="T160" s="19" t="s">
        <v>202</v>
      </c>
      <c r="U160" s="15" t="s">
        <v>46</v>
      </c>
    </row>
    <row r="161" ht="56.25" customHeight="1">
      <c r="A161" s="23" t="s">
        <v>931</v>
      </c>
      <c r="B161" s="23" t="str">
        <f>IMAGE("https://i.imgur.com/QrdnKtw.png")</f>
        <v/>
      </c>
      <c r="C161" s="25" t="s">
        <v>40</v>
      </c>
      <c r="D161" s="25" t="s">
        <v>28</v>
      </c>
      <c r="E161" s="25" t="s">
        <v>28</v>
      </c>
      <c r="F161" s="24" t="s">
        <v>51</v>
      </c>
      <c r="G161" s="13">
        <v>3000.0</v>
      </c>
      <c r="H161" s="15">
        <v>7108.0</v>
      </c>
      <c r="I161" s="15"/>
      <c r="J161" s="15"/>
      <c r="K161" s="15"/>
      <c r="L161" s="15" t="s">
        <v>38</v>
      </c>
      <c r="M161" s="15"/>
      <c r="N161" s="15" t="s">
        <v>39</v>
      </c>
      <c r="O161" s="15" t="s">
        <v>40</v>
      </c>
      <c r="P161" s="15" t="s">
        <v>40</v>
      </c>
      <c r="Q161" s="15" t="s">
        <v>41</v>
      </c>
      <c r="R161" s="15" t="s">
        <v>54</v>
      </c>
      <c r="S161" s="15" t="s">
        <v>57</v>
      </c>
      <c r="T161" s="19" t="s">
        <v>58</v>
      </c>
      <c r="U161" s="15" t="s">
        <v>46</v>
      </c>
    </row>
    <row r="162" ht="56.25" customHeight="1">
      <c r="A162" s="13" t="s">
        <v>935</v>
      </c>
      <c r="B162" s="15" t="str">
        <f>image("https://i.imgur.com/nsfwCvl.png")</f>
        <v/>
      </c>
      <c r="C162" s="17" t="str">
        <f>HYPERLINK("https://imgur.com/a/w99Of6Q","Yes")</f>
        <v>Yes</v>
      </c>
      <c r="D162" s="15" t="s">
        <v>50</v>
      </c>
      <c r="E162" s="15" t="s">
        <v>50</v>
      </c>
      <c r="F162" s="13" t="s">
        <v>51</v>
      </c>
      <c r="G162" s="13">
        <v>600.0</v>
      </c>
      <c r="H162" s="15">
        <v>891.0</v>
      </c>
      <c r="I162" s="15" t="s">
        <v>212</v>
      </c>
      <c r="J162" s="15" t="s">
        <v>36</v>
      </c>
      <c r="K162" s="15"/>
      <c r="L162" s="15" t="s">
        <v>38</v>
      </c>
      <c r="M162" s="15">
        <v>1.0</v>
      </c>
      <c r="N162" s="15" t="s">
        <v>39</v>
      </c>
      <c r="O162" s="15" t="s">
        <v>40</v>
      </c>
      <c r="P162" s="15" t="s">
        <v>53</v>
      </c>
      <c r="Q162" s="15" t="s">
        <v>164</v>
      </c>
      <c r="R162" s="15" t="s">
        <v>54</v>
      </c>
      <c r="S162" s="15" t="s">
        <v>55</v>
      </c>
      <c r="T162" s="19" t="s">
        <v>418</v>
      </c>
      <c r="U162" s="15" t="s">
        <v>46</v>
      </c>
    </row>
    <row r="163" ht="56.25" customHeight="1">
      <c r="A163" s="13" t="s">
        <v>942</v>
      </c>
      <c r="B163" s="15" t="str">
        <f>image("https://i.imgur.com/nH98nYx.png")</f>
        <v/>
      </c>
      <c r="C163" s="17" t="str">
        <f>HYPERLINK("https://imgur.com/a/XcI6EPX","Yes")</f>
        <v>Yes</v>
      </c>
      <c r="D163" s="15" t="s">
        <v>28</v>
      </c>
      <c r="E163" s="15" t="s">
        <v>28</v>
      </c>
      <c r="F163" s="13">
        <v>330.0</v>
      </c>
      <c r="G163" s="24">
        <v>82.0</v>
      </c>
      <c r="H163" s="15">
        <v>3968.0</v>
      </c>
      <c r="I163" s="15" t="s">
        <v>80</v>
      </c>
      <c r="J163" s="15" t="s">
        <v>136</v>
      </c>
      <c r="K163" s="15"/>
      <c r="L163" s="15" t="s">
        <v>38</v>
      </c>
      <c r="M163" s="15"/>
      <c r="N163" s="15" t="s">
        <v>39</v>
      </c>
      <c r="O163" s="15" t="s">
        <v>40</v>
      </c>
      <c r="P163" s="15" t="s">
        <v>40</v>
      </c>
      <c r="Q163" s="15" t="s">
        <v>41</v>
      </c>
      <c r="R163" s="15" t="s">
        <v>43</v>
      </c>
      <c r="S163" s="15" t="s">
        <v>44</v>
      </c>
      <c r="T163" s="19" t="s">
        <v>45</v>
      </c>
      <c r="U163" s="15" t="s">
        <v>46</v>
      </c>
    </row>
    <row r="164" ht="56.25" customHeight="1">
      <c r="A164" s="23" t="s">
        <v>949</v>
      </c>
      <c r="B164" s="23" t="str">
        <f>IMAGE("https://i.imgur.com/OQ5I3An.png")</f>
        <v/>
      </c>
      <c r="C164" s="25" t="s">
        <v>40</v>
      </c>
      <c r="D164" s="25" t="s">
        <v>28</v>
      </c>
      <c r="E164" s="25" t="s">
        <v>28</v>
      </c>
      <c r="F164" s="24" t="s">
        <v>51</v>
      </c>
      <c r="G164" s="13">
        <v>600.0</v>
      </c>
      <c r="H164" s="15">
        <v>5928.0</v>
      </c>
      <c r="I164" s="15"/>
      <c r="J164" s="15"/>
      <c r="K164" s="15"/>
      <c r="L164" s="15" t="s">
        <v>38</v>
      </c>
      <c r="M164" s="15"/>
      <c r="N164" s="15" t="s">
        <v>39</v>
      </c>
      <c r="O164" s="15" t="s">
        <v>40</v>
      </c>
      <c r="P164" s="15" t="s">
        <v>40</v>
      </c>
      <c r="Q164" s="15" t="s">
        <v>41</v>
      </c>
      <c r="R164" s="15" t="s">
        <v>54</v>
      </c>
      <c r="S164" s="15" t="s">
        <v>57</v>
      </c>
      <c r="T164" s="19" t="s">
        <v>58</v>
      </c>
      <c r="U164" s="15" t="s">
        <v>46</v>
      </c>
    </row>
    <row r="165" ht="56.25" customHeight="1">
      <c r="A165" s="23" t="s">
        <v>953</v>
      </c>
      <c r="B165" s="23" t="str">
        <f>IMAGE("https://i.imgur.com/SgGVw4H.png")</f>
        <v/>
      </c>
      <c r="C165" s="25" t="s">
        <v>40</v>
      </c>
      <c r="D165" s="25" t="s">
        <v>28</v>
      </c>
      <c r="E165" s="25" t="s">
        <v>28</v>
      </c>
      <c r="F165" s="24" t="s">
        <v>51</v>
      </c>
      <c r="G165" s="13">
        <v>24000.0</v>
      </c>
      <c r="H165" s="15">
        <v>7075.0</v>
      </c>
      <c r="I165" s="15"/>
      <c r="J165" s="15"/>
      <c r="K165" s="15"/>
      <c r="L165" s="15" t="s">
        <v>38</v>
      </c>
      <c r="M165" s="15"/>
      <c r="N165" s="15" t="s">
        <v>39</v>
      </c>
      <c r="O165" s="15" t="s">
        <v>40</v>
      </c>
      <c r="P165" s="15" t="s">
        <v>40</v>
      </c>
      <c r="Q165" s="15" t="s">
        <v>41</v>
      </c>
      <c r="R165" s="15" t="s">
        <v>54</v>
      </c>
      <c r="S165" s="15" t="s">
        <v>57</v>
      </c>
      <c r="T165" s="19" t="s">
        <v>58</v>
      </c>
      <c r="U165" s="15" t="s">
        <v>46</v>
      </c>
    </row>
    <row r="166" ht="56.25" customHeight="1">
      <c r="A166" s="23" t="s">
        <v>959</v>
      </c>
      <c r="B166" s="23" t="str">
        <f>IMAGE("https://i.imgur.com/QqtQuKC.png")</f>
        <v/>
      </c>
      <c r="C166" s="25" t="s">
        <v>40</v>
      </c>
      <c r="D166" s="25" t="s">
        <v>28</v>
      </c>
      <c r="E166" s="25" t="s">
        <v>28</v>
      </c>
      <c r="F166" s="24" t="s">
        <v>51</v>
      </c>
      <c r="G166" s="13">
        <v>4050.0</v>
      </c>
      <c r="H166" s="15">
        <v>5938.0</v>
      </c>
      <c r="I166" s="15"/>
      <c r="J166" s="15"/>
      <c r="K166" s="15"/>
      <c r="L166" s="15" t="s">
        <v>38</v>
      </c>
      <c r="M166" s="15"/>
      <c r="N166" s="15" t="s">
        <v>39</v>
      </c>
      <c r="O166" s="15" t="s">
        <v>40</v>
      </c>
      <c r="P166" s="15" t="s">
        <v>40</v>
      </c>
      <c r="Q166" s="15" t="s">
        <v>41</v>
      </c>
      <c r="R166" s="15" t="s">
        <v>54</v>
      </c>
      <c r="S166" s="15" t="s">
        <v>57</v>
      </c>
      <c r="T166" s="19" t="s">
        <v>58</v>
      </c>
      <c r="U166" s="15" t="s">
        <v>46</v>
      </c>
    </row>
    <row r="167" ht="56.25" customHeight="1">
      <c r="A167" s="23" t="s">
        <v>964</v>
      </c>
      <c r="B167" s="23" t="str">
        <f>IMAGE("https://i.imgur.com/xD4ZmaM.png")</f>
        <v/>
      </c>
      <c r="C167" s="25" t="s">
        <v>40</v>
      </c>
      <c r="D167" s="25" t="s">
        <v>28</v>
      </c>
      <c r="E167" s="25" t="s">
        <v>28</v>
      </c>
      <c r="F167" s="24" t="s">
        <v>51</v>
      </c>
      <c r="G167" s="13">
        <v>24000.0</v>
      </c>
      <c r="H167" s="15">
        <v>7110.0</v>
      </c>
      <c r="I167" s="15"/>
      <c r="J167" s="15"/>
      <c r="K167" s="15"/>
      <c r="L167" s="15" t="s">
        <v>38</v>
      </c>
      <c r="M167" s="15"/>
      <c r="N167" s="15" t="s">
        <v>39</v>
      </c>
      <c r="O167" s="15" t="s">
        <v>40</v>
      </c>
      <c r="P167" s="15" t="s">
        <v>40</v>
      </c>
      <c r="Q167" s="15" t="s">
        <v>41</v>
      </c>
      <c r="R167" s="15" t="s">
        <v>54</v>
      </c>
      <c r="S167" s="15" t="s">
        <v>57</v>
      </c>
      <c r="T167" s="19" t="s">
        <v>58</v>
      </c>
      <c r="U167" s="15" t="s">
        <v>46</v>
      </c>
    </row>
    <row r="168" ht="56.25" customHeight="1">
      <c r="A168" s="23" t="s">
        <v>967</v>
      </c>
      <c r="B168" s="23" t="str">
        <f>IMAGE("https://i.imgur.com/tdBs7r9.png")</f>
        <v/>
      </c>
      <c r="C168" s="25" t="s">
        <v>40</v>
      </c>
      <c r="D168" s="25" t="s">
        <v>28</v>
      </c>
      <c r="E168" s="25" t="s">
        <v>28</v>
      </c>
      <c r="F168" s="24" t="s">
        <v>51</v>
      </c>
      <c r="G168" s="13">
        <v>36000.0</v>
      </c>
      <c r="H168" s="15"/>
      <c r="I168" s="15"/>
      <c r="J168" s="15"/>
      <c r="K168" s="15"/>
      <c r="L168" s="15" t="s">
        <v>38</v>
      </c>
      <c r="M168" s="15"/>
      <c r="N168" s="15" t="s">
        <v>39</v>
      </c>
      <c r="O168" s="15" t="s">
        <v>40</v>
      </c>
      <c r="P168" s="15" t="s">
        <v>40</v>
      </c>
      <c r="Q168" s="15" t="s">
        <v>41</v>
      </c>
      <c r="R168" s="15" t="s">
        <v>54</v>
      </c>
      <c r="S168" s="15" t="s">
        <v>57</v>
      </c>
      <c r="T168" s="19" t="s">
        <v>58</v>
      </c>
      <c r="U168" s="15" t="s">
        <v>46</v>
      </c>
    </row>
    <row r="169" ht="56.25" customHeight="1">
      <c r="A169" s="23" t="s">
        <v>971</v>
      </c>
      <c r="B169" s="32" t="str">
        <f>image("https://i.imgur.com/OkMAcrB.png")</f>
        <v/>
      </c>
      <c r="C169" s="25" t="s">
        <v>40</v>
      </c>
      <c r="D169" s="25" t="s">
        <v>28</v>
      </c>
      <c r="E169" s="25" t="s">
        <v>28</v>
      </c>
      <c r="F169" s="24" t="s">
        <v>51</v>
      </c>
      <c r="G169" s="13">
        <v>450.0</v>
      </c>
      <c r="H169" s="15">
        <v>6932.0</v>
      </c>
      <c r="I169" s="15"/>
      <c r="J169" s="15"/>
      <c r="K169" s="15"/>
      <c r="L169" s="15" t="s">
        <v>38</v>
      </c>
      <c r="M169" s="15"/>
      <c r="N169" s="15" t="s">
        <v>39</v>
      </c>
      <c r="O169" s="15" t="s">
        <v>40</v>
      </c>
      <c r="P169" s="15" t="s">
        <v>40</v>
      </c>
      <c r="Q169" s="15" t="s">
        <v>41</v>
      </c>
      <c r="R169" s="15" t="s">
        <v>54</v>
      </c>
      <c r="S169" s="15" t="s">
        <v>100</v>
      </c>
      <c r="T169" s="19" t="s">
        <v>101</v>
      </c>
      <c r="U169" s="15" t="s">
        <v>46</v>
      </c>
    </row>
    <row r="170" ht="56.25" customHeight="1">
      <c r="A170" s="13" t="s">
        <v>976</v>
      </c>
      <c r="B170" s="15" t="str">
        <f>image("https://i.imgur.com/06BiLub.png")</f>
        <v/>
      </c>
      <c r="C170" s="17" t="str">
        <f>HYPERLINK("https://imgur.com/a/HfYJPTn","Yes")</f>
        <v>Yes</v>
      </c>
      <c r="D170" s="15" t="s">
        <v>28</v>
      </c>
      <c r="E170" s="15" t="s">
        <v>28</v>
      </c>
      <c r="F170" s="13">
        <v>660.0</v>
      </c>
      <c r="G170" s="13">
        <v>165.0</v>
      </c>
      <c r="H170" s="15">
        <v>1892.0</v>
      </c>
      <c r="I170" s="15" t="s">
        <v>86</v>
      </c>
      <c r="J170" s="15" t="s">
        <v>60</v>
      </c>
      <c r="K170" s="15"/>
      <c r="L170" s="15" t="s">
        <v>38</v>
      </c>
      <c r="M170" s="15">
        <v>1.0</v>
      </c>
      <c r="N170" s="15" t="s">
        <v>39</v>
      </c>
      <c r="O170" s="15" t="s">
        <v>40</v>
      </c>
      <c r="P170" s="15" t="s">
        <v>53</v>
      </c>
      <c r="Q170" s="15" t="s">
        <v>41</v>
      </c>
      <c r="R170" s="15" t="s">
        <v>43</v>
      </c>
      <c r="S170" s="15" t="s">
        <v>44</v>
      </c>
      <c r="T170" s="19" t="s">
        <v>45</v>
      </c>
      <c r="U170" s="15" t="s">
        <v>46</v>
      </c>
    </row>
    <row r="171" ht="56.25" customHeight="1">
      <c r="A171" s="13" t="s">
        <v>980</v>
      </c>
      <c r="B171" s="15" t="str">
        <f>image("https://i.imgur.com/TcL6ros.png")</f>
        <v/>
      </c>
      <c r="C171" s="17" t="str">
        <f>HYPERLINK("https://imgur.com/a/comYthw","Yes")</f>
        <v>Yes</v>
      </c>
      <c r="D171" s="15" t="s">
        <v>28</v>
      </c>
      <c r="E171" s="25" t="s">
        <v>50</v>
      </c>
      <c r="F171" s="39" t="s">
        <v>51</v>
      </c>
      <c r="G171" s="13">
        <v>1200.0</v>
      </c>
      <c r="H171" s="15">
        <v>690.0</v>
      </c>
      <c r="I171" s="15" t="s">
        <v>284</v>
      </c>
      <c r="J171" s="15" t="s">
        <v>84</v>
      </c>
      <c r="K171" s="15"/>
      <c r="L171" s="15" t="s">
        <v>38</v>
      </c>
      <c r="M171" s="15">
        <v>2.0</v>
      </c>
      <c r="N171" s="15" t="s">
        <v>39</v>
      </c>
      <c r="O171" s="15" t="s">
        <v>40</v>
      </c>
      <c r="P171" s="15" t="s">
        <v>53</v>
      </c>
      <c r="Q171" s="15" t="s">
        <v>41</v>
      </c>
      <c r="R171" s="15" t="s">
        <v>54</v>
      </c>
      <c r="S171" s="15" t="s">
        <v>574</v>
      </c>
      <c r="T171" s="19"/>
      <c r="U171" s="15" t="s">
        <v>46</v>
      </c>
    </row>
    <row r="172" ht="56.25" customHeight="1">
      <c r="A172" s="13" t="s">
        <v>989</v>
      </c>
      <c r="B172" s="15" t="str">
        <f>image("https://i.imgur.com/iTYoLkK.png")</f>
        <v/>
      </c>
      <c r="C172" s="17" t="str">
        <f>HYPERLINK("https://imgur.com/a/JyOkCNx","Yes")</f>
        <v>Yes</v>
      </c>
      <c r="D172" s="15" t="s">
        <v>28</v>
      </c>
      <c r="E172" s="15" t="s">
        <v>28</v>
      </c>
      <c r="F172" s="13">
        <v>1400.0</v>
      </c>
      <c r="G172" s="13">
        <v>350.0</v>
      </c>
      <c r="H172" s="15">
        <v>1836.0</v>
      </c>
      <c r="I172" s="15" t="s">
        <v>61</v>
      </c>
      <c r="J172" s="15" t="s">
        <v>60</v>
      </c>
      <c r="K172" s="15"/>
      <c r="L172" s="15" t="s">
        <v>38</v>
      </c>
      <c r="M172" s="15">
        <v>1.0</v>
      </c>
      <c r="N172" s="15" t="s">
        <v>39</v>
      </c>
      <c r="O172" s="15" t="s">
        <v>40</v>
      </c>
      <c r="P172" s="15" t="s">
        <v>53</v>
      </c>
      <c r="Q172" s="15" t="s">
        <v>365</v>
      </c>
      <c r="R172" s="15" t="s">
        <v>43</v>
      </c>
      <c r="S172" s="15" t="s">
        <v>44</v>
      </c>
      <c r="T172" s="19" t="s">
        <v>45</v>
      </c>
      <c r="U172" s="15" t="s">
        <v>46</v>
      </c>
    </row>
    <row r="173" ht="56.25" customHeight="1">
      <c r="A173" s="13" t="s">
        <v>995</v>
      </c>
      <c r="B173" s="15" t="str">
        <f>image("https://i.imgur.com/Jn5OTLz.png")</f>
        <v/>
      </c>
      <c r="C173" s="17" t="str">
        <f>HYPERLINK("https://imgur.com/a/ReEoAx3","Yes")</f>
        <v>Yes</v>
      </c>
      <c r="D173" s="15" t="s">
        <v>50</v>
      </c>
      <c r="E173" s="15" t="s">
        <v>50</v>
      </c>
      <c r="F173" s="13" t="s">
        <v>51</v>
      </c>
      <c r="G173" s="13">
        <v>3000.0</v>
      </c>
      <c r="H173" s="15">
        <v>7234.0</v>
      </c>
      <c r="I173" s="15" t="s">
        <v>36</v>
      </c>
      <c r="J173" s="15"/>
      <c r="K173" s="15"/>
      <c r="L173" s="15" t="s">
        <v>38</v>
      </c>
      <c r="M173" s="15">
        <v>4.0</v>
      </c>
      <c r="N173" s="15" t="s">
        <v>39</v>
      </c>
      <c r="O173" s="15" t="s">
        <v>40</v>
      </c>
      <c r="P173" s="15" t="s">
        <v>53</v>
      </c>
      <c r="Q173" s="15" t="s">
        <v>186</v>
      </c>
      <c r="R173" s="15" t="s">
        <v>54</v>
      </c>
      <c r="S173" s="15" t="s">
        <v>55</v>
      </c>
      <c r="T173" s="19"/>
      <c r="U173" s="15" t="s">
        <v>46</v>
      </c>
    </row>
    <row r="174" ht="56.25" customHeight="1">
      <c r="A174" s="13" t="s">
        <v>1002</v>
      </c>
      <c r="B174" s="15" t="str">
        <f>image("https://i.imgur.com/lqnWeaE.png")</f>
        <v/>
      </c>
      <c r="C174" s="17" t="str">
        <f>HYPERLINK("https://imgur.com/a/rBS34Ml","Yes")</f>
        <v>Yes</v>
      </c>
      <c r="D174" s="15" t="s">
        <v>28</v>
      </c>
      <c r="E174" s="15" t="s">
        <v>28</v>
      </c>
      <c r="F174" s="13">
        <v>880.0</v>
      </c>
      <c r="G174" s="13">
        <v>220.0</v>
      </c>
      <c r="H174" s="15">
        <v>997.0</v>
      </c>
      <c r="I174" s="15" t="s">
        <v>161</v>
      </c>
      <c r="J174" s="15" t="s">
        <v>60</v>
      </c>
      <c r="K174" s="15"/>
      <c r="L174" s="15" t="s">
        <v>38</v>
      </c>
      <c r="M174" s="15">
        <v>1.0</v>
      </c>
      <c r="N174" s="15" t="s">
        <v>39</v>
      </c>
      <c r="O174" s="15" t="s">
        <v>40</v>
      </c>
      <c r="P174" s="15" t="s">
        <v>53</v>
      </c>
      <c r="Q174" s="15" t="s">
        <v>41</v>
      </c>
      <c r="R174" s="15" t="s">
        <v>43</v>
      </c>
      <c r="S174" s="15" t="s">
        <v>44</v>
      </c>
      <c r="T174" s="19" t="s">
        <v>45</v>
      </c>
      <c r="U174" s="15" t="s">
        <v>46</v>
      </c>
    </row>
    <row r="175" ht="56.25" customHeight="1">
      <c r="A175" s="13" t="s">
        <v>1008</v>
      </c>
      <c r="B175" s="15" t="str">
        <f>image("https://i.imgur.com/BBXVn4g.png")</f>
        <v/>
      </c>
      <c r="C175" s="25" t="s">
        <v>40</v>
      </c>
      <c r="D175" s="15" t="s">
        <v>50</v>
      </c>
      <c r="E175" s="15" t="s">
        <v>28</v>
      </c>
      <c r="F175" s="13" t="s">
        <v>51</v>
      </c>
      <c r="G175" s="13">
        <v>3000.0</v>
      </c>
      <c r="H175" s="15">
        <v>4107.0</v>
      </c>
      <c r="I175" s="15" t="s">
        <v>86</v>
      </c>
      <c r="J175" s="15" t="s">
        <v>37</v>
      </c>
      <c r="K175" s="15"/>
      <c r="L175" s="15" t="s">
        <v>38</v>
      </c>
      <c r="M175" s="15"/>
      <c r="N175" s="15" t="s">
        <v>39</v>
      </c>
      <c r="O175" s="15" t="s">
        <v>40</v>
      </c>
      <c r="P175" s="15" t="s">
        <v>40</v>
      </c>
      <c r="Q175" s="15" t="s">
        <v>41</v>
      </c>
      <c r="R175" s="15" t="s">
        <v>54</v>
      </c>
      <c r="S175" s="15" t="s">
        <v>55</v>
      </c>
      <c r="T175" s="19"/>
      <c r="U175" s="15" t="s">
        <v>46</v>
      </c>
    </row>
    <row r="176" ht="56.25" customHeight="1">
      <c r="A176" s="13" t="s">
        <v>1011</v>
      </c>
      <c r="B176" s="15" t="str">
        <f>image("https://i.imgur.com/FARWLiM.png")</f>
        <v/>
      </c>
      <c r="C176" s="17" t="str">
        <f>HYPERLINK("https://imgur.com/a/ZaB9f0p","Yes")</f>
        <v>Yes</v>
      </c>
      <c r="D176" s="15" t="s">
        <v>28</v>
      </c>
      <c r="E176" s="25" t="s">
        <v>50</v>
      </c>
      <c r="F176" s="13">
        <v>820.0</v>
      </c>
      <c r="G176" s="13">
        <v>205.0</v>
      </c>
      <c r="H176" s="15">
        <v>1838.0</v>
      </c>
      <c r="I176" s="15" t="s">
        <v>60</v>
      </c>
      <c r="J176" s="15"/>
      <c r="K176" s="15"/>
      <c r="L176" s="15" t="s">
        <v>38</v>
      </c>
      <c r="M176" s="15">
        <v>1.0</v>
      </c>
      <c r="N176" s="15" t="s">
        <v>39</v>
      </c>
      <c r="O176" s="15" t="s">
        <v>40</v>
      </c>
      <c r="P176" s="15" t="s">
        <v>53</v>
      </c>
      <c r="Q176" s="15" t="s">
        <v>41</v>
      </c>
      <c r="R176" s="15" t="s">
        <v>43</v>
      </c>
      <c r="S176" s="15" t="s">
        <v>44</v>
      </c>
      <c r="T176" s="19" t="s">
        <v>45</v>
      </c>
      <c r="U176" s="15" t="s">
        <v>46</v>
      </c>
    </row>
    <row r="177" ht="56.25" customHeight="1">
      <c r="A177" s="23" t="s">
        <v>1015</v>
      </c>
      <c r="B177" s="23" t="str">
        <f>IMAGE("https://i.imgur.com/wVH3cAD.png")</f>
        <v/>
      </c>
      <c r="C177" s="25" t="s">
        <v>40</v>
      </c>
      <c r="D177" s="25" t="s">
        <v>28</v>
      </c>
      <c r="E177" s="25" t="s">
        <v>28</v>
      </c>
      <c r="F177" s="24" t="s">
        <v>51</v>
      </c>
      <c r="G177" s="13">
        <v>7200.0</v>
      </c>
      <c r="H177" s="15">
        <v>7099.0</v>
      </c>
      <c r="I177" s="15"/>
      <c r="J177" s="15"/>
      <c r="K177" s="15"/>
      <c r="L177" s="15" t="s">
        <v>38</v>
      </c>
      <c r="M177" s="15"/>
      <c r="N177" s="15" t="s">
        <v>39</v>
      </c>
      <c r="O177" s="15" t="s">
        <v>40</v>
      </c>
      <c r="P177" s="15" t="s">
        <v>40</v>
      </c>
      <c r="Q177" s="15" t="s">
        <v>41</v>
      </c>
      <c r="R177" s="15" t="s">
        <v>54</v>
      </c>
      <c r="S177" s="15" t="s">
        <v>57</v>
      </c>
      <c r="T177" s="19" t="s">
        <v>58</v>
      </c>
      <c r="U177" s="15" t="s">
        <v>46</v>
      </c>
    </row>
    <row r="178" ht="56.25" customHeight="1">
      <c r="A178" s="13" t="s">
        <v>1020</v>
      </c>
      <c r="B178" s="15" t="str">
        <f>image("https://i.imgur.com/f6oCmJO.png")</f>
        <v/>
      </c>
      <c r="C178" s="25" t="s">
        <v>40</v>
      </c>
      <c r="D178" s="15" t="s">
        <v>28</v>
      </c>
      <c r="E178" s="15" t="s">
        <v>28</v>
      </c>
      <c r="F178" s="13">
        <v>920.0</v>
      </c>
      <c r="G178" s="24">
        <v>230.0</v>
      </c>
      <c r="H178" s="15">
        <v>1456.0</v>
      </c>
      <c r="I178" s="15" t="s">
        <v>156</v>
      </c>
      <c r="J178" s="15"/>
      <c r="K178" s="15"/>
      <c r="L178" s="15" t="s">
        <v>38</v>
      </c>
      <c r="M178" s="15"/>
      <c r="N178" s="15" t="s">
        <v>39</v>
      </c>
      <c r="O178" s="15" t="s">
        <v>40</v>
      </c>
      <c r="P178" s="15" t="s">
        <v>53</v>
      </c>
      <c r="Q178" s="15" t="s">
        <v>41</v>
      </c>
      <c r="R178" s="15" t="s">
        <v>43</v>
      </c>
      <c r="S178" s="15" t="s">
        <v>44</v>
      </c>
      <c r="T178" s="19" t="s">
        <v>45</v>
      </c>
      <c r="U178" s="15" t="s">
        <v>46</v>
      </c>
    </row>
    <row r="179" ht="56.25" customHeight="1">
      <c r="A179" s="13" t="s">
        <v>1026</v>
      </c>
      <c r="B179" s="15" t="str">
        <f>image("https://i.imgur.com/DmGbSfO.png")</f>
        <v/>
      </c>
      <c r="C179" s="17" t="str">
        <f>HYPERLINK("https://imgur.com/a/J0xeVk0","Yes")</f>
        <v>Yes</v>
      </c>
      <c r="D179" s="15" t="s">
        <v>28</v>
      </c>
      <c r="E179" s="15" t="s">
        <v>50</v>
      </c>
      <c r="F179" s="38" t="s">
        <v>51</v>
      </c>
      <c r="G179" s="13">
        <v>2500.0</v>
      </c>
      <c r="H179" s="15">
        <v>3407.0</v>
      </c>
      <c r="I179" s="15" t="s">
        <v>161</v>
      </c>
      <c r="J179" s="15" t="s">
        <v>284</v>
      </c>
      <c r="K179" s="15"/>
      <c r="L179" s="15" t="s">
        <v>130</v>
      </c>
      <c r="M179" s="15">
        <v>4.0</v>
      </c>
      <c r="N179" s="15" t="s">
        <v>39</v>
      </c>
      <c r="O179" s="15" t="s">
        <v>40</v>
      </c>
      <c r="P179" s="15" t="s">
        <v>40</v>
      </c>
      <c r="Q179" s="15" t="s">
        <v>41</v>
      </c>
      <c r="R179" s="15" t="s">
        <v>54</v>
      </c>
      <c r="S179" s="15" t="s">
        <v>574</v>
      </c>
      <c r="T179" s="19"/>
      <c r="U179" s="15" t="s">
        <v>46</v>
      </c>
    </row>
    <row r="180" ht="56.25" customHeight="1">
      <c r="A180" s="13" t="s">
        <v>1034</v>
      </c>
      <c r="B180" s="15" t="str">
        <f>image("https://i.imgur.com/bb9pEPy.png")</f>
        <v/>
      </c>
      <c r="C180" s="25" t="s">
        <v>40</v>
      </c>
      <c r="D180" s="15" t="s">
        <v>28</v>
      </c>
      <c r="E180" s="15" t="s">
        <v>28</v>
      </c>
      <c r="F180" s="13">
        <v>710.0</v>
      </c>
      <c r="G180" s="24">
        <v>177.0</v>
      </c>
      <c r="H180" s="15">
        <v>724.0</v>
      </c>
      <c r="I180" s="15" t="s">
        <v>86</v>
      </c>
      <c r="J180" s="15" t="s">
        <v>37</v>
      </c>
      <c r="K180" s="15"/>
      <c r="L180" s="15" t="s">
        <v>38</v>
      </c>
      <c r="M180" s="15"/>
      <c r="N180" s="15" t="s">
        <v>39</v>
      </c>
      <c r="O180" s="15" t="s">
        <v>40</v>
      </c>
      <c r="P180" s="15" t="s">
        <v>40</v>
      </c>
      <c r="Q180" s="15" t="s">
        <v>41</v>
      </c>
      <c r="R180" s="15" t="s">
        <v>43</v>
      </c>
      <c r="S180" s="15" t="s">
        <v>44</v>
      </c>
      <c r="T180" s="19" t="s">
        <v>45</v>
      </c>
      <c r="U180" s="15" t="s">
        <v>46</v>
      </c>
    </row>
    <row r="181" ht="56.25" customHeight="1">
      <c r="A181" s="13" t="s">
        <v>1041</v>
      </c>
      <c r="B181" s="15" t="str">
        <f>image("https://i.imgur.com/cc0A0Q7.png")</f>
        <v/>
      </c>
      <c r="C181" s="40" t="str">
        <f>HYPERLINK("https://imgur.com/a/5UICAeD","Yes")</f>
        <v>Yes</v>
      </c>
      <c r="D181" s="15" t="s">
        <v>50</v>
      </c>
      <c r="E181" s="15" t="s">
        <v>50</v>
      </c>
      <c r="F181" s="13" t="s">
        <v>51</v>
      </c>
      <c r="G181" s="13">
        <v>3750.0</v>
      </c>
      <c r="H181" s="15">
        <v>7535.0</v>
      </c>
      <c r="I181" s="15" t="s">
        <v>156</v>
      </c>
      <c r="J181" s="15"/>
      <c r="K181" s="15"/>
      <c r="L181" s="15" t="s">
        <v>38</v>
      </c>
      <c r="M181" s="15">
        <v>5.0</v>
      </c>
      <c r="N181" s="15" t="s">
        <v>39</v>
      </c>
      <c r="O181" s="15" t="s">
        <v>40</v>
      </c>
      <c r="P181" s="15" t="s">
        <v>40</v>
      </c>
      <c r="Q181" s="15" t="s">
        <v>41</v>
      </c>
      <c r="R181" s="15" t="s">
        <v>54</v>
      </c>
      <c r="S181" s="15" t="s">
        <v>55</v>
      </c>
      <c r="T181" s="19"/>
      <c r="U181" s="15" t="s">
        <v>46</v>
      </c>
    </row>
    <row r="182" ht="56.25" customHeight="1">
      <c r="A182" s="23" t="s">
        <v>1050</v>
      </c>
      <c r="B182" s="32" t="str">
        <f>image("https://i.imgur.com/TNbRnMd.png")</f>
        <v/>
      </c>
      <c r="C182" s="25" t="s">
        <v>40</v>
      </c>
      <c r="D182" s="25" t="s">
        <v>28</v>
      </c>
      <c r="E182" s="25" t="s">
        <v>28</v>
      </c>
      <c r="F182" s="24" t="s">
        <v>51</v>
      </c>
      <c r="G182" s="13">
        <v>900.0</v>
      </c>
      <c r="H182" s="15">
        <v>6985.0</v>
      </c>
      <c r="I182" s="15"/>
      <c r="J182" s="15"/>
      <c r="K182" s="15"/>
      <c r="L182" s="15" t="s">
        <v>38</v>
      </c>
      <c r="M182" s="15"/>
      <c r="N182" s="15" t="s">
        <v>39</v>
      </c>
      <c r="O182" s="15" t="s">
        <v>40</v>
      </c>
      <c r="P182" s="15" t="s">
        <v>40</v>
      </c>
      <c r="Q182" s="15" t="s">
        <v>41</v>
      </c>
      <c r="R182" s="15" t="s">
        <v>54</v>
      </c>
      <c r="S182" s="15" t="s">
        <v>100</v>
      </c>
      <c r="T182" s="19" t="s">
        <v>101</v>
      </c>
      <c r="U182" s="15" t="s">
        <v>46</v>
      </c>
    </row>
    <row r="183" ht="56.25" customHeight="1">
      <c r="A183" s="23" t="s">
        <v>1056</v>
      </c>
      <c r="B183" s="32" t="str">
        <f>image("https://i.imgur.com/xahePXE.png")</f>
        <v/>
      </c>
      <c r="C183" s="25" t="s">
        <v>40</v>
      </c>
      <c r="D183" s="25" t="s">
        <v>28</v>
      </c>
      <c r="E183" s="25" t="s">
        <v>28</v>
      </c>
      <c r="F183" s="24" t="s">
        <v>51</v>
      </c>
      <c r="G183" s="13">
        <v>5400.0</v>
      </c>
      <c r="H183" s="15">
        <v>6978.0</v>
      </c>
      <c r="I183" s="15"/>
      <c r="J183" s="15"/>
      <c r="K183" s="15"/>
      <c r="L183" s="15" t="s">
        <v>38</v>
      </c>
      <c r="M183" s="15"/>
      <c r="N183" s="15" t="s">
        <v>39</v>
      </c>
      <c r="O183" s="15" t="s">
        <v>40</v>
      </c>
      <c r="P183" s="15" t="s">
        <v>40</v>
      </c>
      <c r="Q183" s="15" t="s">
        <v>41</v>
      </c>
      <c r="R183" s="15" t="s">
        <v>54</v>
      </c>
      <c r="S183" s="15" t="s">
        <v>100</v>
      </c>
      <c r="T183" s="19" t="s">
        <v>101</v>
      </c>
      <c r="U183" s="15" t="s">
        <v>46</v>
      </c>
    </row>
    <row r="184" ht="56.25" customHeight="1">
      <c r="A184" s="13" t="s">
        <v>1061</v>
      </c>
      <c r="B184" s="15" t="str">
        <f>image("https://i.imgur.com/QNr0dMK.png")</f>
        <v/>
      </c>
      <c r="C184" s="17" t="str">
        <f>HYPERLINK("https://imgur.com/a/xy9zt3u","Yes")</f>
        <v>Yes</v>
      </c>
      <c r="D184" s="15" t="s">
        <v>28</v>
      </c>
      <c r="E184" s="15" t="s">
        <v>28</v>
      </c>
      <c r="F184" s="13">
        <v>1200.0</v>
      </c>
      <c r="G184" s="13">
        <v>300.0</v>
      </c>
      <c r="H184" s="15">
        <v>7804.0</v>
      </c>
      <c r="I184" s="15" t="s">
        <v>86</v>
      </c>
      <c r="J184" s="15" t="s">
        <v>37</v>
      </c>
      <c r="K184" s="15"/>
      <c r="L184" s="15" t="s">
        <v>38</v>
      </c>
      <c r="M184" s="15">
        <v>1.0</v>
      </c>
      <c r="N184" s="15" t="s">
        <v>39</v>
      </c>
      <c r="O184" s="15" t="s">
        <v>40</v>
      </c>
      <c r="P184" s="15" t="s">
        <v>40</v>
      </c>
      <c r="Q184" s="15" t="s">
        <v>41</v>
      </c>
      <c r="R184" s="15" t="s">
        <v>43</v>
      </c>
      <c r="S184" s="15" t="s">
        <v>44</v>
      </c>
      <c r="T184" s="19" t="s">
        <v>45</v>
      </c>
      <c r="U184" s="15" t="s">
        <v>46</v>
      </c>
    </row>
    <row r="185" ht="56.25" customHeight="1">
      <c r="A185" s="23" t="s">
        <v>1068</v>
      </c>
      <c r="B185" s="32" t="str">
        <f>image("https://i.imgur.com/hiHeQWn.png")</f>
        <v/>
      </c>
      <c r="C185" s="25" t="s">
        <v>40</v>
      </c>
      <c r="D185" s="25" t="s">
        <v>28</v>
      </c>
      <c r="E185" s="25" t="s">
        <v>28</v>
      </c>
      <c r="F185" s="24" t="s">
        <v>51</v>
      </c>
      <c r="G185" s="13">
        <v>12000.0</v>
      </c>
      <c r="H185" s="15">
        <v>6991.0</v>
      </c>
      <c r="I185" s="15"/>
      <c r="J185" s="15"/>
      <c r="K185" s="15"/>
      <c r="L185" s="15" t="s">
        <v>38</v>
      </c>
      <c r="M185" s="15"/>
      <c r="N185" s="15" t="s">
        <v>39</v>
      </c>
      <c r="O185" s="15" t="s">
        <v>40</v>
      </c>
      <c r="P185" s="15" t="s">
        <v>40</v>
      </c>
      <c r="Q185" s="15" t="s">
        <v>41</v>
      </c>
      <c r="R185" s="15" t="s">
        <v>54</v>
      </c>
      <c r="S185" s="15" t="s">
        <v>100</v>
      </c>
      <c r="T185" s="19" t="s">
        <v>101</v>
      </c>
      <c r="U185" s="15" t="s">
        <v>46</v>
      </c>
    </row>
    <row r="186" ht="56.25" customHeight="1">
      <c r="A186" s="13" t="s">
        <v>1071</v>
      </c>
      <c r="B186" s="15" t="str">
        <f>image("https://i.imgur.com/PGMdJWI.png")</f>
        <v/>
      </c>
      <c r="C186" s="25" t="s">
        <v>40</v>
      </c>
      <c r="D186" s="15" t="s">
        <v>28</v>
      </c>
      <c r="E186" s="15" t="s">
        <v>28</v>
      </c>
      <c r="F186" s="13">
        <v>6000.0</v>
      </c>
      <c r="G186" s="13">
        <v>1500.0</v>
      </c>
      <c r="H186" s="15">
        <v>4016.0</v>
      </c>
      <c r="I186" s="15" t="s">
        <v>80</v>
      </c>
      <c r="J186" s="15" t="s">
        <v>90</v>
      </c>
      <c r="K186" s="15"/>
      <c r="L186" s="15" t="s">
        <v>130</v>
      </c>
      <c r="M186" s="15"/>
      <c r="N186" s="15" t="s">
        <v>39</v>
      </c>
      <c r="O186" s="15" t="s">
        <v>40</v>
      </c>
      <c r="P186" s="15" t="s">
        <v>53</v>
      </c>
      <c r="Q186" s="15" t="s">
        <v>41</v>
      </c>
      <c r="R186" s="15" t="s">
        <v>43</v>
      </c>
      <c r="S186" s="15" t="s">
        <v>44</v>
      </c>
      <c r="T186" s="19" t="s">
        <v>63</v>
      </c>
      <c r="U186" s="15" t="s">
        <v>46</v>
      </c>
    </row>
    <row r="187" ht="56.25" customHeight="1">
      <c r="A187" s="23" t="s">
        <v>1077</v>
      </c>
      <c r="B187" s="23" t="str">
        <f>IMAGE("https://i.imgur.com/TpH9o6G.png")</f>
        <v/>
      </c>
      <c r="C187" s="25" t="s">
        <v>40</v>
      </c>
      <c r="D187" s="25" t="s">
        <v>28</v>
      </c>
      <c r="E187" s="25" t="s">
        <v>28</v>
      </c>
      <c r="F187" s="24" t="s">
        <v>51</v>
      </c>
      <c r="G187" s="13">
        <v>600.0</v>
      </c>
      <c r="H187" s="15">
        <v>7102.0</v>
      </c>
      <c r="I187" s="15"/>
      <c r="J187" s="15"/>
      <c r="K187" s="15"/>
      <c r="L187" s="15" t="s">
        <v>38</v>
      </c>
      <c r="M187" s="15"/>
      <c r="N187" s="15" t="s">
        <v>39</v>
      </c>
      <c r="O187" s="15" t="s">
        <v>40</v>
      </c>
      <c r="P187" s="15" t="s">
        <v>40</v>
      </c>
      <c r="Q187" s="15" t="s">
        <v>41</v>
      </c>
      <c r="R187" s="15" t="s">
        <v>54</v>
      </c>
      <c r="S187" s="15" t="s">
        <v>57</v>
      </c>
      <c r="T187" s="19" t="s">
        <v>58</v>
      </c>
      <c r="U187" s="15" t="s">
        <v>46</v>
      </c>
    </row>
    <row r="188" ht="56.25" customHeight="1">
      <c r="A188" s="13" t="s">
        <v>1081</v>
      </c>
      <c r="B188" s="15" t="str">
        <f>image("https://i.imgur.com/74QcKxh.png")</f>
        <v/>
      </c>
      <c r="C188" s="17" t="str">
        <f>HYPERLINK("https://imgur.com/a/R5PbD0s","Yes")</f>
        <v>Yes</v>
      </c>
      <c r="D188" s="15" t="s">
        <v>28</v>
      </c>
      <c r="E188" s="15" t="s">
        <v>28</v>
      </c>
      <c r="F188" s="13">
        <v>1900.0</v>
      </c>
      <c r="G188" s="13">
        <v>475.0</v>
      </c>
      <c r="H188" s="15">
        <v>1432.0</v>
      </c>
      <c r="I188" s="15" t="s">
        <v>338</v>
      </c>
      <c r="J188" s="15"/>
      <c r="K188" s="15"/>
      <c r="L188" s="15" t="s">
        <v>38</v>
      </c>
      <c r="M188" s="15">
        <v>1.0</v>
      </c>
      <c r="N188" s="15" t="s">
        <v>39</v>
      </c>
      <c r="O188" s="15" t="s">
        <v>40</v>
      </c>
      <c r="P188" s="15" t="s">
        <v>53</v>
      </c>
      <c r="Q188" s="15" t="s">
        <v>186</v>
      </c>
      <c r="R188" s="15" t="s">
        <v>43</v>
      </c>
      <c r="S188" s="15" t="s">
        <v>608</v>
      </c>
      <c r="T188" s="19"/>
      <c r="U188" s="15" t="s">
        <v>46</v>
      </c>
    </row>
    <row r="189" ht="56.25" customHeight="1">
      <c r="A189" s="13" t="s">
        <v>1085</v>
      </c>
      <c r="B189" s="15" t="str">
        <f>image("https://i.imgur.com/9y8ICBP.png")</f>
        <v/>
      </c>
      <c r="C189" s="17" t="str">
        <f>HYPERLINK("https://imgur.com/a/35OiDyV","Yes")</f>
        <v>Yes</v>
      </c>
      <c r="D189" s="15" t="s">
        <v>28</v>
      </c>
      <c r="E189" s="15" t="s">
        <v>28</v>
      </c>
      <c r="F189" s="13">
        <v>70000.0</v>
      </c>
      <c r="G189" s="13">
        <v>17500.0</v>
      </c>
      <c r="H189" s="15">
        <v>1850.0</v>
      </c>
      <c r="I189" s="15" t="s">
        <v>61</v>
      </c>
      <c r="J189" s="15" t="s">
        <v>60</v>
      </c>
      <c r="K189" s="15"/>
      <c r="L189" s="15" t="s">
        <v>38</v>
      </c>
      <c r="M189" s="15">
        <v>7.0</v>
      </c>
      <c r="N189" s="15" t="s">
        <v>39</v>
      </c>
      <c r="O189" s="15" t="s">
        <v>40</v>
      </c>
      <c r="P189" s="15" t="s">
        <v>53</v>
      </c>
      <c r="Q189" s="15" t="s">
        <v>215</v>
      </c>
      <c r="R189" s="15" t="s">
        <v>43</v>
      </c>
      <c r="S189" s="15" t="s">
        <v>44</v>
      </c>
      <c r="T189" s="19" t="s">
        <v>65</v>
      </c>
      <c r="U189" s="15" t="s">
        <v>46</v>
      </c>
    </row>
    <row r="190" ht="56.25" customHeight="1">
      <c r="A190" s="13" t="s">
        <v>1092</v>
      </c>
      <c r="B190" s="15" t="str">
        <f>image("https://i.imgur.com/GbmBPTW.png")</f>
        <v/>
      </c>
      <c r="C190" s="17" t="str">
        <f>HYPERLINK("https://imgur.com/a/c1isUJO","Yes")</f>
        <v>Yes</v>
      </c>
      <c r="D190" s="15" t="s">
        <v>28</v>
      </c>
      <c r="E190" s="15" t="s">
        <v>28</v>
      </c>
      <c r="F190" s="13">
        <v>60000.0</v>
      </c>
      <c r="G190" s="13">
        <v>15000.0</v>
      </c>
      <c r="H190" s="15">
        <v>3333.0</v>
      </c>
      <c r="I190" s="15" t="s">
        <v>60</v>
      </c>
      <c r="J190" s="15"/>
      <c r="K190" s="15"/>
      <c r="L190" s="15" t="s">
        <v>38</v>
      </c>
      <c r="M190" s="15">
        <v>7.0</v>
      </c>
      <c r="N190" s="15" t="s">
        <v>39</v>
      </c>
      <c r="O190" s="15" t="s">
        <v>40</v>
      </c>
      <c r="P190" s="15" t="s">
        <v>53</v>
      </c>
      <c r="Q190" s="15" t="s">
        <v>215</v>
      </c>
      <c r="R190" s="15" t="s">
        <v>43</v>
      </c>
      <c r="S190" s="15" t="s">
        <v>44</v>
      </c>
      <c r="T190" s="19" t="s">
        <v>65</v>
      </c>
      <c r="U190" s="15" t="s">
        <v>46</v>
      </c>
    </row>
    <row r="191" ht="56.25" customHeight="1">
      <c r="A191" s="13" t="s">
        <v>1099</v>
      </c>
      <c r="B191" s="15" t="str">
        <f>image("https://i.imgur.com/XAbpIia.png")</f>
        <v/>
      </c>
      <c r="C191" s="17" t="str">
        <f>HYPERLINK("https://imgur.com/a/pk7MXkP","Yes")</f>
        <v>Yes</v>
      </c>
      <c r="D191" s="15" t="s">
        <v>28</v>
      </c>
      <c r="E191" s="15" t="s">
        <v>28</v>
      </c>
      <c r="F191" s="13">
        <v>99000.0</v>
      </c>
      <c r="G191" s="13">
        <v>24750.0</v>
      </c>
      <c r="H191" s="15">
        <v>3252.0</v>
      </c>
      <c r="I191" s="15" t="s">
        <v>60</v>
      </c>
      <c r="J191" s="15"/>
      <c r="K191" s="15"/>
      <c r="L191" s="15" t="s">
        <v>130</v>
      </c>
      <c r="M191" s="15">
        <v>7.0</v>
      </c>
      <c r="N191" s="15" t="s">
        <v>39</v>
      </c>
      <c r="O191" s="15" t="s">
        <v>40</v>
      </c>
      <c r="P191" s="15" t="s">
        <v>53</v>
      </c>
      <c r="Q191" s="15" t="s">
        <v>215</v>
      </c>
      <c r="R191" s="15" t="s">
        <v>43</v>
      </c>
      <c r="S191" s="15" t="s">
        <v>44</v>
      </c>
      <c r="T191" s="19" t="s">
        <v>65</v>
      </c>
      <c r="U191" s="15" t="s">
        <v>46</v>
      </c>
    </row>
    <row r="192" ht="56.25" customHeight="1">
      <c r="A192" s="13" t="s">
        <v>1105</v>
      </c>
      <c r="B192" s="15" t="str">
        <f>image("https://i.imgur.com/UojE98o.png")</f>
        <v/>
      </c>
      <c r="C192" s="25" t="s">
        <v>40</v>
      </c>
      <c r="D192" s="15" t="s">
        <v>50</v>
      </c>
      <c r="E192" s="15" t="s">
        <v>28</v>
      </c>
      <c r="F192" s="13" t="s">
        <v>51</v>
      </c>
      <c r="G192" s="13">
        <v>21750.0</v>
      </c>
      <c r="H192" s="15">
        <v>3774.0</v>
      </c>
      <c r="I192" s="15" t="s">
        <v>62</v>
      </c>
      <c r="J192" s="15"/>
      <c r="K192" s="15"/>
      <c r="L192" s="15" t="s">
        <v>38</v>
      </c>
      <c r="M192" s="15"/>
      <c r="N192" s="15" t="s">
        <v>39</v>
      </c>
      <c r="O192" s="15" t="s">
        <v>40</v>
      </c>
      <c r="P192" s="15" t="s">
        <v>53</v>
      </c>
      <c r="Q192" s="15" t="s">
        <v>41</v>
      </c>
      <c r="R192" s="15" t="s">
        <v>54</v>
      </c>
      <c r="S192" s="15" t="s">
        <v>55</v>
      </c>
      <c r="T192" s="19"/>
      <c r="U192" s="15" t="s">
        <v>46</v>
      </c>
    </row>
    <row r="193" ht="56.25" customHeight="1">
      <c r="A193" s="13" t="s">
        <v>1111</v>
      </c>
      <c r="B193" s="15" t="str">
        <f>image("https://i.imgur.com/5XKaivU.png")</f>
        <v/>
      </c>
      <c r="C193" s="17" t="str">
        <f>HYPERLINK("https://imgur.com/a/yar0vzl","Yes")</f>
        <v>Yes</v>
      </c>
      <c r="D193" s="15" t="s">
        <v>28</v>
      </c>
      <c r="E193" s="15" t="s">
        <v>28</v>
      </c>
      <c r="F193" s="13">
        <v>360.0</v>
      </c>
      <c r="G193" s="13">
        <v>90.0</v>
      </c>
      <c r="H193" s="15">
        <v>7148.0</v>
      </c>
      <c r="I193" s="15" t="s">
        <v>84</v>
      </c>
      <c r="J193" s="15"/>
      <c r="K193" s="15"/>
      <c r="L193" s="15" t="s">
        <v>38</v>
      </c>
      <c r="M193" s="15">
        <v>1.0</v>
      </c>
      <c r="N193" s="15" t="s">
        <v>39</v>
      </c>
      <c r="O193" s="15" t="s">
        <v>40</v>
      </c>
      <c r="P193" s="15" t="s">
        <v>53</v>
      </c>
      <c r="Q193" s="15" t="s">
        <v>41</v>
      </c>
      <c r="R193" s="15" t="s">
        <v>43</v>
      </c>
      <c r="S193" s="15" t="s">
        <v>44</v>
      </c>
      <c r="T193" s="19" t="s">
        <v>202</v>
      </c>
      <c r="U193" s="15" t="s">
        <v>46</v>
      </c>
    </row>
    <row r="194" ht="56.25" customHeight="1">
      <c r="A194" s="23" t="s">
        <v>1116</v>
      </c>
      <c r="B194" s="32" t="str">
        <f>image("https://i.imgur.com/4IHDwQU.png")</f>
        <v/>
      </c>
      <c r="C194" s="25" t="s">
        <v>40</v>
      </c>
      <c r="D194" s="25" t="s">
        <v>28</v>
      </c>
      <c r="E194" s="25" t="s">
        <v>28</v>
      </c>
      <c r="F194" s="24" t="s">
        <v>51</v>
      </c>
      <c r="G194" s="13">
        <v>1200.0</v>
      </c>
      <c r="H194" s="15">
        <v>6944.0</v>
      </c>
      <c r="I194" s="15"/>
      <c r="J194" s="15"/>
      <c r="K194" s="15"/>
      <c r="L194" s="15" t="s">
        <v>38</v>
      </c>
      <c r="M194" s="15"/>
      <c r="N194" s="15" t="s">
        <v>39</v>
      </c>
      <c r="O194" s="15" t="s">
        <v>40</v>
      </c>
      <c r="P194" s="15" t="s">
        <v>40</v>
      </c>
      <c r="Q194" s="15" t="s">
        <v>41</v>
      </c>
      <c r="R194" s="15" t="s">
        <v>54</v>
      </c>
      <c r="S194" s="15" t="s">
        <v>100</v>
      </c>
      <c r="T194" s="19" t="s">
        <v>101</v>
      </c>
      <c r="U194" s="15" t="s">
        <v>46</v>
      </c>
    </row>
    <row r="195" ht="56.25" customHeight="1">
      <c r="A195" s="23" t="s">
        <v>1122</v>
      </c>
      <c r="B195" s="23" t="str">
        <f>IMAGE("https://i.imgur.com/Qelx4wE.png")</f>
        <v/>
      </c>
      <c r="C195" s="25" t="s">
        <v>40</v>
      </c>
      <c r="D195" s="25" t="s">
        <v>28</v>
      </c>
      <c r="E195" s="25" t="s">
        <v>28</v>
      </c>
      <c r="F195" s="24" t="s">
        <v>51</v>
      </c>
      <c r="G195" s="13">
        <v>600.0</v>
      </c>
      <c r="H195" s="15">
        <v>7097.0</v>
      </c>
      <c r="I195" s="15"/>
      <c r="J195" s="15"/>
      <c r="K195" s="15"/>
      <c r="L195" s="15" t="s">
        <v>38</v>
      </c>
      <c r="M195" s="15"/>
      <c r="N195" s="15" t="s">
        <v>39</v>
      </c>
      <c r="O195" s="15" t="s">
        <v>40</v>
      </c>
      <c r="P195" s="15" t="s">
        <v>40</v>
      </c>
      <c r="Q195" s="15" t="s">
        <v>41</v>
      </c>
      <c r="R195" s="15" t="s">
        <v>54</v>
      </c>
      <c r="S195" s="15" t="s">
        <v>57</v>
      </c>
      <c r="T195" s="19" t="s">
        <v>58</v>
      </c>
      <c r="U195" s="15" t="s">
        <v>46</v>
      </c>
    </row>
    <row r="196" ht="56.25" customHeight="1">
      <c r="A196" s="13" t="s">
        <v>1125</v>
      </c>
      <c r="B196" s="15" t="str">
        <f>image("https://i.imgur.com/4bBAa9v.png")</f>
        <v/>
      </c>
      <c r="C196" s="17" t="str">
        <f>HYPERLINK("https://imgur.com/a/MspZjQR","Yes")</f>
        <v>Yes</v>
      </c>
      <c r="D196" s="25" t="s">
        <v>28</v>
      </c>
      <c r="E196" s="25" t="s">
        <v>50</v>
      </c>
      <c r="F196" s="13" t="s">
        <v>51</v>
      </c>
      <c r="G196" s="13">
        <v>1675.0</v>
      </c>
      <c r="H196" s="15">
        <v>131.0</v>
      </c>
      <c r="I196" s="15" t="s">
        <v>284</v>
      </c>
      <c r="J196" s="15" t="s">
        <v>161</v>
      </c>
      <c r="K196" s="15"/>
      <c r="L196" s="15" t="s">
        <v>38</v>
      </c>
      <c r="M196" s="15">
        <v>3.0</v>
      </c>
      <c r="N196" s="15" t="s">
        <v>39</v>
      </c>
      <c r="O196" s="15" t="s">
        <v>40</v>
      </c>
      <c r="P196" s="15" t="s">
        <v>40</v>
      </c>
      <c r="Q196" s="15" t="s">
        <v>41</v>
      </c>
      <c r="R196" s="15" t="s">
        <v>54</v>
      </c>
      <c r="S196" s="15" t="s">
        <v>574</v>
      </c>
      <c r="T196" s="19"/>
      <c r="U196" s="15" t="s">
        <v>46</v>
      </c>
    </row>
    <row r="197" ht="56.25" customHeight="1">
      <c r="A197" s="13" t="s">
        <v>1131</v>
      </c>
      <c r="B197" s="15" t="str">
        <f>image("https://i.imgur.com/Q0fMZFV.png")</f>
        <v/>
      </c>
      <c r="C197" s="25" t="s">
        <v>40</v>
      </c>
      <c r="D197" s="15" t="s">
        <v>50</v>
      </c>
      <c r="E197" s="15" t="s">
        <v>28</v>
      </c>
      <c r="F197" s="13" t="s">
        <v>51</v>
      </c>
      <c r="G197" s="13">
        <v>21675.0</v>
      </c>
      <c r="H197" s="15">
        <v>9814.0</v>
      </c>
      <c r="I197" s="15" t="s">
        <v>62</v>
      </c>
      <c r="J197" s="15"/>
      <c r="K197" s="15"/>
      <c r="L197" s="15" t="s">
        <v>38</v>
      </c>
      <c r="M197" s="15"/>
      <c r="N197" s="15" t="s">
        <v>39</v>
      </c>
      <c r="O197" s="15" t="s">
        <v>40</v>
      </c>
      <c r="P197" s="15" t="s">
        <v>40</v>
      </c>
      <c r="Q197" s="15" t="s">
        <v>41</v>
      </c>
      <c r="R197" s="15" t="s">
        <v>54</v>
      </c>
      <c r="S197" s="15" t="s">
        <v>55</v>
      </c>
      <c r="T197" s="19"/>
      <c r="U197" s="15" t="s">
        <v>46</v>
      </c>
    </row>
    <row r="198" ht="56.25" customHeight="1">
      <c r="A198" s="23" t="s">
        <v>1135</v>
      </c>
      <c r="B198" s="23" t="str">
        <f>IMAGE("https://i.imgur.com/FieN0rD.png")</f>
        <v/>
      </c>
      <c r="C198" s="25" t="s">
        <v>40</v>
      </c>
      <c r="D198" s="25" t="s">
        <v>28</v>
      </c>
      <c r="E198" s="25" t="s">
        <v>28</v>
      </c>
      <c r="F198" s="24" t="s">
        <v>51</v>
      </c>
      <c r="G198" s="13">
        <v>7500.0</v>
      </c>
      <c r="H198" s="15"/>
      <c r="I198" s="15"/>
      <c r="J198" s="15"/>
      <c r="K198" s="15"/>
      <c r="L198" s="15" t="s">
        <v>38</v>
      </c>
      <c r="M198" s="15"/>
      <c r="N198" s="15" t="s">
        <v>39</v>
      </c>
      <c r="O198" s="15" t="s">
        <v>40</v>
      </c>
      <c r="P198" s="15" t="s">
        <v>40</v>
      </c>
      <c r="Q198" s="15" t="s">
        <v>41</v>
      </c>
      <c r="R198" s="15" t="s">
        <v>54</v>
      </c>
      <c r="S198" s="15" t="s">
        <v>57</v>
      </c>
      <c r="T198" s="19" t="s">
        <v>58</v>
      </c>
      <c r="U198" s="15" t="s">
        <v>46</v>
      </c>
    </row>
    <row r="199" ht="56.25" customHeight="1">
      <c r="A199" s="13" t="s">
        <v>1142</v>
      </c>
      <c r="B199" s="15" t="str">
        <f>image("https://i.imgur.com/ZOOlOw9.png")</f>
        <v/>
      </c>
      <c r="C199" s="17" t="str">
        <f>HYPERLINK("https://imgur.com/a/z0zvPhm","Yes")</f>
        <v>Yes</v>
      </c>
      <c r="D199" s="15" t="s">
        <v>28</v>
      </c>
      <c r="E199" s="15" t="s">
        <v>50</v>
      </c>
      <c r="F199" s="13">
        <v>210.0</v>
      </c>
      <c r="G199" s="24">
        <v>52.0</v>
      </c>
      <c r="H199" s="15">
        <v>3586.0</v>
      </c>
      <c r="I199" s="15" t="s">
        <v>60</v>
      </c>
      <c r="J199" s="15" t="s">
        <v>113</v>
      </c>
      <c r="K199" s="15"/>
      <c r="L199" s="15" t="s">
        <v>38</v>
      </c>
      <c r="M199" s="15">
        <v>1.0</v>
      </c>
      <c r="N199" s="15" t="s">
        <v>39</v>
      </c>
      <c r="O199" s="15" t="s">
        <v>40</v>
      </c>
      <c r="P199" s="15" t="s">
        <v>40</v>
      </c>
      <c r="Q199" s="15" t="s">
        <v>41</v>
      </c>
      <c r="R199" s="15" t="s">
        <v>43</v>
      </c>
      <c r="S199" s="15" t="s">
        <v>44</v>
      </c>
      <c r="T199" s="19" t="s">
        <v>45</v>
      </c>
      <c r="U199" s="15" t="s">
        <v>46</v>
      </c>
    </row>
    <row r="200" ht="56.25" customHeight="1">
      <c r="A200" s="13" t="s">
        <v>1146</v>
      </c>
      <c r="B200" s="15" t="str">
        <f>image("https://i.imgur.com/DPv5DGB.png")</f>
        <v/>
      </c>
      <c r="C200" s="17" t="str">
        <f>HYPERLINK("https://imgur.com/a/RU3sJAK","Yes")</f>
        <v>Yes</v>
      </c>
      <c r="D200" s="15" t="s">
        <v>50</v>
      </c>
      <c r="E200" s="15" t="s">
        <v>50</v>
      </c>
      <c r="F200" s="13" t="s">
        <v>51</v>
      </c>
      <c r="G200" s="13">
        <v>690.0</v>
      </c>
      <c r="H200" s="15">
        <v>1032.0</v>
      </c>
      <c r="I200" s="15" t="s">
        <v>60</v>
      </c>
      <c r="J200" s="15" t="s">
        <v>37</v>
      </c>
      <c r="K200" s="15"/>
      <c r="L200" s="15" t="s">
        <v>38</v>
      </c>
      <c r="M200" s="15">
        <v>2.0</v>
      </c>
      <c r="N200" s="15" t="s">
        <v>39</v>
      </c>
      <c r="O200" s="15" t="s">
        <v>40</v>
      </c>
      <c r="P200" s="15" t="s">
        <v>40</v>
      </c>
      <c r="Q200" s="15" t="s">
        <v>41</v>
      </c>
      <c r="R200" s="15" t="s">
        <v>54</v>
      </c>
      <c r="S200" s="15" t="s">
        <v>55</v>
      </c>
      <c r="T200" s="19"/>
      <c r="U200" s="15" t="s">
        <v>46</v>
      </c>
    </row>
    <row r="201" ht="56.25" customHeight="1">
      <c r="A201" s="13" t="s">
        <v>1150</v>
      </c>
      <c r="B201" s="15" t="str">
        <f>image("https://i.imgur.com/gyaEyhb.png")</f>
        <v/>
      </c>
      <c r="C201" s="17" t="str">
        <f>HYPERLINK("https://imgur.com/a/5pIW3hb","Yes")</f>
        <v>Yes</v>
      </c>
      <c r="D201" s="15" t="s">
        <v>28</v>
      </c>
      <c r="E201" s="15" t="s">
        <v>28</v>
      </c>
      <c r="F201" s="13">
        <v>980.0</v>
      </c>
      <c r="G201" s="13">
        <v>245.0</v>
      </c>
      <c r="H201" s="15">
        <v>4392.0</v>
      </c>
      <c r="I201" s="15" t="s">
        <v>113</v>
      </c>
      <c r="J201" s="15"/>
      <c r="K201" s="15"/>
      <c r="L201" s="15" t="s">
        <v>38</v>
      </c>
      <c r="M201" s="15">
        <v>1.0</v>
      </c>
      <c r="N201" s="15" t="s">
        <v>39</v>
      </c>
      <c r="O201" s="15" t="s">
        <v>40</v>
      </c>
      <c r="P201" s="15" t="s">
        <v>53</v>
      </c>
      <c r="Q201" s="15" t="s">
        <v>41</v>
      </c>
      <c r="R201" s="15" t="s">
        <v>43</v>
      </c>
      <c r="S201" s="15" t="s">
        <v>44</v>
      </c>
      <c r="T201" s="19" t="s">
        <v>45</v>
      </c>
      <c r="U201" s="15" t="s">
        <v>46</v>
      </c>
    </row>
    <row r="202" ht="56.25" customHeight="1">
      <c r="A202" s="23" t="s">
        <v>1155</v>
      </c>
      <c r="B202" s="32" t="str">
        <f>image("https://i.imgur.com/a3NzomK.png")</f>
        <v/>
      </c>
      <c r="C202" s="25" t="s">
        <v>40</v>
      </c>
      <c r="D202" s="25" t="s">
        <v>28</v>
      </c>
      <c r="E202" s="25" t="s">
        <v>28</v>
      </c>
      <c r="F202" s="24" t="s">
        <v>51</v>
      </c>
      <c r="G202" s="13">
        <v>18000.0</v>
      </c>
      <c r="H202" s="15">
        <v>7014.0</v>
      </c>
      <c r="I202" s="15"/>
      <c r="J202" s="15"/>
      <c r="K202" s="15"/>
      <c r="L202" s="15" t="s">
        <v>38</v>
      </c>
      <c r="M202" s="15"/>
      <c r="N202" s="15" t="s">
        <v>39</v>
      </c>
      <c r="O202" s="15" t="s">
        <v>40</v>
      </c>
      <c r="P202" s="15" t="s">
        <v>40</v>
      </c>
      <c r="Q202" s="15" t="s">
        <v>41</v>
      </c>
      <c r="R202" s="15" t="s">
        <v>54</v>
      </c>
      <c r="S202" s="15" t="s">
        <v>100</v>
      </c>
      <c r="T202" s="19" t="s">
        <v>101</v>
      </c>
      <c r="U202" s="15" t="s">
        <v>46</v>
      </c>
    </row>
    <row r="203" ht="56.25" customHeight="1">
      <c r="A203" s="23" t="s">
        <v>1158</v>
      </c>
      <c r="B203" s="23" t="str">
        <f>IMAGE("https://i.imgur.com/GC4MV1m.png")</f>
        <v/>
      </c>
      <c r="C203" s="25" t="s">
        <v>40</v>
      </c>
      <c r="D203" s="25" t="s">
        <v>28</v>
      </c>
      <c r="E203" s="25" t="s">
        <v>28</v>
      </c>
      <c r="F203" s="24" t="s">
        <v>51</v>
      </c>
      <c r="G203" s="13">
        <v>3000.0</v>
      </c>
      <c r="H203" s="15">
        <v>7116.0</v>
      </c>
      <c r="I203" s="15"/>
      <c r="J203" s="15"/>
      <c r="K203" s="15"/>
      <c r="L203" s="15" t="s">
        <v>38</v>
      </c>
      <c r="M203" s="15"/>
      <c r="N203" s="15" t="s">
        <v>39</v>
      </c>
      <c r="O203" s="15" t="s">
        <v>40</v>
      </c>
      <c r="P203" s="15" t="s">
        <v>40</v>
      </c>
      <c r="Q203" s="15" t="s">
        <v>41</v>
      </c>
      <c r="R203" s="15" t="s">
        <v>54</v>
      </c>
      <c r="S203" s="15" t="s">
        <v>57</v>
      </c>
      <c r="T203" s="19" t="s">
        <v>58</v>
      </c>
      <c r="U203" s="15" t="s">
        <v>46</v>
      </c>
    </row>
    <row r="204" ht="56.25" customHeight="1">
      <c r="A204" s="23" t="s">
        <v>1161</v>
      </c>
      <c r="B204" s="23" t="str">
        <f>IMAGE("https://i.imgur.com/UbSTaQX.png")</f>
        <v/>
      </c>
      <c r="C204" s="25" t="s">
        <v>40</v>
      </c>
      <c r="D204" s="25" t="s">
        <v>28</v>
      </c>
      <c r="E204" s="25" t="s">
        <v>28</v>
      </c>
      <c r="F204" s="24" t="s">
        <v>51</v>
      </c>
      <c r="G204" s="13">
        <v>1290.0</v>
      </c>
      <c r="H204" s="15">
        <v>7068.0</v>
      </c>
      <c r="I204" s="15"/>
      <c r="J204" s="15"/>
      <c r="K204" s="15"/>
      <c r="L204" s="15" t="s">
        <v>38</v>
      </c>
      <c r="M204" s="15"/>
      <c r="N204" s="15" t="s">
        <v>39</v>
      </c>
      <c r="O204" s="15" t="s">
        <v>40</v>
      </c>
      <c r="P204" s="15" t="s">
        <v>40</v>
      </c>
      <c r="Q204" s="15" t="s">
        <v>41</v>
      </c>
      <c r="R204" s="15" t="s">
        <v>54</v>
      </c>
      <c r="S204" s="15" t="s">
        <v>57</v>
      </c>
      <c r="T204" s="19" t="s">
        <v>58</v>
      </c>
      <c r="U204" s="15" t="s">
        <v>46</v>
      </c>
    </row>
    <row r="205" ht="56.25" customHeight="1">
      <c r="A205" s="13" t="s">
        <v>1163</v>
      </c>
      <c r="B205" s="15" t="str">
        <f>image("https://i.imgur.com/Jy5AjIo.png")</f>
        <v/>
      </c>
      <c r="C205" s="17" t="str">
        <f>HYPERLINK("https://imgur.com/a/3KcMi1U","Yes")</f>
        <v>Yes</v>
      </c>
      <c r="D205" s="15" t="s">
        <v>50</v>
      </c>
      <c r="E205" s="15" t="s">
        <v>50</v>
      </c>
      <c r="F205" s="13" t="s">
        <v>51</v>
      </c>
      <c r="G205" s="13">
        <v>600.0</v>
      </c>
      <c r="H205" s="15">
        <v>1652.0</v>
      </c>
      <c r="I205" s="15" t="s">
        <v>284</v>
      </c>
      <c r="J205" s="15" t="s">
        <v>36</v>
      </c>
      <c r="K205" s="15"/>
      <c r="L205" s="15" t="s">
        <v>38</v>
      </c>
      <c r="M205" s="15">
        <v>1.0</v>
      </c>
      <c r="N205" s="15" t="s">
        <v>39</v>
      </c>
      <c r="O205" s="15" t="s">
        <v>40</v>
      </c>
      <c r="P205" s="15" t="s">
        <v>53</v>
      </c>
      <c r="Q205" s="15" t="s">
        <v>41</v>
      </c>
      <c r="R205" s="15" t="s">
        <v>54</v>
      </c>
      <c r="S205" s="15" t="s">
        <v>55</v>
      </c>
      <c r="T205" s="19"/>
      <c r="U205" s="15" t="s">
        <v>46</v>
      </c>
    </row>
    <row r="206" ht="56.25" customHeight="1">
      <c r="A206" s="13" t="s">
        <v>1167</v>
      </c>
      <c r="B206" s="15" t="str">
        <f>image("https://i.imgur.com/bmndukt.png")</f>
        <v/>
      </c>
      <c r="C206" s="25" t="s">
        <v>40</v>
      </c>
      <c r="D206" s="15" t="s">
        <v>28</v>
      </c>
      <c r="E206" s="15" t="s">
        <v>50</v>
      </c>
      <c r="F206" s="13">
        <v>600.0</v>
      </c>
      <c r="G206" s="13">
        <v>150.0</v>
      </c>
      <c r="H206" s="15">
        <v>7262.0</v>
      </c>
      <c r="I206" s="15" t="s">
        <v>243</v>
      </c>
      <c r="J206" s="15"/>
      <c r="K206" s="15"/>
      <c r="L206" s="15" t="s">
        <v>38</v>
      </c>
      <c r="M206" s="15"/>
      <c r="N206" s="15" t="s">
        <v>39</v>
      </c>
      <c r="O206" s="15" t="s">
        <v>40</v>
      </c>
      <c r="P206" s="15" t="s">
        <v>40</v>
      </c>
      <c r="Q206" s="15" t="s">
        <v>41</v>
      </c>
      <c r="R206" s="15" t="s">
        <v>43</v>
      </c>
      <c r="S206" s="15" t="s">
        <v>44</v>
      </c>
      <c r="T206" s="19" t="s">
        <v>45</v>
      </c>
      <c r="U206" s="15" t="s">
        <v>46</v>
      </c>
    </row>
    <row r="207" ht="56.25" customHeight="1">
      <c r="A207" s="13" t="s">
        <v>1171</v>
      </c>
      <c r="B207" s="15" t="str">
        <f>image("https://i.imgur.com/KtsJsFP.png")</f>
        <v/>
      </c>
      <c r="C207" s="17" t="str">
        <f>HYPERLINK("https://imgur.com/a/phnbF9X","Yes")</f>
        <v>Yes</v>
      </c>
      <c r="D207" s="15" t="s">
        <v>28</v>
      </c>
      <c r="E207" s="15" t="s">
        <v>28</v>
      </c>
      <c r="F207" s="13">
        <v>1300.0</v>
      </c>
      <c r="G207" s="13">
        <v>325.0</v>
      </c>
      <c r="H207" s="15">
        <v>1042.0</v>
      </c>
      <c r="I207" s="15" t="s">
        <v>52</v>
      </c>
      <c r="J207" s="15"/>
      <c r="K207" s="15"/>
      <c r="L207" s="15" t="s">
        <v>38</v>
      </c>
      <c r="M207" s="15">
        <v>1.0</v>
      </c>
      <c r="N207" s="15" t="s">
        <v>39</v>
      </c>
      <c r="O207" s="15" t="s">
        <v>40</v>
      </c>
      <c r="P207" s="15" t="s">
        <v>53</v>
      </c>
      <c r="Q207" s="15" t="s">
        <v>41</v>
      </c>
      <c r="R207" s="15" t="s">
        <v>43</v>
      </c>
      <c r="S207" s="15" t="s">
        <v>44</v>
      </c>
      <c r="T207" s="19" t="s">
        <v>45</v>
      </c>
      <c r="U207" s="15" t="s">
        <v>46</v>
      </c>
    </row>
    <row r="208" ht="56.25" customHeight="1">
      <c r="A208" s="13" t="s">
        <v>1175</v>
      </c>
      <c r="B208" s="15" t="str">
        <f>image("https://i.imgur.com/pEcYBYJ.png")</f>
        <v/>
      </c>
      <c r="C208" s="17" t="str">
        <f>HYPERLINK("https://imgur.com/a/dxzkUgU","Yes")</f>
        <v>Yes</v>
      </c>
      <c r="D208" s="15" t="s">
        <v>28</v>
      </c>
      <c r="E208" s="15" t="s">
        <v>50</v>
      </c>
      <c r="F208" s="13">
        <v>3100.0</v>
      </c>
      <c r="G208" s="13">
        <v>775.0</v>
      </c>
      <c r="H208" s="15">
        <v>1319.0</v>
      </c>
      <c r="I208" s="15" t="s">
        <v>80</v>
      </c>
      <c r="J208" s="15" t="s">
        <v>90</v>
      </c>
      <c r="K208" s="15"/>
      <c r="L208" s="15" t="s">
        <v>38</v>
      </c>
      <c r="M208" s="15">
        <v>2.0</v>
      </c>
      <c r="N208" s="15" t="s">
        <v>39</v>
      </c>
      <c r="O208" s="15" t="s">
        <v>40</v>
      </c>
      <c r="P208" s="15" t="s">
        <v>40</v>
      </c>
      <c r="Q208" s="15" t="s">
        <v>41</v>
      </c>
      <c r="R208" s="15" t="s">
        <v>43</v>
      </c>
      <c r="S208" s="15" t="s">
        <v>44</v>
      </c>
      <c r="T208" s="19" t="s">
        <v>45</v>
      </c>
      <c r="U208" s="15" t="s">
        <v>46</v>
      </c>
    </row>
    <row r="209" ht="56.25" customHeight="1">
      <c r="A209" s="13" t="s">
        <v>1179</v>
      </c>
      <c r="B209" s="15" t="str">
        <f>image("https://i.imgur.com/bGiyY5b.png")</f>
        <v/>
      </c>
      <c r="C209" s="17" t="str">
        <f>HYPERLINK("https://imgur.com/a/qpSO5wy","Yes")</f>
        <v>Yes</v>
      </c>
      <c r="D209" s="15" t="s">
        <v>28</v>
      </c>
      <c r="E209" s="15" t="s">
        <v>50</v>
      </c>
      <c r="F209" s="13">
        <v>3000.0</v>
      </c>
      <c r="G209" s="13">
        <v>750.0</v>
      </c>
      <c r="H209" s="15">
        <v>1043.0</v>
      </c>
      <c r="I209" s="15" t="s">
        <v>86</v>
      </c>
      <c r="J209" s="15" t="s">
        <v>37</v>
      </c>
      <c r="K209" s="15"/>
      <c r="L209" s="15" t="s">
        <v>38</v>
      </c>
      <c r="M209" s="15">
        <v>1.0</v>
      </c>
      <c r="N209" s="15" t="s">
        <v>39</v>
      </c>
      <c r="O209" s="15" t="s">
        <v>40</v>
      </c>
      <c r="P209" s="15" t="s">
        <v>53</v>
      </c>
      <c r="Q209" s="15" t="s">
        <v>41</v>
      </c>
      <c r="R209" s="15" t="s">
        <v>43</v>
      </c>
      <c r="S209" s="15" t="s">
        <v>44</v>
      </c>
      <c r="T209" s="19" t="s">
        <v>45</v>
      </c>
      <c r="U209" s="15" t="s">
        <v>46</v>
      </c>
    </row>
    <row r="210" ht="56.25" customHeight="1">
      <c r="A210" s="23" t="s">
        <v>1184</v>
      </c>
      <c r="B210" s="23" t="str">
        <f>IMAGE("https://i.imgur.com/SFPnddR.png")</f>
        <v/>
      </c>
      <c r="C210" s="25" t="s">
        <v>40</v>
      </c>
      <c r="D210" s="25" t="s">
        <v>28</v>
      </c>
      <c r="E210" s="25" t="s">
        <v>28</v>
      </c>
      <c r="F210" s="24" t="s">
        <v>51</v>
      </c>
      <c r="G210" s="13">
        <v>1800.0</v>
      </c>
      <c r="H210" s="15">
        <v>7103.0</v>
      </c>
      <c r="I210" s="15"/>
      <c r="J210" s="15"/>
      <c r="K210" s="15"/>
      <c r="L210" s="15" t="s">
        <v>38</v>
      </c>
      <c r="M210" s="15"/>
      <c r="N210" s="15" t="s">
        <v>39</v>
      </c>
      <c r="O210" s="15" t="s">
        <v>40</v>
      </c>
      <c r="P210" s="15" t="s">
        <v>40</v>
      </c>
      <c r="Q210" s="15" t="s">
        <v>41</v>
      </c>
      <c r="R210" s="15" t="s">
        <v>54</v>
      </c>
      <c r="S210" s="15" t="s">
        <v>57</v>
      </c>
      <c r="T210" s="19" t="s">
        <v>58</v>
      </c>
      <c r="U210" s="15" t="s">
        <v>46</v>
      </c>
    </row>
    <row r="211" ht="56.25" customHeight="1">
      <c r="A211" s="13" t="s">
        <v>1189</v>
      </c>
      <c r="B211" s="15" t="str">
        <f>image("https://i.imgur.com/Z5cI3cD.png")</f>
        <v/>
      </c>
      <c r="C211" s="25" t="s">
        <v>40</v>
      </c>
      <c r="D211" s="15" t="s">
        <v>28</v>
      </c>
      <c r="E211" s="15" t="s">
        <v>50</v>
      </c>
      <c r="F211" s="13">
        <v>400.0</v>
      </c>
      <c r="G211" s="13">
        <v>100.0</v>
      </c>
      <c r="H211" s="15">
        <v>4123.0</v>
      </c>
      <c r="I211" s="15" t="s">
        <v>60</v>
      </c>
      <c r="J211" s="15"/>
      <c r="K211" s="15"/>
      <c r="L211" s="15" t="s">
        <v>38</v>
      </c>
      <c r="M211" s="15"/>
      <c r="N211" s="15" t="s">
        <v>39</v>
      </c>
      <c r="O211" s="15" t="s">
        <v>40</v>
      </c>
      <c r="P211" s="15" t="s">
        <v>40</v>
      </c>
      <c r="Q211" s="15" t="s">
        <v>41</v>
      </c>
      <c r="R211" s="15" t="s">
        <v>43</v>
      </c>
      <c r="S211" s="15" t="s">
        <v>44</v>
      </c>
      <c r="T211" s="19" t="s">
        <v>45</v>
      </c>
      <c r="U211" s="15" t="s">
        <v>46</v>
      </c>
    </row>
    <row r="212" ht="56.25" customHeight="1">
      <c r="A212" s="23" t="s">
        <v>1193</v>
      </c>
      <c r="B212" s="32" t="str">
        <f>image("https://i.imgur.com/vS9vSS4.png")</f>
        <v/>
      </c>
      <c r="C212" s="25" t="s">
        <v>40</v>
      </c>
      <c r="D212" s="25" t="s">
        <v>28</v>
      </c>
      <c r="E212" s="25" t="s">
        <v>28</v>
      </c>
      <c r="F212" s="24" t="s">
        <v>51</v>
      </c>
      <c r="G212" s="13">
        <v>6000.0</v>
      </c>
      <c r="H212" s="15">
        <v>7019.0</v>
      </c>
      <c r="I212" s="15"/>
      <c r="J212" s="15"/>
      <c r="K212" s="15"/>
      <c r="L212" s="15" t="s">
        <v>38</v>
      </c>
      <c r="M212" s="15"/>
      <c r="N212" s="15" t="s">
        <v>39</v>
      </c>
      <c r="O212" s="15" t="s">
        <v>40</v>
      </c>
      <c r="P212" s="15" t="s">
        <v>40</v>
      </c>
      <c r="Q212" s="15" t="s">
        <v>41</v>
      </c>
      <c r="R212" s="15" t="s">
        <v>54</v>
      </c>
      <c r="S212" s="15" t="s">
        <v>100</v>
      </c>
      <c r="T212" s="19" t="s">
        <v>101</v>
      </c>
      <c r="U212" s="15" t="s">
        <v>46</v>
      </c>
    </row>
    <row r="213" ht="56.25" customHeight="1">
      <c r="A213" s="13" t="s">
        <v>1197</v>
      </c>
      <c r="B213" s="15" t="str">
        <f>image("https://i.imgur.com/BjBhx5Z.png")</f>
        <v/>
      </c>
      <c r="C213" s="17" t="str">
        <f>HYPERLINK("https://imgur.com/a/YKfx7T8","Yes")</f>
        <v>Yes</v>
      </c>
      <c r="D213" s="15" t="s">
        <v>28</v>
      </c>
      <c r="E213" s="15" t="s">
        <v>28</v>
      </c>
      <c r="F213" s="13">
        <v>1400.0</v>
      </c>
      <c r="G213" s="13">
        <v>350.0</v>
      </c>
      <c r="H213" s="15">
        <v>1050.0</v>
      </c>
      <c r="I213" s="15" t="s">
        <v>86</v>
      </c>
      <c r="J213" s="15"/>
      <c r="K213" s="15"/>
      <c r="L213" s="15" t="s">
        <v>38</v>
      </c>
      <c r="M213" s="15">
        <v>1.0</v>
      </c>
      <c r="N213" s="15" t="s">
        <v>39</v>
      </c>
      <c r="O213" s="15" t="s">
        <v>40</v>
      </c>
      <c r="P213" s="15" t="s">
        <v>53</v>
      </c>
      <c r="Q213" s="15" t="s">
        <v>41</v>
      </c>
      <c r="R213" s="15" t="s">
        <v>43</v>
      </c>
      <c r="S213" s="15" t="s">
        <v>44</v>
      </c>
      <c r="T213" s="19" t="s">
        <v>45</v>
      </c>
      <c r="U213" s="15" t="s">
        <v>46</v>
      </c>
    </row>
    <row r="214" ht="56.25" customHeight="1">
      <c r="A214" s="23" t="s">
        <v>1202</v>
      </c>
      <c r="B214" s="23" t="str">
        <f>IMAGE("https://i.imgur.com/2YTgKcw.png")</f>
        <v/>
      </c>
      <c r="C214" s="25" t="s">
        <v>40</v>
      </c>
      <c r="D214" s="25" t="s">
        <v>28</v>
      </c>
      <c r="E214" s="25" t="s">
        <v>28</v>
      </c>
      <c r="F214" s="24" t="s">
        <v>51</v>
      </c>
      <c r="G214" s="13">
        <v>3000.0</v>
      </c>
      <c r="H214" s="15">
        <v>7083.0</v>
      </c>
      <c r="I214" s="15"/>
      <c r="J214" s="15"/>
      <c r="K214" s="15"/>
      <c r="L214" s="15" t="s">
        <v>38</v>
      </c>
      <c r="M214" s="15"/>
      <c r="N214" s="15" t="s">
        <v>39</v>
      </c>
      <c r="O214" s="15" t="s">
        <v>40</v>
      </c>
      <c r="P214" s="15" t="s">
        <v>40</v>
      </c>
      <c r="Q214" s="15" t="s">
        <v>41</v>
      </c>
      <c r="R214" s="15" t="s">
        <v>54</v>
      </c>
      <c r="S214" s="15" t="s">
        <v>57</v>
      </c>
      <c r="T214" s="19" t="s">
        <v>58</v>
      </c>
      <c r="U214" s="15" t="s">
        <v>46</v>
      </c>
    </row>
    <row r="215" ht="56.25" customHeight="1">
      <c r="A215" s="13" t="s">
        <v>1206</v>
      </c>
      <c r="B215" s="15" t="str">
        <f>image("https://i.imgur.com/ZL6TWOa.png")</f>
        <v/>
      </c>
      <c r="C215" s="17" t="str">
        <f>HYPERLINK("https://imgur.com/a/C6xURy4","Yes")</f>
        <v>Yes</v>
      </c>
      <c r="D215" s="15" t="s">
        <v>50</v>
      </c>
      <c r="E215" s="15" t="s">
        <v>50</v>
      </c>
      <c r="F215" s="13" t="s">
        <v>51</v>
      </c>
      <c r="G215" s="13">
        <v>400.0</v>
      </c>
      <c r="H215" s="15">
        <v>7258.0</v>
      </c>
      <c r="I215" s="15" t="s">
        <v>80</v>
      </c>
      <c r="J215" s="15" t="s">
        <v>113</v>
      </c>
      <c r="K215" s="15"/>
      <c r="L215" s="15" t="s">
        <v>38</v>
      </c>
      <c r="M215" s="15">
        <v>1.0</v>
      </c>
      <c r="N215" s="15" t="s">
        <v>39</v>
      </c>
      <c r="O215" s="15" t="s">
        <v>40</v>
      </c>
      <c r="P215" s="15" t="s">
        <v>40</v>
      </c>
      <c r="Q215" s="15" t="s">
        <v>41</v>
      </c>
      <c r="R215" s="15" t="s">
        <v>54</v>
      </c>
      <c r="S215" s="15" t="s">
        <v>55</v>
      </c>
      <c r="T215" s="19"/>
      <c r="U215" s="15" t="s">
        <v>46</v>
      </c>
    </row>
    <row r="216" ht="56.25" customHeight="1">
      <c r="A216" s="23" t="s">
        <v>1211</v>
      </c>
      <c r="B216" s="23" t="str">
        <f>IMAGE("https://i.imgur.com/mJtACHB.png")</f>
        <v/>
      </c>
      <c r="C216" s="25" t="s">
        <v>40</v>
      </c>
      <c r="D216" s="25" t="s">
        <v>28</v>
      </c>
      <c r="E216" s="25" t="s">
        <v>28</v>
      </c>
      <c r="F216" s="24" t="s">
        <v>51</v>
      </c>
      <c r="G216" s="13">
        <v>1500.0</v>
      </c>
      <c r="H216" s="15">
        <v>7089.0</v>
      </c>
      <c r="I216" s="15"/>
      <c r="J216" s="15"/>
      <c r="K216" s="15"/>
      <c r="L216" s="15" t="s">
        <v>38</v>
      </c>
      <c r="M216" s="15"/>
      <c r="N216" s="15" t="s">
        <v>39</v>
      </c>
      <c r="O216" s="15" t="s">
        <v>40</v>
      </c>
      <c r="P216" s="15" t="s">
        <v>40</v>
      </c>
      <c r="Q216" s="15" t="s">
        <v>41</v>
      </c>
      <c r="R216" s="15" t="s">
        <v>54</v>
      </c>
      <c r="S216" s="15" t="s">
        <v>57</v>
      </c>
      <c r="T216" s="19" t="s">
        <v>58</v>
      </c>
      <c r="U216" s="15" t="s">
        <v>46</v>
      </c>
    </row>
    <row r="217" ht="56.25" customHeight="1">
      <c r="A217" s="13" t="s">
        <v>1214</v>
      </c>
      <c r="B217" s="15" t="str">
        <f>image("https://i.imgur.com/Z7CkZdO.png")</f>
        <v/>
      </c>
      <c r="C217" s="17" t="str">
        <f>HYPERLINK("https://imgur.com/a/FGHVafF","Yes")</f>
        <v>Yes</v>
      </c>
      <c r="D217" s="15" t="s">
        <v>28</v>
      </c>
      <c r="E217" s="15" t="s">
        <v>28</v>
      </c>
      <c r="F217" s="13" t="s">
        <v>51</v>
      </c>
      <c r="G217" s="13">
        <v>88.0</v>
      </c>
      <c r="H217" s="15">
        <v>7143.0</v>
      </c>
      <c r="I217" s="15" t="s">
        <v>60</v>
      </c>
      <c r="J217" s="15" t="s">
        <v>36</v>
      </c>
      <c r="K217" s="15" t="s">
        <v>859</v>
      </c>
      <c r="L217" s="15" t="s">
        <v>38</v>
      </c>
      <c r="M217" s="15">
        <v>1.0</v>
      </c>
      <c r="N217" s="15" t="s">
        <v>39</v>
      </c>
      <c r="O217" s="15" t="s">
        <v>40</v>
      </c>
      <c r="P217" s="15" t="s">
        <v>53</v>
      </c>
      <c r="Q217" s="15" t="s">
        <v>164</v>
      </c>
      <c r="R217" s="15" t="s">
        <v>54</v>
      </c>
      <c r="S217" s="15" t="s">
        <v>859</v>
      </c>
      <c r="T217" s="19"/>
      <c r="U217" s="15" t="s">
        <v>46</v>
      </c>
    </row>
    <row r="218" ht="56.25" customHeight="1">
      <c r="A218" s="13" t="s">
        <v>1218</v>
      </c>
      <c r="B218" s="15" t="str">
        <f>image("https://i.imgur.com/2n57PPm.png")</f>
        <v/>
      </c>
      <c r="C218" s="17" t="str">
        <f>HYPERLINK("https://imgur.com/a/Swg1sCd","Yes")</f>
        <v>Yes</v>
      </c>
      <c r="D218" s="15" t="s">
        <v>28</v>
      </c>
      <c r="E218" s="15" t="s">
        <v>28</v>
      </c>
      <c r="F218" s="13" t="s">
        <v>51</v>
      </c>
      <c r="G218" s="13">
        <v>88.0</v>
      </c>
      <c r="H218" s="15">
        <v>7144.0</v>
      </c>
      <c r="I218" s="15" t="s">
        <v>60</v>
      </c>
      <c r="J218" s="15" t="s">
        <v>36</v>
      </c>
      <c r="K218" s="15" t="s">
        <v>859</v>
      </c>
      <c r="L218" s="15" t="s">
        <v>38</v>
      </c>
      <c r="M218" s="15">
        <v>1.0</v>
      </c>
      <c r="N218" s="15" t="s">
        <v>39</v>
      </c>
      <c r="O218" s="15" t="s">
        <v>40</v>
      </c>
      <c r="P218" s="15" t="s">
        <v>53</v>
      </c>
      <c r="Q218" s="15" t="s">
        <v>41</v>
      </c>
      <c r="R218" s="15" t="s">
        <v>54</v>
      </c>
      <c r="S218" s="15" t="s">
        <v>859</v>
      </c>
      <c r="T218" s="19"/>
      <c r="U218" s="15" t="s">
        <v>46</v>
      </c>
    </row>
    <row r="219" ht="56.25" customHeight="1">
      <c r="A219" s="13" t="s">
        <v>1221</v>
      </c>
      <c r="B219" s="15" t="str">
        <f>image("https://i.imgur.com/51cApWn.png")</f>
        <v/>
      </c>
      <c r="C219" s="17" t="str">
        <f>HYPERLINK("https://imgur.com/a/xhPMmsN","Yes")</f>
        <v>Yes</v>
      </c>
      <c r="D219" s="15" t="s">
        <v>28</v>
      </c>
      <c r="E219" s="15" t="s">
        <v>28</v>
      </c>
      <c r="F219" s="13" t="s">
        <v>51</v>
      </c>
      <c r="G219" s="13">
        <v>88.0</v>
      </c>
      <c r="H219" s="15">
        <v>7146.0</v>
      </c>
      <c r="I219" s="15" t="s">
        <v>60</v>
      </c>
      <c r="J219" s="15" t="s">
        <v>36</v>
      </c>
      <c r="K219" s="15" t="s">
        <v>859</v>
      </c>
      <c r="L219" s="15" t="s">
        <v>38</v>
      </c>
      <c r="M219" s="15">
        <v>1.0</v>
      </c>
      <c r="N219" s="15" t="s">
        <v>39</v>
      </c>
      <c r="O219" s="15" t="s">
        <v>40</v>
      </c>
      <c r="P219" s="15" t="s">
        <v>40</v>
      </c>
      <c r="Q219" s="15" t="s">
        <v>41</v>
      </c>
      <c r="R219" s="15" t="s">
        <v>54</v>
      </c>
      <c r="S219" s="15" t="s">
        <v>859</v>
      </c>
      <c r="T219" s="19"/>
      <c r="U219" s="15" t="s">
        <v>46</v>
      </c>
    </row>
    <row r="220" ht="56.25" customHeight="1">
      <c r="A220" s="13" t="s">
        <v>1223</v>
      </c>
      <c r="B220" s="15" t="str">
        <f>image("https://i.imgur.com/uqUpZZo.png")</f>
        <v/>
      </c>
      <c r="C220" s="17" t="str">
        <f>HYPERLINK("https://imgur.com/a/NeettC3","Yes")</f>
        <v>Yes</v>
      </c>
      <c r="D220" s="15" t="s">
        <v>28</v>
      </c>
      <c r="E220" s="15" t="s">
        <v>28</v>
      </c>
      <c r="F220" s="13" t="s">
        <v>51</v>
      </c>
      <c r="G220" s="13">
        <v>88.0</v>
      </c>
      <c r="H220" s="15">
        <v>7141.0</v>
      </c>
      <c r="I220" s="15" t="s">
        <v>60</v>
      </c>
      <c r="J220" s="15" t="s">
        <v>36</v>
      </c>
      <c r="K220" s="15" t="s">
        <v>859</v>
      </c>
      <c r="L220" s="15" t="s">
        <v>38</v>
      </c>
      <c r="M220" s="15">
        <v>1.0</v>
      </c>
      <c r="N220" s="15" t="s">
        <v>39</v>
      </c>
      <c r="O220" s="15" t="s">
        <v>40</v>
      </c>
      <c r="P220" s="15" t="s">
        <v>40</v>
      </c>
      <c r="Q220" s="15" t="s">
        <v>41</v>
      </c>
      <c r="R220" s="15" t="s">
        <v>54</v>
      </c>
      <c r="S220" s="15" t="s">
        <v>859</v>
      </c>
      <c r="T220" s="19"/>
      <c r="U220" s="15" t="s">
        <v>46</v>
      </c>
    </row>
    <row r="221" ht="56.25" customHeight="1">
      <c r="A221" s="13" t="s">
        <v>1228</v>
      </c>
      <c r="B221" s="15" t="str">
        <f>image("https://i.imgur.com/HUH33DH.png")</f>
        <v/>
      </c>
      <c r="C221" s="17" t="str">
        <f>HYPERLINK("https://imgur.com/a/Pc1Reeg","Yes")</f>
        <v>Yes</v>
      </c>
      <c r="D221" s="15" t="s">
        <v>28</v>
      </c>
      <c r="E221" s="15" t="s">
        <v>28</v>
      </c>
      <c r="F221" s="13" t="s">
        <v>51</v>
      </c>
      <c r="G221" s="13">
        <v>88.0</v>
      </c>
      <c r="H221" s="15">
        <v>7147.0</v>
      </c>
      <c r="I221" s="15" t="s">
        <v>60</v>
      </c>
      <c r="J221" s="15" t="s">
        <v>36</v>
      </c>
      <c r="K221" s="15" t="s">
        <v>859</v>
      </c>
      <c r="L221" s="15" t="s">
        <v>38</v>
      </c>
      <c r="M221" s="15">
        <v>1.0</v>
      </c>
      <c r="N221" s="15" t="s">
        <v>39</v>
      </c>
      <c r="O221" s="15" t="s">
        <v>40</v>
      </c>
      <c r="P221" s="15" t="s">
        <v>40</v>
      </c>
      <c r="Q221" s="15" t="s">
        <v>41</v>
      </c>
      <c r="R221" s="15" t="s">
        <v>54</v>
      </c>
      <c r="S221" s="15" t="s">
        <v>859</v>
      </c>
      <c r="T221" s="19"/>
      <c r="U221" s="15" t="s">
        <v>46</v>
      </c>
    </row>
    <row r="222" ht="56.25" customHeight="1">
      <c r="A222" s="13" t="s">
        <v>1231</v>
      </c>
      <c r="B222" s="15" t="str">
        <f>image("https://i.imgur.com/PoIgDX9.png")</f>
        <v/>
      </c>
      <c r="C222" s="17" t="str">
        <f>HYPERLINK("https://imgur.com/a/UcaXnc9","Yes")</f>
        <v>Yes</v>
      </c>
      <c r="D222" s="15" t="s">
        <v>28</v>
      </c>
      <c r="E222" s="15" t="s">
        <v>28</v>
      </c>
      <c r="F222" s="13" t="s">
        <v>51</v>
      </c>
      <c r="G222" s="13">
        <v>88.0</v>
      </c>
      <c r="H222" s="15">
        <v>7138.0</v>
      </c>
      <c r="I222" s="15" t="s">
        <v>60</v>
      </c>
      <c r="J222" s="15" t="s">
        <v>36</v>
      </c>
      <c r="K222" s="15" t="s">
        <v>859</v>
      </c>
      <c r="L222" s="15" t="s">
        <v>38</v>
      </c>
      <c r="M222" s="15">
        <v>1.0</v>
      </c>
      <c r="N222" s="15" t="s">
        <v>39</v>
      </c>
      <c r="O222" s="15" t="s">
        <v>40</v>
      </c>
      <c r="P222" s="15" t="s">
        <v>40</v>
      </c>
      <c r="Q222" s="15" t="s">
        <v>41</v>
      </c>
      <c r="R222" s="15" t="s">
        <v>54</v>
      </c>
      <c r="S222" s="15" t="s">
        <v>859</v>
      </c>
      <c r="T222" s="19"/>
      <c r="U222" s="15" t="s">
        <v>46</v>
      </c>
    </row>
    <row r="223" ht="56.25" customHeight="1">
      <c r="A223" s="13" t="s">
        <v>1234</v>
      </c>
      <c r="B223" s="15" t="str">
        <f>image("https://i.imgur.com/7NAgMNm.png")</f>
        <v/>
      </c>
      <c r="C223" s="17" t="str">
        <f>HYPERLINK("https://imgur.com/a/6L29NXo","Yes")</f>
        <v>Yes</v>
      </c>
      <c r="D223" s="15" t="s">
        <v>28</v>
      </c>
      <c r="E223" s="15" t="s">
        <v>28</v>
      </c>
      <c r="F223" s="13" t="s">
        <v>51</v>
      </c>
      <c r="G223" s="13">
        <v>88.0</v>
      </c>
      <c r="H223" s="15">
        <v>7140.0</v>
      </c>
      <c r="I223" s="15" t="s">
        <v>60</v>
      </c>
      <c r="J223" s="15" t="s">
        <v>36</v>
      </c>
      <c r="K223" s="15" t="s">
        <v>859</v>
      </c>
      <c r="L223" s="15" t="s">
        <v>38</v>
      </c>
      <c r="M223" s="15">
        <v>1.0</v>
      </c>
      <c r="N223" s="15" t="s">
        <v>39</v>
      </c>
      <c r="O223" s="15" t="s">
        <v>40</v>
      </c>
      <c r="P223" s="15" t="s">
        <v>40</v>
      </c>
      <c r="Q223" s="15" t="s">
        <v>41</v>
      </c>
      <c r="R223" s="15" t="s">
        <v>54</v>
      </c>
      <c r="S223" s="15" t="s">
        <v>859</v>
      </c>
      <c r="T223" s="19"/>
      <c r="U223" s="15" t="s">
        <v>46</v>
      </c>
    </row>
    <row r="224" ht="56.25" customHeight="1">
      <c r="A224" s="23" t="s">
        <v>1237</v>
      </c>
      <c r="B224" s="23" t="str">
        <f>IMAGE("https://i.imgur.com/gin2nAc.png")</f>
        <v/>
      </c>
      <c r="C224" s="25" t="s">
        <v>40</v>
      </c>
      <c r="D224" s="25" t="s">
        <v>28</v>
      </c>
      <c r="E224" s="25" t="s">
        <v>28</v>
      </c>
      <c r="F224" s="24" t="s">
        <v>51</v>
      </c>
      <c r="G224" s="13">
        <v>420.0</v>
      </c>
      <c r="H224" s="15">
        <v>7091.0</v>
      </c>
      <c r="I224" s="15"/>
      <c r="J224" s="15"/>
      <c r="K224" s="15"/>
      <c r="L224" s="15" t="s">
        <v>38</v>
      </c>
      <c r="M224" s="15"/>
      <c r="N224" s="15" t="s">
        <v>39</v>
      </c>
      <c r="O224" s="15" t="s">
        <v>40</v>
      </c>
      <c r="P224" s="15" t="s">
        <v>40</v>
      </c>
      <c r="Q224" s="15" t="s">
        <v>41</v>
      </c>
      <c r="R224" s="15" t="s">
        <v>54</v>
      </c>
      <c r="S224" s="15" t="s">
        <v>57</v>
      </c>
      <c r="T224" s="19" t="s">
        <v>58</v>
      </c>
      <c r="U224" s="15" t="s">
        <v>46</v>
      </c>
    </row>
    <row r="225" ht="56.25" customHeight="1">
      <c r="A225" s="23" t="s">
        <v>1242</v>
      </c>
      <c r="B225" s="32" t="str">
        <f>image("https://i.imgur.com/EsFgF0P.png")</f>
        <v/>
      </c>
      <c r="C225" s="25" t="s">
        <v>40</v>
      </c>
      <c r="D225" s="25" t="s">
        <v>28</v>
      </c>
      <c r="E225" s="25" t="s">
        <v>28</v>
      </c>
      <c r="F225" s="24" t="s">
        <v>51</v>
      </c>
      <c r="G225" s="13">
        <v>6000.0</v>
      </c>
      <c r="H225" s="15">
        <v>7025.0</v>
      </c>
      <c r="I225" s="15"/>
      <c r="J225" s="15"/>
      <c r="K225" s="15"/>
      <c r="L225" s="15" t="s">
        <v>38</v>
      </c>
      <c r="M225" s="15"/>
      <c r="N225" s="15" t="s">
        <v>39</v>
      </c>
      <c r="O225" s="15" t="s">
        <v>40</v>
      </c>
      <c r="P225" s="15" t="s">
        <v>40</v>
      </c>
      <c r="Q225" s="15" t="s">
        <v>41</v>
      </c>
      <c r="R225" s="15" t="s">
        <v>54</v>
      </c>
      <c r="S225" s="15" t="s">
        <v>100</v>
      </c>
      <c r="T225" s="19" t="s">
        <v>101</v>
      </c>
      <c r="U225" s="15" t="s">
        <v>46</v>
      </c>
    </row>
    <row r="226" ht="56.25" customHeight="1">
      <c r="A226" s="23" t="s">
        <v>1246</v>
      </c>
      <c r="B226" s="23" t="str">
        <f>IMAGE("https://i.imgur.com/kYS62Mb.png")</f>
        <v/>
      </c>
      <c r="C226" s="25" t="s">
        <v>40</v>
      </c>
      <c r="D226" s="25" t="s">
        <v>28</v>
      </c>
      <c r="E226" s="25" t="s">
        <v>28</v>
      </c>
      <c r="F226" s="24" t="s">
        <v>51</v>
      </c>
      <c r="G226" s="13">
        <v>390.0</v>
      </c>
      <c r="H226" s="15">
        <v>5936.0</v>
      </c>
      <c r="I226" s="15"/>
      <c r="J226" s="15"/>
      <c r="K226" s="15"/>
      <c r="L226" s="15" t="s">
        <v>38</v>
      </c>
      <c r="M226" s="15"/>
      <c r="N226" s="15" t="s">
        <v>39</v>
      </c>
      <c r="O226" s="15" t="s">
        <v>40</v>
      </c>
      <c r="P226" s="15" t="s">
        <v>40</v>
      </c>
      <c r="Q226" s="15" t="s">
        <v>41</v>
      </c>
      <c r="R226" s="15" t="s">
        <v>54</v>
      </c>
      <c r="S226" s="15" t="s">
        <v>57</v>
      </c>
      <c r="T226" s="19" t="s">
        <v>58</v>
      </c>
      <c r="U226" s="15" t="s">
        <v>46</v>
      </c>
    </row>
    <row r="227" ht="56.25" customHeight="1">
      <c r="A227" s="13" t="s">
        <v>1252</v>
      </c>
      <c r="B227" s="15" t="str">
        <f>image("https://i.imgur.com/SW2GAfF.png")</f>
        <v/>
      </c>
      <c r="C227" s="25" t="s">
        <v>40</v>
      </c>
      <c r="D227" s="15" t="s">
        <v>28</v>
      </c>
      <c r="E227" s="15" t="s">
        <v>28</v>
      </c>
      <c r="F227" s="13">
        <v>720.0</v>
      </c>
      <c r="G227" s="13">
        <v>180.0</v>
      </c>
      <c r="H227" s="15">
        <v>109.0</v>
      </c>
      <c r="I227" s="15" t="s">
        <v>161</v>
      </c>
      <c r="J227" s="15"/>
      <c r="K227" s="15"/>
      <c r="L227" s="15" t="s">
        <v>38</v>
      </c>
      <c r="M227" s="15"/>
      <c r="N227" s="15" t="s">
        <v>39</v>
      </c>
      <c r="O227" s="15" t="s">
        <v>40</v>
      </c>
      <c r="P227" s="15" t="s">
        <v>40</v>
      </c>
      <c r="Q227" s="15" t="s">
        <v>41</v>
      </c>
      <c r="R227" s="15" t="s">
        <v>43</v>
      </c>
      <c r="S227" s="15" t="s">
        <v>44</v>
      </c>
      <c r="T227" s="19" t="s">
        <v>45</v>
      </c>
      <c r="U227" s="15" t="s">
        <v>46</v>
      </c>
    </row>
    <row r="228" ht="56.25" customHeight="1">
      <c r="A228" s="23" t="s">
        <v>1257</v>
      </c>
      <c r="B228" s="23" t="str">
        <f>IMAGE("https://i.imgur.com/uMDX9R5.png")</f>
        <v/>
      </c>
      <c r="C228" s="25" t="s">
        <v>40</v>
      </c>
      <c r="D228" s="25" t="s">
        <v>28</v>
      </c>
      <c r="E228" s="25" t="s">
        <v>28</v>
      </c>
      <c r="F228" s="24" t="s">
        <v>51</v>
      </c>
      <c r="G228" s="13">
        <v>390.0</v>
      </c>
      <c r="H228" s="15">
        <v>7056.0</v>
      </c>
      <c r="I228" s="15"/>
      <c r="J228" s="15"/>
      <c r="K228" s="15"/>
      <c r="L228" s="15" t="s">
        <v>38</v>
      </c>
      <c r="M228" s="15"/>
      <c r="N228" s="15" t="s">
        <v>39</v>
      </c>
      <c r="O228" s="15" t="s">
        <v>40</v>
      </c>
      <c r="P228" s="15" t="s">
        <v>40</v>
      </c>
      <c r="Q228" s="15" t="s">
        <v>41</v>
      </c>
      <c r="R228" s="15" t="s">
        <v>54</v>
      </c>
      <c r="S228" s="15" t="s">
        <v>57</v>
      </c>
      <c r="T228" s="19" t="s">
        <v>58</v>
      </c>
      <c r="U228" s="15" t="s">
        <v>46</v>
      </c>
    </row>
    <row r="229" ht="56.25" customHeight="1">
      <c r="A229" s="13" t="s">
        <v>1261</v>
      </c>
      <c r="B229" s="15" t="str">
        <f>image("https://i.imgur.com/OQuLQx8.png")</f>
        <v/>
      </c>
      <c r="C229" s="17" t="str">
        <f>HYPERLINK("https://imgur.com/a/8Udbgkb","Yes")</f>
        <v>Yes</v>
      </c>
      <c r="D229" s="15" t="s">
        <v>28</v>
      </c>
      <c r="E229" s="15" t="s">
        <v>50</v>
      </c>
      <c r="F229" s="13">
        <v>460.0</v>
      </c>
      <c r="G229" s="13">
        <v>115.0</v>
      </c>
      <c r="H229" s="15">
        <v>1870.0</v>
      </c>
      <c r="I229" s="15" t="s">
        <v>86</v>
      </c>
      <c r="J229" s="15" t="s">
        <v>37</v>
      </c>
      <c r="K229" s="15"/>
      <c r="L229" s="15" t="s">
        <v>38</v>
      </c>
      <c r="M229" s="15">
        <v>1.0</v>
      </c>
      <c r="N229" s="15" t="s">
        <v>39</v>
      </c>
      <c r="O229" s="15" t="s">
        <v>40</v>
      </c>
      <c r="P229" s="15" t="s">
        <v>40</v>
      </c>
      <c r="Q229" s="15" t="s">
        <v>41</v>
      </c>
      <c r="R229" s="15" t="s">
        <v>43</v>
      </c>
      <c r="S229" s="15" t="s">
        <v>44</v>
      </c>
      <c r="T229" s="19" t="s">
        <v>45</v>
      </c>
      <c r="U229" s="15" t="s">
        <v>46</v>
      </c>
    </row>
    <row r="230" ht="56.25" customHeight="1">
      <c r="A230" s="13" t="s">
        <v>1268</v>
      </c>
      <c r="B230" s="15" t="str">
        <f>image("https://i.imgur.com/TYZsw8H.png")</f>
        <v/>
      </c>
      <c r="C230" s="17" t="str">
        <f>HYPERLINK("https://imgur.com/a/8xgLS4a","Yes")</f>
        <v>Yes</v>
      </c>
      <c r="D230" s="15" t="s">
        <v>28</v>
      </c>
      <c r="E230" s="15" t="s">
        <v>28</v>
      </c>
      <c r="F230" s="13">
        <v>1000.0</v>
      </c>
      <c r="G230" s="13">
        <v>250.0</v>
      </c>
      <c r="H230" s="15">
        <v>4076.0</v>
      </c>
      <c r="I230" s="15" t="s">
        <v>113</v>
      </c>
      <c r="J230" s="15" t="s">
        <v>36</v>
      </c>
      <c r="K230" s="15"/>
      <c r="L230" s="15" t="s">
        <v>38</v>
      </c>
      <c r="M230" s="15">
        <v>1.0</v>
      </c>
      <c r="N230" s="15" t="s">
        <v>39</v>
      </c>
      <c r="O230" s="15" t="s">
        <v>40</v>
      </c>
      <c r="P230" s="15" t="s">
        <v>53</v>
      </c>
      <c r="Q230" s="15" t="s">
        <v>41</v>
      </c>
      <c r="R230" s="15" t="s">
        <v>43</v>
      </c>
      <c r="S230" s="15" t="s">
        <v>44</v>
      </c>
      <c r="T230" s="19" t="s">
        <v>45</v>
      </c>
      <c r="U230" s="15" t="s">
        <v>46</v>
      </c>
    </row>
    <row r="231" ht="56.25" customHeight="1">
      <c r="A231" s="23" t="s">
        <v>1275</v>
      </c>
      <c r="B231" s="32" t="str">
        <f>image("https://i.imgur.com/90188Gp.png")</f>
        <v/>
      </c>
      <c r="C231" s="25" t="s">
        <v>40</v>
      </c>
      <c r="D231" s="25" t="s">
        <v>28</v>
      </c>
      <c r="E231" s="25" t="s">
        <v>28</v>
      </c>
      <c r="F231" s="24" t="s">
        <v>51</v>
      </c>
      <c r="G231" s="13">
        <v>30000.0</v>
      </c>
      <c r="H231" s="15">
        <v>6989.0</v>
      </c>
      <c r="I231" s="15"/>
      <c r="J231" s="15"/>
      <c r="K231" s="15"/>
      <c r="L231" s="15" t="s">
        <v>38</v>
      </c>
      <c r="M231" s="15"/>
      <c r="N231" s="15" t="s">
        <v>39</v>
      </c>
      <c r="O231" s="15" t="s">
        <v>40</v>
      </c>
      <c r="P231" s="15" t="s">
        <v>40</v>
      </c>
      <c r="Q231" s="15" t="s">
        <v>41</v>
      </c>
      <c r="R231" s="15" t="s">
        <v>54</v>
      </c>
      <c r="S231" s="15" t="s">
        <v>100</v>
      </c>
      <c r="T231" s="19" t="s">
        <v>101</v>
      </c>
      <c r="U231" s="15" t="s">
        <v>46</v>
      </c>
    </row>
    <row r="232" ht="56.25" customHeight="1">
      <c r="A232" s="23" t="s">
        <v>1283</v>
      </c>
      <c r="B232" s="32" t="str">
        <f>image("https://i.imgur.com/vh1DDWb.png")</f>
        <v/>
      </c>
      <c r="C232" s="25" t="s">
        <v>40</v>
      </c>
      <c r="D232" s="25" t="s">
        <v>28</v>
      </c>
      <c r="E232" s="25" t="s">
        <v>28</v>
      </c>
      <c r="F232" s="24" t="s">
        <v>51</v>
      </c>
      <c r="G232" s="13">
        <v>1500.0</v>
      </c>
      <c r="H232" s="15">
        <v>6990.0</v>
      </c>
      <c r="I232" s="15"/>
      <c r="J232" s="15"/>
      <c r="K232" s="15"/>
      <c r="L232" s="15" t="s">
        <v>38</v>
      </c>
      <c r="M232" s="15"/>
      <c r="N232" s="15" t="s">
        <v>39</v>
      </c>
      <c r="O232" s="15" t="s">
        <v>40</v>
      </c>
      <c r="P232" s="15" t="s">
        <v>40</v>
      </c>
      <c r="Q232" s="15" t="s">
        <v>41</v>
      </c>
      <c r="R232" s="15" t="s">
        <v>54</v>
      </c>
      <c r="S232" s="15" t="s">
        <v>100</v>
      </c>
      <c r="T232" s="19" t="s">
        <v>101</v>
      </c>
      <c r="U232" s="15" t="s">
        <v>46</v>
      </c>
    </row>
    <row r="233" ht="56.25" customHeight="1">
      <c r="A233" s="13" t="s">
        <v>1286</v>
      </c>
      <c r="B233" s="15" t="str">
        <f>image("https://i.imgur.com/utZ6TE4.png")</f>
        <v/>
      </c>
      <c r="C233" s="25" t="s">
        <v>40</v>
      </c>
      <c r="D233" s="15" t="s">
        <v>28</v>
      </c>
      <c r="E233" s="15" t="s">
        <v>28</v>
      </c>
      <c r="F233" s="13">
        <v>1300.0</v>
      </c>
      <c r="G233" s="13">
        <v>325.0</v>
      </c>
      <c r="H233" s="15">
        <v>8464.0</v>
      </c>
      <c r="I233" s="15" t="s">
        <v>80</v>
      </c>
      <c r="J233" s="15" t="s">
        <v>90</v>
      </c>
      <c r="K233" s="15"/>
      <c r="L233" s="15" t="s">
        <v>38</v>
      </c>
      <c r="M233" s="15"/>
      <c r="N233" s="15" t="s">
        <v>39</v>
      </c>
      <c r="O233" s="15" t="s">
        <v>40</v>
      </c>
      <c r="P233" s="15" t="s">
        <v>53</v>
      </c>
      <c r="Q233" s="15" t="s">
        <v>41</v>
      </c>
      <c r="R233" s="15" t="s">
        <v>43</v>
      </c>
      <c r="S233" s="15" t="s">
        <v>44</v>
      </c>
      <c r="T233" s="19" t="s">
        <v>45</v>
      </c>
      <c r="U233" s="15" t="s">
        <v>46</v>
      </c>
    </row>
    <row r="234" ht="56.25" customHeight="1">
      <c r="A234" s="23" t="s">
        <v>1292</v>
      </c>
      <c r="B234" s="32" t="str">
        <f>image("https://i.imgur.com/20uxaL8.png")</f>
        <v/>
      </c>
      <c r="C234" s="25" t="s">
        <v>40</v>
      </c>
      <c r="D234" s="25" t="s">
        <v>28</v>
      </c>
      <c r="E234" s="25" t="s">
        <v>28</v>
      </c>
      <c r="F234" s="24" t="s">
        <v>51</v>
      </c>
      <c r="G234" s="13">
        <v>4500.0</v>
      </c>
      <c r="H234" s="15">
        <v>6945.0</v>
      </c>
      <c r="I234" s="15"/>
      <c r="J234" s="15"/>
      <c r="K234" s="15"/>
      <c r="L234" s="15" t="s">
        <v>38</v>
      </c>
      <c r="M234" s="15"/>
      <c r="N234" s="15" t="s">
        <v>39</v>
      </c>
      <c r="O234" s="15" t="s">
        <v>40</v>
      </c>
      <c r="P234" s="15" t="s">
        <v>40</v>
      </c>
      <c r="Q234" s="15" t="s">
        <v>41</v>
      </c>
      <c r="R234" s="15" t="s">
        <v>54</v>
      </c>
      <c r="S234" s="15" t="s">
        <v>100</v>
      </c>
      <c r="T234" s="19" t="s">
        <v>101</v>
      </c>
      <c r="U234" s="15" t="s">
        <v>46</v>
      </c>
    </row>
    <row r="235" ht="56.25" customHeight="1">
      <c r="A235" s="13" t="s">
        <v>1296</v>
      </c>
      <c r="B235" s="15" t="str">
        <f>image("https://i.imgur.com/QhEMeUQ.png")</f>
        <v/>
      </c>
      <c r="C235" s="22" t="str">
        <f>HYPERLINK("https://imgur.com/a/8prNY2B","Yes")</f>
        <v>Yes</v>
      </c>
      <c r="D235" s="15" t="s">
        <v>28</v>
      </c>
      <c r="E235" s="15" t="s">
        <v>50</v>
      </c>
      <c r="F235" s="13">
        <v>29980.0</v>
      </c>
      <c r="G235" s="13">
        <v>7495.0</v>
      </c>
      <c r="H235" s="15"/>
      <c r="I235" s="15"/>
      <c r="J235" s="15"/>
      <c r="K235" s="15"/>
      <c r="L235" s="15" t="s">
        <v>38</v>
      </c>
      <c r="M235" s="15"/>
      <c r="N235" s="15"/>
      <c r="O235" s="15"/>
      <c r="P235" s="15"/>
      <c r="Q235" s="15"/>
      <c r="R235" s="15" t="s">
        <v>43</v>
      </c>
      <c r="S235" s="15" t="s">
        <v>48</v>
      </c>
      <c r="T235" s="19"/>
      <c r="U235" s="15" t="s">
        <v>46</v>
      </c>
    </row>
    <row r="236" ht="56.25" customHeight="1">
      <c r="A236" s="13" t="s">
        <v>1302</v>
      </c>
      <c r="B236" s="15" t="str">
        <f>image("https://i.imgur.com/js3taQx.png")</f>
        <v/>
      </c>
      <c r="C236" s="17" t="str">
        <f>HYPERLINK("https://imgur.com/a/7yKxLFl","Yes")</f>
        <v>Yes</v>
      </c>
      <c r="D236" s="15" t="s">
        <v>50</v>
      </c>
      <c r="E236" s="15" t="s">
        <v>50</v>
      </c>
      <c r="F236" s="13" t="s">
        <v>51</v>
      </c>
      <c r="G236" s="13">
        <v>2500.0</v>
      </c>
      <c r="H236" s="15">
        <v>6826.0</v>
      </c>
      <c r="I236" s="15" t="s">
        <v>269</v>
      </c>
      <c r="J236" s="15" t="s">
        <v>36</v>
      </c>
      <c r="K236" s="15"/>
      <c r="L236" s="15" t="s">
        <v>38</v>
      </c>
      <c r="M236" s="15">
        <v>4.0</v>
      </c>
      <c r="N236" s="15" t="s">
        <v>39</v>
      </c>
      <c r="O236" s="15" t="s">
        <v>40</v>
      </c>
      <c r="P236" s="15" t="s">
        <v>53</v>
      </c>
      <c r="Q236" s="15" t="s">
        <v>186</v>
      </c>
      <c r="R236" s="15" t="s">
        <v>54</v>
      </c>
      <c r="S236" s="15" t="s">
        <v>55</v>
      </c>
      <c r="T236" s="19"/>
      <c r="U236" s="15" t="s">
        <v>46</v>
      </c>
    </row>
    <row r="237" ht="56.25" customHeight="1">
      <c r="A237" s="13" t="s">
        <v>1307</v>
      </c>
      <c r="B237" s="15" t="str">
        <f>image("https://i.imgur.com/nkLunHt.png")</f>
        <v/>
      </c>
      <c r="C237" s="17" t="str">
        <f>HYPERLINK("https://imgur.com/a/qjiUxiY","Yes")</f>
        <v>Yes</v>
      </c>
      <c r="D237" s="25" t="s">
        <v>28</v>
      </c>
      <c r="E237" s="25" t="s">
        <v>50</v>
      </c>
      <c r="F237" s="13" t="s">
        <v>51</v>
      </c>
      <c r="G237" s="13">
        <v>1200.0</v>
      </c>
      <c r="H237" s="15">
        <v>7284.0</v>
      </c>
      <c r="I237" s="15" t="s">
        <v>284</v>
      </c>
      <c r="J237" s="15"/>
      <c r="K237" s="15"/>
      <c r="L237" s="15" t="s">
        <v>38</v>
      </c>
      <c r="M237" s="15">
        <v>2.0</v>
      </c>
      <c r="N237" s="15" t="s">
        <v>39</v>
      </c>
      <c r="O237" s="15" t="s">
        <v>40</v>
      </c>
      <c r="P237" s="15" t="s">
        <v>53</v>
      </c>
      <c r="Q237" s="15" t="s">
        <v>41</v>
      </c>
      <c r="R237" s="15" t="s">
        <v>54</v>
      </c>
      <c r="S237" s="15" t="s">
        <v>574</v>
      </c>
      <c r="T237" s="19"/>
      <c r="U237" s="15" t="s">
        <v>46</v>
      </c>
    </row>
    <row r="238" ht="56.25" customHeight="1">
      <c r="A238" s="13" t="s">
        <v>1311</v>
      </c>
      <c r="B238" s="15" t="str">
        <f>image("https://i.imgur.com/T2tcbac.png")</f>
        <v/>
      </c>
      <c r="C238" s="25" t="s">
        <v>40</v>
      </c>
      <c r="D238" s="15" t="s">
        <v>28</v>
      </c>
      <c r="E238" s="15" t="s">
        <v>28</v>
      </c>
      <c r="F238" s="13">
        <v>400.0</v>
      </c>
      <c r="G238" s="13">
        <v>100.0</v>
      </c>
      <c r="H238" s="15">
        <v>3654.0</v>
      </c>
      <c r="I238" s="15" t="s">
        <v>80</v>
      </c>
      <c r="J238" s="15" t="s">
        <v>90</v>
      </c>
      <c r="K238" s="15"/>
      <c r="L238" s="15" t="s">
        <v>38</v>
      </c>
      <c r="M238" s="15"/>
      <c r="N238" s="15" t="s">
        <v>39</v>
      </c>
      <c r="O238" s="15" t="s">
        <v>40</v>
      </c>
      <c r="P238" s="15" t="s">
        <v>53</v>
      </c>
      <c r="Q238" s="15" t="s">
        <v>164</v>
      </c>
      <c r="R238" s="15" t="s">
        <v>43</v>
      </c>
      <c r="S238" s="15" t="s">
        <v>44</v>
      </c>
      <c r="T238" s="19" t="s">
        <v>45</v>
      </c>
      <c r="U238" s="15" t="s">
        <v>46</v>
      </c>
    </row>
    <row r="239" ht="56.25" customHeight="1">
      <c r="A239" s="13" t="s">
        <v>1316</v>
      </c>
      <c r="B239" s="15" t="str">
        <f>image("https://i.imgur.com/U3AgXCE.png")</f>
        <v/>
      </c>
      <c r="C239" s="17" t="str">
        <f>HYPERLINK("https://imgur.com/a/QjJ7sYY","Yes")</f>
        <v>Yes</v>
      </c>
      <c r="D239" s="15" t="s">
        <v>28</v>
      </c>
      <c r="E239" s="15" t="s">
        <v>28</v>
      </c>
      <c r="F239" s="13">
        <v>1200.0</v>
      </c>
      <c r="G239" s="13">
        <v>300.0</v>
      </c>
      <c r="H239" s="15">
        <v>4111.0</v>
      </c>
      <c r="I239" s="15" t="s">
        <v>60</v>
      </c>
      <c r="J239" s="15" t="s">
        <v>113</v>
      </c>
      <c r="K239" s="15"/>
      <c r="L239" s="15" t="s">
        <v>38</v>
      </c>
      <c r="M239" s="15">
        <v>1.0</v>
      </c>
      <c r="N239" s="15" t="s">
        <v>39</v>
      </c>
      <c r="O239" s="15" t="s">
        <v>40</v>
      </c>
      <c r="P239" s="15" t="s">
        <v>53</v>
      </c>
      <c r="Q239" s="15" t="s">
        <v>41</v>
      </c>
      <c r="R239" s="15" t="s">
        <v>43</v>
      </c>
      <c r="S239" s="15" t="s">
        <v>44</v>
      </c>
      <c r="T239" s="19" t="s">
        <v>45</v>
      </c>
      <c r="U239" s="15" t="s">
        <v>46</v>
      </c>
    </row>
    <row r="240" ht="56.25" customHeight="1">
      <c r="A240" s="13" t="s">
        <v>1320</v>
      </c>
      <c r="B240" s="15" t="str">
        <f>image("https://i.imgur.com/cokmOZA.png")</f>
        <v/>
      </c>
      <c r="C240" s="25" t="s">
        <v>40</v>
      </c>
      <c r="D240" s="15" t="s">
        <v>50</v>
      </c>
      <c r="E240" s="15" t="s">
        <v>28</v>
      </c>
      <c r="F240" s="38" t="s">
        <v>51</v>
      </c>
      <c r="G240" s="13">
        <v>360.0</v>
      </c>
      <c r="H240" s="15">
        <v>4393.0</v>
      </c>
      <c r="I240" s="15" t="s">
        <v>183</v>
      </c>
      <c r="J240" s="15"/>
      <c r="K240" s="15"/>
      <c r="L240" s="15" t="s">
        <v>38</v>
      </c>
      <c r="M240" s="15"/>
      <c r="N240" s="15" t="s">
        <v>39</v>
      </c>
      <c r="O240" s="15" t="s">
        <v>40</v>
      </c>
      <c r="P240" s="15" t="s">
        <v>40</v>
      </c>
      <c r="Q240" s="15" t="s">
        <v>41</v>
      </c>
      <c r="R240" s="15" t="s">
        <v>54</v>
      </c>
      <c r="S240" s="15" t="s">
        <v>55</v>
      </c>
      <c r="T240" s="19"/>
      <c r="U240" s="15" t="s">
        <v>46</v>
      </c>
    </row>
    <row r="241" ht="56.25" customHeight="1">
      <c r="A241" s="23" t="s">
        <v>1325</v>
      </c>
      <c r="B241" s="32" t="str">
        <f>image("https://i.imgur.com/WfnVZhs.png")</f>
        <v/>
      </c>
      <c r="C241" s="25" t="s">
        <v>40</v>
      </c>
      <c r="D241" s="25" t="s">
        <v>28</v>
      </c>
      <c r="E241" s="25" t="s">
        <v>28</v>
      </c>
      <c r="F241" s="24" t="s">
        <v>51</v>
      </c>
      <c r="G241" s="13">
        <v>2400.0</v>
      </c>
      <c r="H241" s="15">
        <v>6957.0</v>
      </c>
      <c r="I241" s="15"/>
      <c r="J241" s="15"/>
      <c r="K241" s="15"/>
      <c r="L241" s="15" t="s">
        <v>38</v>
      </c>
      <c r="M241" s="15"/>
      <c r="N241" s="15" t="s">
        <v>39</v>
      </c>
      <c r="O241" s="15" t="s">
        <v>40</v>
      </c>
      <c r="P241" s="15" t="s">
        <v>40</v>
      </c>
      <c r="Q241" s="15" t="s">
        <v>41</v>
      </c>
      <c r="R241" s="15" t="s">
        <v>54</v>
      </c>
      <c r="S241" s="15" t="s">
        <v>100</v>
      </c>
      <c r="T241" s="19" t="s">
        <v>101</v>
      </c>
      <c r="U241" s="15" t="s">
        <v>46</v>
      </c>
    </row>
    <row r="242" ht="56.25" customHeight="1">
      <c r="A242" s="23" t="s">
        <v>1329</v>
      </c>
      <c r="B242" s="23" t="str">
        <f>IMAGE("https://i.imgur.com/LtJq5IZ.png")</f>
        <v/>
      </c>
      <c r="C242" s="25" t="s">
        <v>40</v>
      </c>
      <c r="D242" s="25" t="s">
        <v>28</v>
      </c>
      <c r="E242" s="25" t="s">
        <v>28</v>
      </c>
      <c r="F242" s="24" t="s">
        <v>51</v>
      </c>
      <c r="G242" s="13">
        <v>7200.0</v>
      </c>
      <c r="H242" s="15">
        <v>7061.0</v>
      </c>
      <c r="I242" s="15"/>
      <c r="J242" s="15"/>
      <c r="K242" s="15"/>
      <c r="L242" s="15" t="s">
        <v>38</v>
      </c>
      <c r="M242" s="15"/>
      <c r="N242" s="15" t="s">
        <v>39</v>
      </c>
      <c r="O242" s="15" t="s">
        <v>40</v>
      </c>
      <c r="P242" s="15" t="s">
        <v>40</v>
      </c>
      <c r="Q242" s="15" t="s">
        <v>41</v>
      </c>
      <c r="R242" s="15" t="s">
        <v>54</v>
      </c>
      <c r="S242" s="15" t="s">
        <v>57</v>
      </c>
      <c r="T242" s="19" t="s">
        <v>58</v>
      </c>
      <c r="U242" s="15" t="s">
        <v>46</v>
      </c>
    </row>
    <row r="243" ht="56.25" customHeight="1">
      <c r="A243" s="13" t="s">
        <v>1334</v>
      </c>
      <c r="B243" s="15" t="str">
        <f>image("https://i.imgur.com/OtzkQaj.png")</f>
        <v/>
      </c>
      <c r="C243" s="17" t="str">
        <f>HYPERLINK("https://imgur.com/a/933haWv","Yes")</f>
        <v>Yes</v>
      </c>
      <c r="D243" s="15" t="s">
        <v>28</v>
      </c>
      <c r="E243" s="15" t="s">
        <v>28</v>
      </c>
      <c r="F243" s="13">
        <v>510.0</v>
      </c>
      <c r="G243" s="24">
        <v>127.0</v>
      </c>
      <c r="H243" s="15">
        <v>3965.0</v>
      </c>
      <c r="I243" s="15" t="s">
        <v>80</v>
      </c>
      <c r="J243" s="15" t="s">
        <v>113</v>
      </c>
      <c r="K243" s="15"/>
      <c r="L243" s="15" t="s">
        <v>38</v>
      </c>
      <c r="M243" s="15">
        <v>1.0</v>
      </c>
      <c r="N243" s="15" t="s">
        <v>39</v>
      </c>
      <c r="O243" s="15" t="s">
        <v>40</v>
      </c>
      <c r="P243" s="15" t="s">
        <v>40</v>
      </c>
      <c r="Q243" s="15" t="s">
        <v>41</v>
      </c>
      <c r="R243" s="15" t="s">
        <v>43</v>
      </c>
      <c r="S243" s="15" t="s">
        <v>44</v>
      </c>
      <c r="T243" s="19" t="s">
        <v>45</v>
      </c>
      <c r="U243" s="15" t="s">
        <v>46</v>
      </c>
    </row>
    <row r="244" ht="56.25" customHeight="1">
      <c r="A244" s="23" t="s">
        <v>1337</v>
      </c>
      <c r="B244" s="32" t="str">
        <f>image("https://i.imgur.com/HM0tyW6.png")</f>
        <v/>
      </c>
      <c r="C244" s="25" t="s">
        <v>40</v>
      </c>
      <c r="D244" s="25" t="s">
        <v>28</v>
      </c>
      <c r="E244" s="25" t="s">
        <v>28</v>
      </c>
      <c r="F244" s="24" t="s">
        <v>51</v>
      </c>
      <c r="G244" s="13">
        <v>600.0</v>
      </c>
      <c r="H244" s="15">
        <v>7000.0</v>
      </c>
      <c r="I244" s="15"/>
      <c r="J244" s="15"/>
      <c r="K244" s="15"/>
      <c r="L244" s="15" t="s">
        <v>38</v>
      </c>
      <c r="M244" s="15"/>
      <c r="N244" s="15" t="s">
        <v>39</v>
      </c>
      <c r="O244" s="15" t="s">
        <v>40</v>
      </c>
      <c r="P244" s="15" t="s">
        <v>40</v>
      </c>
      <c r="Q244" s="15" t="s">
        <v>41</v>
      </c>
      <c r="R244" s="15" t="s">
        <v>54</v>
      </c>
      <c r="S244" s="15" t="s">
        <v>100</v>
      </c>
      <c r="T244" s="19" t="s">
        <v>101</v>
      </c>
      <c r="U244" s="15" t="s">
        <v>46</v>
      </c>
    </row>
    <row r="245" ht="56.25" customHeight="1">
      <c r="A245" s="23" t="s">
        <v>1338</v>
      </c>
      <c r="B245" s="23" t="str">
        <f>IMAGE("https://i.imgur.com/K93MXKK.png")</f>
        <v/>
      </c>
      <c r="C245" s="25" t="s">
        <v>40</v>
      </c>
      <c r="D245" s="25" t="s">
        <v>28</v>
      </c>
      <c r="E245" s="25" t="s">
        <v>28</v>
      </c>
      <c r="F245" s="24" t="s">
        <v>51</v>
      </c>
      <c r="G245" s="13">
        <v>3000.0</v>
      </c>
      <c r="H245" s="15">
        <v>7112.0</v>
      </c>
      <c r="I245" s="15"/>
      <c r="J245" s="15"/>
      <c r="K245" s="15"/>
      <c r="L245" s="15" t="s">
        <v>38</v>
      </c>
      <c r="M245" s="15"/>
      <c r="N245" s="15" t="s">
        <v>39</v>
      </c>
      <c r="O245" s="15" t="s">
        <v>40</v>
      </c>
      <c r="P245" s="15" t="s">
        <v>40</v>
      </c>
      <c r="Q245" s="15" t="s">
        <v>41</v>
      </c>
      <c r="R245" s="15" t="s">
        <v>54</v>
      </c>
      <c r="S245" s="15" t="s">
        <v>57</v>
      </c>
      <c r="T245" s="19" t="s">
        <v>58</v>
      </c>
      <c r="U245" s="15" t="s">
        <v>46</v>
      </c>
    </row>
    <row r="246" ht="56.25" customHeight="1">
      <c r="A246" s="13" t="s">
        <v>1341</v>
      </c>
      <c r="B246" s="15" t="str">
        <f>image("https://i.imgur.com/pJIitvM.png")</f>
        <v/>
      </c>
      <c r="C246" s="25" t="s">
        <v>40</v>
      </c>
      <c r="D246" s="15" t="s">
        <v>28</v>
      </c>
      <c r="E246" s="15" t="s">
        <v>28</v>
      </c>
      <c r="F246" s="13">
        <v>1500.0</v>
      </c>
      <c r="G246" s="13">
        <v>375.0</v>
      </c>
      <c r="H246" s="15">
        <v>689.0</v>
      </c>
      <c r="I246" s="15" t="s">
        <v>161</v>
      </c>
      <c r="J246" s="15"/>
      <c r="K246" s="15"/>
      <c r="L246" s="15" t="s">
        <v>38</v>
      </c>
      <c r="M246" s="15"/>
      <c r="N246" s="15" t="s">
        <v>39</v>
      </c>
      <c r="O246" s="15" t="s">
        <v>40</v>
      </c>
      <c r="P246" s="15" t="s">
        <v>53</v>
      </c>
      <c r="Q246" s="15" t="s">
        <v>41</v>
      </c>
      <c r="R246" s="15" t="s">
        <v>43</v>
      </c>
      <c r="S246" s="15" t="s">
        <v>44</v>
      </c>
      <c r="T246" s="19" t="s">
        <v>45</v>
      </c>
      <c r="U246" s="15" t="s">
        <v>46</v>
      </c>
    </row>
    <row r="247" ht="56.25" customHeight="1">
      <c r="A247" s="13" t="s">
        <v>1343</v>
      </c>
      <c r="B247" s="15" t="str">
        <f>image("https://i.imgur.com/x5Yoz5d.png")</f>
        <v/>
      </c>
      <c r="C247" s="17" t="str">
        <f>HYPERLINK("https://imgur.com/a/OrvqOjt","Yes")</f>
        <v>Yes</v>
      </c>
      <c r="D247" s="15" t="s">
        <v>50</v>
      </c>
      <c r="E247" s="15" t="s">
        <v>50</v>
      </c>
      <c r="F247" s="13" t="s">
        <v>51</v>
      </c>
      <c r="G247" s="24">
        <v>2480.0</v>
      </c>
      <c r="H247" s="15">
        <v>4128.0</v>
      </c>
      <c r="I247" s="15" t="s">
        <v>113</v>
      </c>
      <c r="J247" s="15" t="s">
        <v>36</v>
      </c>
      <c r="K247" s="15"/>
      <c r="L247" s="15" t="s">
        <v>38</v>
      </c>
      <c r="M247" s="15">
        <v>4.0</v>
      </c>
      <c r="N247" s="15" t="s">
        <v>39</v>
      </c>
      <c r="O247" s="15" t="s">
        <v>40</v>
      </c>
      <c r="P247" s="15" t="s">
        <v>53</v>
      </c>
      <c r="Q247" s="15" t="s">
        <v>41</v>
      </c>
      <c r="R247" s="15" t="s">
        <v>54</v>
      </c>
      <c r="S247" s="15" t="s">
        <v>55</v>
      </c>
      <c r="T247" s="19"/>
      <c r="U247" s="15" t="s">
        <v>46</v>
      </c>
    </row>
    <row r="248" ht="56.25" customHeight="1">
      <c r="A248" s="23" t="s">
        <v>1345</v>
      </c>
      <c r="B248" s="23" t="str">
        <f>IMAGE("https://i.imgur.com/kxdfshs.png")</f>
        <v/>
      </c>
      <c r="C248" s="25" t="s">
        <v>40</v>
      </c>
      <c r="D248" s="25" t="s">
        <v>28</v>
      </c>
      <c r="E248" s="25" t="s">
        <v>28</v>
      </c>
      <c r="F248" s="24" t="s">
        <v>51</v>
      </c>
      <c r="G248" s="13">
        <v>7500.0</v>
      </c>
      <c r="H248" s="15">
        <v>7071.0</v>
      </c>
      <c r="I248" s="15"/>
      <c r="J248" s="15"/>
      <c r="K248" s="15"/>
      <c r="L248" s="15" t="s">
        <v>38</v>
      </c>
      <c r="M248" s="15"/>
      <c r="N248" s="15" t="s">
        <v>39</v>
      </c>
      <c r="O248" s="15" t="s">
        <v>40</v>
      </c>
      <c r="P248" s="15" t="s">
        <v>40</v>
      </c>
      <c r="Q248" s="15" t="s">
        <v>41</v>
      </c>
      <c r="R248" s="15" t="s">
        <v>54</v>
      </c>
      <c r="S248" s="15" t="s">
        <v>57</v>
      </c>
      <c r="T248" s="19" t="s">
        <v>58</v>
      </c>
      <c r="U248" s="15" t="s">
        <v>46</v>
      </c>
    </row>
    <row r="249" ht="56.25" customHeight="1">
      <c r="A249" s="13" t="s">
        <v>1346</v>
      </c>
      <c r="B249" s="15" t="str">
        <f>image("https://i.imgur.com/bedk4Yp.png")</f>
        <v/>
      </c>
      <c r="C249" s="17" t="str">
        <f>HYPERLINK("https://imgur.com/a/CCHMi4e","Yes")</f>
        <v>Yes</v>
      </c>
      <c r="D249" s="15" t="s">
        <v>28</v>
      </c>
      <c r="E249" s="15" t="s">
        <v>28</v>
      </c>
      <c r="F249" s="13">
        <v>1400.0</v>
      </c>
      <c r="G249" s="13">
        <v>350.0</v>
      </c>
      <c r="H249" s="15">
        <v>7257.0</v>
      </c>
      <c r="I249" s="15" t="s">
        <v>67</v>
      </c>
      <c r="J249" s="15" t="s">
        <v>90</v>
      </c>
      <c r="K249" s="15"/>
      <c r="L249" s="15" t="s">
        <v>38</v>
      </c>
      <c r="M249" s="15">
        <v>1.0</v>
      </c>
      <c r="N249" s="15" t="s">
        <v>39</v>
      </c>
      <c r="O249" s="15" t="s">
        <v>40</v>
      </c>
      <c r="P249" s="15" t="s">
        <v>53</v>
      </c>
      <c r="Q249" s="15" t="s">
        <v>41</v>
      </c>
      <c r="R249" s="15" t="s">
        <v>43</v>
      </c>
      <c r="S249" s="15" t="s">
        <v>44</v>
      </c>
      <c r="T249" s="19" t="s">
        <v>45</v>
      </c>
      <c r="U249" s="15" t="s">
        <v>46</v>
      </c>
    </row>
    <row r="250" ht="56.25" customHeight="1">
      <c r="A250" s="13" t="s">
        <v>1348</v>
      </c>
      <c r="B250" s="15" t="str">
        <f>image("https://i.imgur.com/1wF8vDn.png")</f>
        <v/>
      </c>
      <c r="C250" s="17" t="str">
        <f>HYPERLINK("https://imgur.com/a/IzxroZl","Yes")</f>
        <v>Yes</v>
      </c>
      <c r="D250" s="15" t="s">
        <v>28</v>
      </c>
      <c r="E250" s="15" t="s">
        <v>28</v>
      </c>
      <c r="F250" s="13">
        <v>830.0</v>
      </c>
      <c r="G250" s="24">
        <v>207.0</v>
      </c>
      <c r="H250" s="15">
        <v>7801.0</v>
      </c>
      <c r="I250" s="15" t="s">
        <v>60</v>
      </c>
      <c r="J250" s="15"/>
      <c r="K250" s="15"/>
      <c r="L250" s="15" t="s">
        <v>38</v>
      </c>
      <c r="M250" s="15">
        <v>1.0</v>
      </c>
      <c r="N250" s="15" t="s">
        <v>39</v>
      </c>
      <c r="O250" s="15" t="s">
        <v>40</v>
      </c>
      <c r="P250" s="15" t="s">
        <v>40</v>
      </c>
      <c r="Q250" s="15" t="s">
        <v>41</v>
      </c>
      <c r="R250" s="15" t="s">
        <v>43</v>
      </c>
      <c r="S250" s="15" t="s">
        <v>44</v>
      </c>
      <c r="T250" s="19" t="s">
        <v>45</v>
      </c>
      <c r="U250" s="15" t="s">
        <v>46</v>
      </c>
    </row>
    <row r="251" ht="56.25" customHeight="1">
      <c r="A251" s="13" t="s">
        <v>1351</v>
      </c>
      <c r="B251" s="15" t="str">
        <f>image("https://i.imgur.com/zHFmMaO.png")</f>
        <v/>
      </c>
      <c r="C251" s="17" t="str">
        <f>HYPERLINK("https://imgur.com/a/lMqm5tA","Yes")</f>
        <v>Yes</v>
      </c>
      <c r="D251" s="15" t="s">
        <v>28</v>
      </c>
      <c r="E251" s="15" t="s">
        <v>28</v>
      </c>
      <c r="F251" s="13">
        <v>53000.0</v>
      </c>
      <c r="G251" s="13">
        <v>13250.0</v>
      </c>
      <c r="H251" s="15">
        <v>794.0</v>
      </c>
      <c r="I251" s="15" t="s">
        <v>62</v>
      </c>
      <c r="J251" s="15"/>
      <c r="K251" s="15"/>
      <c r="L251" s="15" t="s">
        <v>38</v>
      </c>
      <c r="M251" s="15"/>
      <c r="N251" s="15" t="s">
        <v>1352</v>
      </c>
      <c r="O251" s="15" t="s">
        <v>40</v>
      </c>
      <c r="P251" s="15" t="s">
        <v>53</v>
      </c>
      <c r="Q251" s="15" t="s">
        <v>41</v>
      </c>
      <c r="R251" s="15" t="s">
        <v>43</v>
      </c>
      <c r="S251" s="15" t="s">
        <v>44</v>
      </c>
      <c r="T251" s="19" t="s">
        <v>65</v>
      </c>
      <c r="U251" s="15" t="s">
        <v>46</v>
      </c>
    </row>
    <row r="252" ht="56.25" customHeight="1">
      <c r="A252" s="13" t="s">
        <v>1353</v>
      </c>
      <c r="B252" s="15" t="str">
        <f>image("https://i.imgur.com/Q9KQorJ.png")</f>
        <v/>
      </c>
      <c r="C252" s="17" t="str">
        <f>HYPERLINK("https://imgur.com/a/FSnhn5a","Yes")</f>
        <v>Yes</v>
      </c>
      <c r="D252" s="15" t="s">
        <v>28</v>
      </c>
      <c r="E252" s="15" t="s">
        <v>28</v>
      </c>
      <c r="F252" s="13">
        <v>1300.0</v>
      </c>
      <c r="G252" s="13">
        <v>325.0</v>
      </c>
      <c r="H252" s="15">
        <v>1082.0</v>
      </c>
      <c r="I252" s="15" t="s">
        <v>338</v>
      </c>
      <c r="J252" s="15"/>
      <c r="K252" s="15"/>
      <c r="L252" s="15" t="s">
        <v>38</v>
      </c>
      <c r="M252" s="15">
        <v>1.0</v>
      </c>
      <c r="N252" s="15" t="s">
        <v>39</v>
      </c>
      <c r="O252" s="15" t="s">
        <v>40</v>
      </c>
      <c r="P252" s="15" t="s">
        <v>40</v>
      </c>
      <c r="Q252" s="15" t="s">
        <v>41</v>
      </c>
      <c r="R252" s="15" t="s">
        <v>43</v>
      </c>
      <c r="S252" s="15" t="s">
        <v>44</v>
      </c>
      <c r="T252" s="19" t="s">
        <v>202</v>
      </c>
      <c r="U252" s="15" t="s">
        <v>46</v>
      </c>
    </row>
    <row r="253" ht="56.25" customHeight="1">
      <c r="A253" s="23" t="s">
        <v>1357</v>
      </c>
      <c r="B253" s="32" t="str">
        <f>image("https://i.imgur.com/6YQQwVJ.png")</f>
        <v/>
      </c>
      <c r="C253" s="25" t="s">
        <v>40</v>
      </c>
      <c r="D253" s="25" t="s">
        <v>28</v>
      </c>
      <c r="E253" s="25" t="s">
        <v>28</v>
      </c>
      <c r="F253" s="24" t="s">
        <v>51</v>
      </c>
      <c r="G253" s="13">
        <v>5400.0</v>
      </c>
      <c r="H253" s="15">
        <v>7004.0</v>
      </c>
      <c r="I253" s="15"/>
      <c r="J253" s="15"/>
      <c r="K253" s="15"/>
      <c r="L253" s="15" t="s">
        <v>38</v>
      </c>
      <c r="M253" s="15"/>
      <c r="N253" s="15" t="s">
        <v>39</v>
      </c>
      <c r="O253" s="15" t="s">
        <v>40</v>
      </c>
      <c r="P253" s="15" t="s">
        <v>40</v>
      </c>
      <c r="Q253" s="15" t="s">
        <v>41</v>
      </c>
      <c r="R253" s="15" t="s">
        <v>54</v>
      </c>
      <c r="S253" s="15" t="s">
        <v>100</v>
      </c>
      <c r="T253" s="19" t="s">
        <v>101</v>
      </c>
      <c r="U253" s="15" t="s">
        <v>46</v>
      </c>
    </row>
    <row r="254" ht="56.25" customHeight="1">
      <c r="A254" s="23" t="s">
        <v>1359</v>
      </c>
      <c r="B254" s="23" t="str">
        <f>IMAGE("https://i.imgur.com/jcT2DmX.png")</f>
        <v/>
      </c>
      <c r="C254" s="25" t="s">
        <v>40</v>
      </c>
      <c r="D254" s="25" t="s">
        <v>28</v>
      </c>
      <c r="E254" s="25" t="s">
        <v>28</v>
      </c>
      <c r="F254" s="24" t="s">
        <v>51</v>
      </c>
      <c r="G254" s="13">
        <v>750.0</v>
      </c>
      <c r="H254" s="15">
        <v>7054.0</v>
      </c>
      <c r="I254" s="15"/>
      <c r="J254" s="15"/>
      <c r="K254" s="15"/>
      <c r="L254" s="15" t="s">
        <v>38</v>
      </c>
      <c r="M254" s="15"/>
      <c r="N254" s="15" t="s">
        <v>39</v>
      </c>
      <c r="O254" s="15" t="s">
        <v>40</v>
      </c>
      <c r="P254" s="15" t="s">
        <v>40</v>
      </c>
      <c r="Q254" s="15" t="s">
        <v>41</v>
      </c>
      <c r="R254" s="15" t="s">
        <v>54</v>
      </c>
      <c r="S254" s="15" t="s">
        <v>57</v>
      </c>
      <c r="T254" s="19" t="s">
        <v>58</v>
      </c>
      <c r="U254" s="15" t="s">
        <v>46</v>
      </c>
    </row>
    <row r="255" ht="56.25" customHeight="1">
      <c r="A255" s="13" t="s">
        <v>1361</v>
      </c>
      <c r="B255" s="15" t="str">
        <f>image("https://i.imgur.com/eMkB4Yc.png")</f>
        <v/>
      </c>
      <c r="C255" s="25" t="s">
        <v>40</v>
      </c>
      <c r="D255" s="15" t="s">
        <v>50</v>
      </c>
      <c r="E255" s="15" t="s">
        <v>28</v>
      </c>
      <c r="F255" s="13" t="s">
        <v>51</v>
      </c>
      <c r="G255" s="13">
        <v>4200.0</v>
      </c>
      <c r="H255" s="15">
        <v>3802.0</v>
      </c>
      <c r="I255" s="15" t="s">
        <v>161</v>
      </c>
      <c r="J255" s="15"/>
      <c r="K255" s="15"/>
      <c r="L255" s="15" t="s">
        <v>38</v>
      </c>
      <c r="M255" s="15"/>
      <c r="N255" s="15" t="s">
        <v>39</v>
      </c>
      <c r="O255" s="15" t="s">
        <v>40</v>
      </c>
      <c r="P255" s="15" t="s">
        <v>40</v>
      </c>
      <c r="Q255" s="15" t="s">
        <v>41</v>
      </c>
      <c r="R255" s="15" t="s">
        <v>54</v>
      </c>
      <c r="S255" s="15" t="s">
        <v>55</v>
      </c>
      <c r="T255" s="19" t="s">
        <v>1181</v>
      </c>
      <c r="U255" s="15" t="s">
        <v>46</v>
      </c>
    </row>
    <row r="256" ht="56.25" customHeight="1">
      <c r="A256" s="23" t="s">
        <v>1363</v>
      </c>
      <c r="B256" s="32" t="str">
        <f>image("https://i.imgur.com/lqMFKyR.png")</f>
        <v/>
      </c>
      <c r="C256" s="25" t="s">
        <v>40</v>
      </c>
      <c r="D256" s="25" t="s">
        <v>28</v>
      </c>
      <c r="E256" s="25" t="s">
        <v>28</v>
      </c>
      <c r="F256" s="24" t="s">
        <v>51</v>
      </c>
      <c r="G256" s="13">
        <v>7500.0</v>
      </c>
      <c r="H256" s="15">
        <v>7005.0</v>
      </c>
      <c r="I256" s="15"/>
      <c r="J256" s="15"/>
      <c r="K256" s="15"/>
      <c r="L256" s="15" t="s">
        <v>38</v>
      </c>
      <c r="M256" s="15"/>
      <c r="N256" s="15" t="s">
        <v>39</v>
      </c>
      <c r="O256" s="15" t="s">
        <v>40</v>
      </c>
      <c r="P256" s="15" t="s">
        <v>40</v>
      </c>
      <c r="Q256" s="15" t="s">
        <v>41</v>
      </c>
      <c r="R256" s="15" t="s">
        <v>54</v>
      </c>
      <c r="S256" s="15" t="s">
        <v>100</v>
      </c>
      <c r="T256" s="19" t="s">
        <v>101</v>
      </c>
      <c r="U256" s="15" t="s">
        <v>46</v>
      </c>
    </row>
    <row r="257" ht="56.25" customHeight="1">
      <c r="A257" s="13" t="s">
        <v>1365</v>
      </c>
      <c r="B257" s="15" t="str">
        <f>image("https://i.imgur.com/kVJBrpD.png")</f>
        <v/>
      </c>
      <c r="C257" s="25" t="s">
        <v>40</v>
      </c>
      <c r="D257" s="15" t="s">
        <v>28</v>
      </c>
      <c r="E257" s="15" t="s">
        <v>28</v>
      </c>
      <c r="F257" s="13">
        <v>2600.0</v>
      </c>
      <c r="G257" s="13">
        <v>650.0</v>
      </c>
      <c r="H257" s="15">
        <v>4105.0</v>
      </c>
      <c r="I257" s="15" t="s">
        <v>113</v>
      </c>
      <c r="J257" s="15" t="s">
        <v>60</v>
      </c>
      <c r="K257" s="15"/>
      <c r="L257" s="15" t="s">
        <v>38</v>
      </c>
      <c r="M257" s="15"/>
      <c r="N257" s="15" t="s">
        <v>39</v>
      </c>
      <c r="O257" s="15" t="s">
        <v>40</v>
      </c>
      <c r="P257" s="15" t="s">
        <v>53</v>
      </c>
      <c r="Q257" s="15" t="s">
        <v>41</v>
      </c>
      <c r="R257" s="15" t="s">
        <v>43</v>
      </c>
      <c r="S257" s="15" t="s">
        <v>44</v>
      </c>
      <c r="T257" s="19" t="s">
        <v>45</v>
      </c>
      <c r="U257" s="15" t="s">
        <v>46</v>
      </c>
    </row>
    <row r="258" ht="56.25" customHeight="1">
      <c r="A258" s="13" t="s">
        <v>1366</v>
      </c>
      <c r="B258" s="15" t="str">
        <f>image("https://i.imgur.com/H5oQ1h1.png")</f>
        <v/>
      </c>
      <c r="C258" s="17" t="str">
        <f>HYPERLINK("https://imgur.com/a/oR7eY5L","Yes")</f>
        <v>Yes</v>
      </c>
      <c r="D258" s="15" t="s">
        <v>28</v>
      </c>
      <c r="E258" s="15" t="s">
        <v>28</v>
      </c>
      <c r="F258" s="13">
        <v>630.0</v>
      </c>
      <c r="G258" s="13">
        <v>170.0</v>
      </c>
      <c r="H258" s="15">
        <v>1881.0</v>
      </c>
      <c r="I258" s="15" t="s">
        <v>243</v>
      </c>
      <c r="J258" s="15" t="s">
        <v>95</v>
      </c>
      <c r="K258" s="15"/>
      <c r="L258" s="15" t="s">
        <v>38</v>
      </c>
      <c r="M258" s="15">
        <v>1.0</v>
      </c>
      <c r="N258" s="15" t="s">
        <v>39</v>
      </c>
      <c r="O258" s="15" t="s">
        <v>40</v>
      </c>
      <c r="P258" s="15" t="s">
        <v>40</v>
      </c>
      <c r="Q258" s="15" t="s">
        <v>41</v>
      </c>
      <c r="R258" s="15" t="s">
        <v>43</v>
      </c>
      <c r="S258" s="15" t="s">
        <v>44</v>
      </c>
      <c r="T258" s="19" t="s">
        <v>202</v>
      </c>
      <c r="U258" s="15" t="s">
        <v>46</v>
      </c>
    </row>
    <row r="259" ht="56.25" customHeight="1">
      <c r="A259" s="13" t="s">
        <v>1368</v>
      </c>
      <c r="B259" s="15" t="str">
        <f>image("https://i.imgur.com/XadnhG1.png")</f>
        <v/>
      </c>
      <c r="C259" s="22" t="str">
        <f>HYPERLINK("https://imgur.com/a/v3oXf8Z","Yes")</f>
        <v>Yes</v>
      </c>
      <c r="D259" s="15" t="s">
        <v>28</v>
      </c>
      <c r="E259" s="36" t="s">
        <v>50</v>
      </c>
      <c r="F259" s="13">
        <v>1500.0</v>
      </c>
      <c r="G259" s="24">
        <v>375.0</v>
      </c>
      <c r="H259" s="15"/>
      <c r="I259" s="15"/>
      <c r="J259" s="15"/>
      <c r="K259" s="15"/>
      <c r="L259" s="15"/>
      <c r="M259" s="15"/>
      <c r="N259" s="15"/>
      <c r="O259" s="15"/>
      <c r="P259" s="15"/>
      <c r="Q259" s="15"/>
      <c r="R259" s="15" t="s">
        <v>496</v>
      </c>
      <c r="S259" s="15" t="s">
        <v>497</v>
      </c>
      <c r="T259" s="19"/>
      <c r="U259" s="15" t="s">
        <v>46</v>
      </c>
    </row>
    <row r="260" ht="56.25" customHeight="1">
      <c r="A260" s="13" t="s">
        <v>1370</v>
      </c>
      <c r="B260" s="15" t="str">
        <f>image("https://i.imgur.com/gNKcDVH.png")</f>
        <v/>
      </c>
      <c r="C260" s="22" t="str">
        <f>HYPERLINK("https://imgur.com/a/3nN4tPt","Yes")</f>
        <v>Yes</v>
      </c>
      <c r="D260" s="15" t="s">
        <v>28</v>
      </c>
      <c r="E260" s="36" t="s">
        <v>50</v>
      </c>
      <c r="F260" s="13">
        <v>1500.0</v>
      </c>
      <c r="G260" s="13">
        <v>375.0</v>
      </c>
      <c r="H260" s="15"/>
      <c r="I260" s="15"/>
      <c r="J260" s="15"/>
      <c r="K260" s="15"/>
      <c r="L260" s="15"/>
      <c r="M260" s="15"/>
      <c r="N260" s="15"/>
      <c r="O260" s="15"/>
      <c r="P260" s="15"/>
      <c r="Q260" s="15"/>
      <c r="R260" s="15" t="s">
        <v>496</v>
      </c>
      <c r="S260" s="15" t="s">
        <v>497</v>
      </c>
      <c r="T260" s="19"/>
      <c r="U260" s="15" t="s">
        <v>46</v>
      </c>
    </row>
    <row r="261" ht="56.25" customHeight="1">
      <c r="A261" s="23" t="s">
        <v>1372</v>
      </c>
      <c r="B261" s="32" t="str">
        <f>image("https://i.imgur.com/3JBFHkZ.png")</f>
        <v/>
      </c>
      <c r="C261" s="25" t="s">
        <v>40</v>
      </c>
      <c r="D261" s="25" t="s">
        <v>28</v>
      </c>
      <c r="E261" s="25" t="s">
        <v>28</v>
      </c>
      <c r="F261" s="24" t="s">
        <v>51</v>
      </c>
      <c r="G261" s="13">
        <v>1200.0</v>
      </c>
      <c r="H261" s="15">
        <v>7026.0</v>
      </c>
      <c r="I261" s="15"/>
      <c r="J261" s="15"/>
      <c r="K261" s="15"/>
      <c r="L261" s="15" t="s">
        <v>38</v>
      </c>
      <c r="M261" s="15"/>
      <c r="N261" s="15" t="s">
        <v>39</v>
      </c>
      <c r="O261" s="15" t="s">
        <v>40</v>
      </c>
      <c r="P261" s="15" t="s">
        <v>40</v>
      </c>
      <c r="Q261" s="15" t="s">
        <v>41</v>
      </c>
      <c r="R261" s="15" t="s">
        <v>54</v>
      </c>
      <c r="S261" s="15" t="s">
        <v>100</v>
      </c>
      <c r="T261" s="19" t="s">
        <v>101</v>
      </c>
      <c r="U261" s="15" t="s">
        <v>46</v>
      </c>
    </row>
    <row r="262" ht="56.25" customHeight="1">
      <c r="A262" s="23" t="s">
        <v>1374</v>
      </c>
      <c r="B262" s="23" t="str">
        <f>IMAGE("https://i.imgur.com/26iVjf2.png")</f>
        <v/>
      </c>
      <c r="C262" s="25" t="s">
        <v>40</v>
      </c>
      <c r="D262" s="25" t="s">
        <v>28</v>
      </c>
      <c r="E262" s="25" t="s">
        <v>28</v>
      </c>
      <c r="F262" s="24" t="s">
        <v>51</v>
      </c>
      <c r="G262" s="13">
        <v>390.0</v>
      </c>
      <c r="H262" s="15">
        <v>7052.0</v>
      </c>
      <c r="I262" s="15"/>
      <c r="J262" s="15"/>
      <c r="K262" s="15"/>
      <c r="L262" s="15" t="s">
        <v>38</v>
      </c>
      <c r="M262" s="15"/>
      <c r="N262" s="15" t="s">
        <v>39</v>
      </c>
      <c r="O262" s="15" t="s">
        <v>40</v>
      </c>
      <c r="P262" s="15" t="s">
        <v>40</v>
      </c>
      <c r="Q262" s="15" t="s">
        <v>41</v>
      </c>
      <c r="R262" s="15" t="s">
        <v>54</v>
      </c>
      <c r="S262" s="15" t="s">
        <v>57</v>
      </c>
      <c r="T262" s="19" t="s">
        <v>58</v>
      </c>
      <c r="U262" s="15" t="s">
        <v>46</v>
      </c>
    </row>
    <row r="263" ht="56.25" customHeight="1">
      <c r="A263" s="23" t="s">
        <v>1375</v>
      </c>
      <c r="B263" s="32" t="str">
        <f>image("https://i.imgur.com/u1LpB7I.png")</f>
        <v/>
      </c>
      <c r="C263" s="25" t="s">
        <v>40</v>
      </c>
      <c r="D263" s="25" t="s">
        <v>28</v>
      </c>
      <c r="E263" s="25" t="s">
        <v>28</v>
      </c>
      <c r="F263" s="24" t="s">
        <v>51</v>
      </c>
      <c r="G263" s="13">
        <v>3900.0</v>
      </c>
      <c r="H263" s="15">
        <v>6942.0</v>
      </c>
      <c r="I263" s="15"/>
      <c r="J263" s="15"/>
      <c r="K263" s="15"/>
      <c r="L263" s="15" t="s">
        <v>38</v>
      </c>
      <c r="M263" s="15"/>
      <c r="N263" s="15" t="s">
        <v>39</v>
      </c>
      <c r="O263" s="15" t="s">
        <v>40</v>
      </c>
      <c r="P263" s="15" t="s">
        <v>40</v>
      </c>
      <c r="Q263" s="15" t="s">
        <v>41</v>
      </c>
      <c r="R263" s="15" t="s">
        <v>54</v>
      </c>
      <c r="S263" s="15" t="s">
        <v>100</v>
      </c>
      <c r="T263" s="19" t="s">
        <v>101</v>
      </c>
      <c r="U263" s="15" t="s">
        <v>46</v>
      </c>
    </row>
    <row r="264" ht="56.25" customHeight="1">
      <c r="A264" s="13" t="s">
        <v>1377</v>
      </c>
      <c r="B264" s="15" t="str">
        <f>image("https://i.imgur.com/9bCRsLn.png")</f>
        <v/>
      </c>
      <c r="C264" s="17" t="str">
        <f>HYPERLINK("https://imgur.com/a/SJXiuZH","Yes")</f>
        <v>Yes</v>
      </c>
      <c r="D264" s="15" t="s">
        <v>28</v>
      </c>
      <c r="E264" s="15" t="s">
        <v>28</v>
      </c>
      <c r="F264" s="13">
        <v>2300.0</v>
      </c>
      <c r="G264" s="13">
        <v>575.0</v>
      </c>
      <c r="H264" s="15">
        <v>3282.0</v>
      </c>
      <c r="I264" s="15" t="s">
        <v>86</v>
      </c>
      <c r="J264" s="15" t="s">
        <v>37</v>
      </c>
      <c r="K264" s="15"/>
      <c r="L264" s="15" t="s">
        <v>38</v>
      </c>
      <c r="M264" s="15">
        <v>1.0</v>
      </c>
      <c r="N264" s="15" t="s">
        <v>39</v>
      </c>
      <c r="O264" s="15" t="s">
        <v>40</v>
      </c>
      <c r="P264" s="15" t="s">
        <v>53</v>
      </c>
      <c r="Q264" s="15" t="s">
        <v>41</v>
      </c>
      <c r="R264" s="15" t="s">
        <v>43</v>
      </c>
      <c r="S264" s="15" t="s">
        <v>44</v>
      </c>
      <c r="T264" s="19" t="s">
        <v>45</v>
      </c>
      <c r="U264" s="15" t="s">
        <v>46</v>
      </c>
    </row>
    <row r="265" ht="56.25" customHeight="1">
      <c r="A265" s="13" t="s">
        <v>1379</v>
      </c>
      <c r="B265" s="15" t="str">
        <f>image("https://i.imgur.com/Fhrnx1h.png")</f>
        <v/>
      </c>
      <c r="C265" s="17" t="str">
        <f>HYPERLINK("https://imgur.com/a/G4REd0R","Yes")</f>
        <v>Yes</v>
      </c>
      <c r="D265" s="15" t="s">
        <v>28</v>
      </c>
      <c r="E265" s="15" t="s">
        <v>28</v>
      </c>
      <c r="F265" s="13">
        <v>1500.0</v>
      </c>
      <c r="G265" s="13">
        <v>375.0</v>
      </c>
      <c r="H265" s="15">
        <v>3697.0</v>
      </c>
      <c r="I265" s="15" t="s">
        <v>338</v>
      </c>
      <c r="J265" s="15"/>
      <c r="K265" s="15"/>
      <c r="L265" s="15" t="s">
        <v>38</v>
      </c>
      <c r="M265" s="15">
        <v>1.0</v>
      </c>
      <c r="N265" s="15" t="s">
        <v>39</v>
      </c>
      <c r="O265" s="15" t="s">
        <v>40</v>
      </c>
      <c r="P265" s="15" t="s">
        <v>53</v>
      </c>
      <c r="Q265" s="15" t="s">
        <v>41</v>
      </c>
      <c r="R265" s="15" t="s">
        <v>43</v>
      </c>
      <c r="S265" s="15" t="s">
        <v>608</v>
      </c>
      <c r="T265" s="19"/>
      <c r="U265" s="15" t="s">
        <v>46</v>
      </c>
    </row>
    <row r="266" ht="56.25" customHeight="1">
      <c r="A266" s="13" t="s">
        <v>1381</v>
      </c>
      <c r="B266" s="15" t="str">
        <f>image("https://i.imgur.com/iAu4U92.png")</f>
        <v/>
      </c>
      <c r="C266" s="17" t="str">
        <f>HYPERLINK("https://imgur.com/a/qotG9bf","Yes")</f>
        <v>Yes</v>
      </c>
      <c r="D266" s="15" t="s">
        <v>28</v>
      </c>
      <c r="E266" s="15" t="s">
        <v>28</v>
      </c>
      <c r="F266" s="13">
        <v>4000.0</v>
      </c>
      <c r="G266" s="13">
        <v>1000.0</v>
      </c>
      <c r="H266" s="15">
        <v>4338.0</v>
      </c>
      <c r="I266" s="15" t="s">
        <v>37</v>
      </c>
      <c r="J266" s="15" t="s">
        <v>60</v>
      </c>
      <c r="K266" s="15"/>
      <c r="L266" s="15" t="s">
        <v>38</v>
      </c>
      <c r="M266" s="15">
        <v>2.0</v>
      </c>
      <c r="N266" s="15" t="s">
        <v>371</v>
      </c>
      <c r="O266" s="15" t="s">
        <v>40</v>
      </c>
      <c r="P266" s="15" t="s">
        <v>53</v>
      </c>
      <c r="Q266" s="15" t="s">
        <v>41</v>
      </c>
      <c r="R266" s="15" t="s">
        <v>43</v>
      </c>
      <c r="S266" s="15" t="s">
        <v>44</v>
      </c>
      <c r="T266" s="19" t="s">
        <v>45</v>
      </c>
      <c r="U266" s="15" t="s">
        <v>46</v>
      </c>
    </row>
    <row r="267" ht="56.25" customHeight="1">
      <c r="A267" s="13" t="s">
        <v>1383</v>
      </c>
      <c r="B267" s="15" t="str">
        <f>image("https://i.imgur.com/JwdtZMY.png")</f>
        <v/>
      </c>
      <c r="C267" s="17" t="str">
        <f>HYPERLINK("https://imgur.com/a/TGVN69N","Yes")</f>
        <v>Yes</v>
      </c>
      <c r="D267" s="15" t="s">
        <v>50</v>
      </c>
      <c r="E267" s="15" t="s">
        <v>50</v>
      </c>
      <c r="F267" s="13" t="s">
        <v>51</v>
      </c>
      <c r="G267" s="13">
        <v>1000.0</v>
      </c>
      <c r="H267" s="15">
        <v>2559.0</v>
      </c>
      <c r="I267" s="15" t="s">
        <v>161</v>
      </c>
      <c r="J267" s="15" t="s">
        <v>243</v>
      </c>
      <c r="K267" s="15"/>
      <c r="L267" s="15" t="s">
        <v>38</v>
      </c>
      <c r="M267" s="15">
        <v>2.0</v>
      </c>
      <c r="N267" s="15" t="s">
        <v>39</v>
      </c>
      <c r="O267" s="15" t="s">
        <v>40</v>
      </c>
      <c r="P267" s="15" t="s">
        <v>40</v>
      </c>
      <c r="Q267" s="15" t="s">
        <v>41</v>
      </c>
      <c r="R267" s="15" t="s">
        <v>54</v>
      </c>
      <c r="S267" s="15" t="s">
        <v>55</v>
      </c>
      <c r="T267" s="19"/>
      <c r="U267" s="15" t="s">
        <v>46</v>
      </c>
    </row>
    <row r="268" ht="56.25" customHeight="1">
      <c r="A268" s="13" t="s">
        <v>1386</v>
      </c>
      <c r="B268" s="15" t="str">
        <f>image("https://i.imgur.com/ndsjurz.png")</f>
        <v/>
      </c>
      <c r="C268" s="17" t="str">
        <f>HYPERLINK("https://imgur.com/a/4WbbDOn","Yes")</f>
        <v>Yes</v>
      </c>
      <c r="D268" s="15" t="s">
        <v>28</v>
      </c>
      <c r="E268" s="15" t="s">
        <v>28</v>
      </c>
      <c r="F268" s="13">
        <v>5400.0</v>
      </c>
      <c r="G268" s="13">
        <v>1350.0</v>
      </c>
      <c r="H268" s="15">
        <v>3822.0</v>
      </c>
      <c r="I268" s="15" t="s">
        <v>60</v>
      </c>
      <c r="J268" s="15" t="s">
        <v>90</v>
      </c>
      <c r="K268" s="15"/>
      <c r="L268" s="15" t="s">
        <v>38</v>
      </c>
      <c r="M268" s="15">
        <v>2.0</v>
      </c>
      <c r="N268" s="15" t="s">
        <v>339</v>
      </c>
      <c r="O268" s="15" t="s">
        <v>40</v>
      </c>
      <c r="P268" s="15" t="s">
        <v>53</v>
      </c>
      <c r="Q268" s="15" t="s">
        <v>41</v>
      </c>
      <c r="R268" s="15" t="s">
        <v>43</v>
      </c>
      <c r="S268" s="15" t="s">
        <v>44</v>
      </c>
      <c r="T268" s="19" t="s">
        <v>45</v>
      </c>
      <c r="U268" s="15" t="s">
        <v>46</v>
      </c>
    </row>
    <row r="269" ht="56.25" customHeight="1">
      <c r="A269" s="13" t="s">
        <v>1387</v>
      </c>
      <c r="B269" s="15" t="str">
        <f>image("https://i.imgur.com/5NbDlIX.png")</f>
        <v/>
      </c>
      <c r="C269" s="17" t="str">
        <f>HYPERLINK("https://imgur.com/a/9dwknQp","Yes")</f>
        <v>Yes</v>
      </c>
      <c r="D269" s="15" t="s">
        <v>28</v>
      </c>
      <c r="E269" s="15" t="s">
        <v>28</v>
      </c>
      <c r="F269" s="13">
        <v>1400.0</v>
      </c>
      <c r="G269" s="13">
        <v>350.0</v>
      </c>
      <c r="H269" s="15">
        <v>7800.0</v>
      </c>
      <c r="I269" s="15" t="s">
        <v>86</v>
      </c>
      <c r="J269" s="15" t="s">
        <v>156</v>
      </c>
      <c r="K269" s="15"/>
      <c r="L269" s="15" t="s">
        <v>38</v>
      </c>
      <c r="M269" s="15">
        <v>1.0</v>
      </c>
      <c r="N269" s="15" t="s">
        <v>39</v>
      </c>
      <c r="O269" s="15" t="s">
        <v>40</v>
      </c>
      <c r="P269" s="15" t="s">
        <v>40</v>
      </c>
      <c r="Q269" s="15" t="s">
        <v>41</v>
      </c>
      <c r="R269" s="15" t="s">
        <v>43</v>
      </c>
      <c r="S269" s="15" t="s">
        <v>44</v>
      </c>
      <c r="T269" s="19" t="s">
        <v>45</v>
      </c>
      <c r="U269" s="15" t="s">
        <v>46</v>
      </c>
    </row>
    <row r="270" ht="56.25" customHeight="1">
      <c r="A270" s="23" t="s">
        <v>1389</v>
      </c>
      <c r="B270" s="32" t="str">
        <f>image("https://i.imgur.com/NYglUck.png")</f>
        <v/>
      </c>
      <c r="C270" s="25" t="s">
        <v>40</v>
      </c>
      <c r="D270" s="25" t="s">
        <v>28</v>
      </c>
      <c r="E270" s="25" t="s">
        <v>28</v>
      </c>
      <c r="F270" s="24" t="s">
        <v>51</v>
      </c>
      <c r="G270" s="13">
        <v>750.0</v>
      </c>
      <c r="H270" s="15">
        <v>6956.0</v>
      </c>
      <c r="I270" s="15"/>
      <c r="J270" s="15"/>
      <c r="K270" s="15"/>
      <c r="L270" s="15" t="s">
        <v>38</v>
      </c>
      <c r="M270" s="15"/>
      <c r="N270" s="15" t="s">
        <v>39</v>
      </c>
      <c r="O270" s="15" t="s">
        <v>40</v>
      </c>
      <c r="P270" s="15" t="s">
        <v>40</v>
      </c>
      <c r="Q270" s="15" t="s">
        <v>41</v>
      </c>
      <c r="R270" s="15" t="s">
        <v>54</v>
      </c>
      <c r="S270" s="15" t="s">
        <v>100</v>
      </c>
      <c r="T270" s="19" t="s">
        <v>101</v>
      </c>
      <c r="U270" s="15" t="s">
        <v>46</v>
      </c>
    </row>
    <row r="271" ht="56.25" customHeight="1">
      <c r="A271" s="23" t="s">
        <v>1391</v>
      </c>
      <c r="B271" s="23" t="str">
        <f>IMAGE("https://i.imgur.com/gbOaqzj.png")</f>
        <v/>
      </c>
      <c r="C271" s="25" t="s">
        <v>40</v>
      </c>
      <c r="D271" s="25" t="s">
        <v>28</v>
      </c>
      <c r="E271" s="25" t="s">
        <v>28</v>
      </c>
      <c r="F271" s="24" t="s">
        <v>51</v>
      </c>
      <c r="G271" s="13">
        <v>12000.0</v>
      </c>
      <c r="H271" s="15"/>
      <c r="I271" s="15"/>
      <c r="J271" s="15"/>
      <c r="K271" s="15"/>
      <c r="L271" s="15" t="s">
        <v>38</v>
      </c>
      <c r="M271" s="15"/>
      <c r="N271" s="15" t="s">
        <v>39</v>
      </c>
      <c r="O271" s="15" t="s">
        <v>40</v>
      </c>
      <c r="P271" s="15" t="s">
        <v>40</v>
      </c>
      <c r="Q271" s="15" t="s">
        <v>41</v>
      </c>
      <c r="R271" s="15" t="s">
        <v>54</v>
      </c>
      <c r="S271" s="15" t="s">
        <v>57</v>
      </c>
      <c r="T271" s="19" t="s">
        <v>58</v>
      </c>
      <c r="U271" s="15" t="s">
        <v>46</v>
      </c>
    </row>
    <row r="272" ht="56.25" customHeight="1">
      <c r="A272" s="23" t="s">
        <v>1393</v>
      </c>
      <c r="B272" s="23" t="str">
        <f>IMAGE("https://i.imgur.com/JYUw2cg.png")</f>
        <v/>
      </c>
      <c r="C272" s="25" t="s">
        <v>40</v>
      </c>
      <c r="D272" s="25" t="s">
        <v>28</v>
      </c>
      <c r="E272" s="25" t="s">
        <v>28</v>
      </c>
      <c r="F272" s="24" t="s">
        <v>51</v>
      </c>
      <c r="G272" s="13">
        <v>18000.0</v>
      </c>
      <c r="H272" s="15">
        <v>7088.0</v>
      </c>
      <c r="I272" s="15"/>
      <c r="J272" s="15"/>
      <c r="K272" s="15"/>
      <c r="L272" s="15" t="s">
        <v>38</v>
      </c>
      <c r="M272" s="15"/>
      <c r="N272" s="15" t="s">
        <v>39</v>
      </c>
      <c r="O272" s="15" t="s">
        <v>40</v>
      </c>
      <c r="P272" s="15" t="s">
        <v>40</v>
      </c>
      <c r="Q272" s="15" t="s">
        <v>41</v>
      </c>
      <c r="R272" s="15" t="s">
        <v>54</v>
      </c>
      <c r="S272" s="15" t="s">
        <v>57</v>
      </c>
      <c r="T272" s="19" t="s">
        <v>58</v>
      </c>
      <c r="U272" s="15" t="s">
        <v>46</v>
      </c>
    </row>
    <row r="273" ht="56.25" customHeight="1">
      <c r="A273" s="23" t="s">
        <v>1395</v>
      </c>
      <c r="B273" s="32" t="str">
        <f>image("https://i.imgur.com/YU7DNjK.png")</f>
        <v/>
      </c>
      <c r="C273" s="25" t="s">
        <v>40</v>
      </c>
      <c r="D273" s="25" t="s">
        <v>28</v>
      </c>
      <c r="E273" s="25" t="s">
        <v>28</v>
      </c>
      <c r="F273" s="24" t="s">
        <v>51</v>
      </c>
      <c r="G273" s="13">
        <v>2400.0</v>
      </c>
      <c r="H273" s="15">
        <v>7008.0</v>
      </c>
      <c r="I273" s="15"/>
      <c r="J273" s="15"/>
      <c r="K273" s="15"/>
      <c r="L273" s="15" t="s">
        <v>38</v>
      </c>
      <c r="M273" s="15"/>
      <c r="N273" s="15" t="s">
        <v>39</v>
      </c>
      <c r="O273" s="15" t="s">
        <v>40</v>
      </c>
      <c r="P273" s="15" t="s">
        <v>40</v>
      </c>
      <c r="Q273" s="15" t="s">
        <v>41</v>
      </c>
      <c r="R273" s="15" t="s">
        <v>54</v>
      </c>
      <c r="S273" s="15" t="s">
        <v>100</v>
      </c>
      <c r="T273" s="19" t="s">
        <v>101</v>
      </c>
      <c r="U273" s="15" t="s">
        <v>46</v>
      </c>
    </row>
    <row r="274" ht="56.25" customHeight="1">
      <c r="A274" s="23" t="s">
        <v>1396</v>
      </c>
      <c r="B274" s="23" t="str">
        <f>IMAGE("https://i.imgur.com/JM8Qawf.png")</f>
        <v/>
      </c>
      <c r="C274" s="25" t="s">
        <v>40</v>
      </c>
      <c r="D274" s="25" t="s">
        <v>28</v>
      </c>
      <c r="E274" s="25" t="s">
        <v>28</v>
      </c>
      <c r="F274" s="24" t="s">
        <v>51</v>
      </c>
      <c r="G274" s="13">
        <v>7500.0</v>
      </c>
      <c r="H274" s="15"/>
      <c r="I274" s="15"/>
      <c r="J274" s="15"/>
      <c r="K274" s="15"/>
      <c r="L274" s="15" t="s">
        <v>38</v>
      </c>
      <c r="M274" s="15"/>
      <c r="N274" s="15" t="s">
        <v>39</v>
      </c>
      <c r="O274" s="15" t="s">
        <v>40</v>
      </c>
      <c r="P274" s="15" t="s">
        <v>40</v>
      </c>
      <c r="Q274" s="15" t="s">
        <v>41</v>
      </c>
      <c r="R274" s="15" t="s">
        <v>54</v>
      </c>
      <c r="S274" s="15" t="s">
        <v>57</v>
      </c>
      <c r="T274" s="19" t="s">
        <v>58</v>
      </c>
      <c r="U274" s="15" t="s">
        <v>46</v>
      </c>
    </row>
    <row r="275" ht="56.25" customHeight="1">
      <c r="A275" s="23" t="s">
        <v>1398</v>
      </c>
      <c r="B275" s="32" t="str">
        <f>image("https://i.imgur.com/dE1pyCL.png")</f>
        <v/>
      </c>
      <c r="C275" s="25" t="s">
        <v>40</v>
      </c>
      <c r="D275" s="25" t="s">
        <v>28</v>
      </c>
      <c r="E275" s="25" t="s">
        <v>28</v>
      </c>
      <c r="F275" s="24" t="s">
        <v>51</v>
      </c>
      <c r="G275" s="13">
        <v>13500.0</v>
      </c>
      <c r="H275" s="15">
        <v>7009.0</v>
      </c>
      <c r="I275" s="15"/>
      <c r="J275" s="15"/>
      <c r="K275" s="15"/>
      <c r="L275" s="15" t="s">
        <v>38</v>
      </c>
      <c r="M275" s="15"/>
      <c r="N275" s="15" t="s">
        <v>39</v>
      </c>
      <c r="O275" s="15" t="s">
        <v>40</v>
      </c>
      <c r="P275" s="15" t="s">
        <v>40</v>
      </c>
      <c r="Q275" s="15" t="s">
        <v>41</v>
      </c>
      <c r="R275" s="15" t="s">
        <v>54</v>
      </c>
      <c r="S275" s="15" t="s">
        <v>100</v>
      </c>
      <c r="T275" s="19" t="s">
        <v>101</v>
      </c>
      <c r="U275" s="15" t="s">
        <v>46</v>
      </c>
    </row>
    <row r="276" ht="56.25" customHeight="1">
      <c r="A276" s="13" t="s">
        <v>1400</v>
      </c>
      <c r="B276" s="15" t="str">
        <f>image("https://i.imgur.com/qMJlN76.png")</f>
        <v/>
      </c>
      <c r="C276" s="17" t="str">
        <f>HYPERLINK("https://imgur.com/a/GvfeHzP","Yes")</f>
        <v>Yes</v>
      </c>
      <c r="D276" s="15" t="s">
        <v>28</v>
      </c>
      <c r="E276" s="15" t="s">
        <v>28</v>
      </c>
      <c r="F276" s="13">
        <v>1500.0</v>
      </c>
      <c r="G276" s="13">
        <v>375.0</v>
      </c>
      <c r="H276" s="15">
        <v>4050.0</v>
      </c>
      <c r="I276" s="15" t="s">
        <v>60</v>
      </c>
      <c r="J276" s="15"/>
      <c r="K276" s="15" t="s">
        <v>1401</v>
      </c>
      <c r="L276" s="15" t="s">
        <v>38</v>
      </c>
      <c r="M276" s="15">
        <v>1.0</v>
      </c>
      <c r="N276" s="15" t="s">
        <v>39</v>
      </c>
      <c r="O276" s="15" t="s">
        <v>40</v>
      </c>
      <c r="P276" s="15" t="s">
        <v>53</v>
      </c>
      <c r="Q276" s="15" t="s">
        <v>186</v>
      </c>
      <c r="R276" s="15" t="s">
        <v>43</v>
      </c>
      <c r="S276" s="15" t="s">
        <v>44</v>
      </c>
      <c r="T276" s="19" t="s">
        <v>68</v>
      </c>
      <c r="U276" s="15" t="s">
        <v>46</v>
      </c>
    </row>
    <row r="277" ht="56.25" customHeight="1">
      <c r="A277" s="13" t="s">
        <v>1403</v>
      </c>
      <c r="B277" s="15" t="str">
        <f>image("https://i.imgur.com/KBB5S3U.png")</f>
        <v/>
      </c>
      <c r="C277" s="17" t="str">
        <f>HYPERLINK("https://imgur.com/a/KAuibji","Yes")</f>
        <v>Yes</v>
      </c>
      <c r="D277" s="15" t="s">
        <v>28</v>
      </c>
      <c r="E277" s="15" t="s">
        <v>28</v>
      </c>
      <c r="F277" s="13">
        <v>1800.0</v>
      </c>
      <c r="G277" s="13">
        <v>450.0</v>
      </c>
      <c r="H277" s="15">
        <v>4048.0</v>
      </c>
      <c r="I277" s="15" t="s">
        <v>183</v>
      </c>
      <c r="J277" s="15" t="s">
        <v>60</v>
      </c>
      <c r="K277" s="15" t="s">
        <v>1401</v>
      </c>
      <c r="L277" s="15" t="s">
        <v>38</v>
      </c>
      <c r="M277" s="15">
        <v>1.0</v>
      </c>
      <c r="N277" s="15" t="s">
        <v>39</v>
      </c>
      <c r="O277" s="15" t="s">
        <v>40</v>
      </c>
      <c r="P277" s="15" t="s">
        <v>40</v>
      </c>
      <c r="Q277" s="15" t="s">
        <v>41</v>
      </c>
      <c r="R277" s="15" t="s">
        <v>43</v>
      </c>
      <c r="S277" s="15" t="s">
        <v>44</v>
      </c>
      <c r="T277" s="19" t="s">
        <v>68</v>
      </c>
      <c r="U277" s="15" t="s">
        <v>46</v>
      </c>
    </row>
    <row r="278" ht="56.25" customHeight="1">
      <c r="A278" s="23" t="s">
        <v>1405</v>
      </c>
      <c r="B278" s="32" t="str">
        <f>image("https://i.imgur.com/bfWFbd6.png")</f>
        <v/>
      </c>
      <c r="C278" s="25" t="s">
        <v>40</v>
      </c>
      <c r="D278" s="25" t="s">
        <v>28</v>
      </c>
      <c r="E278" s="25" t="s">
        <v>28</v>
      </c>
      <c r="F278" s="24" t="s">
        <v>51</v>
      </c>
      <c r="G278" s="13">
        <v>9000.0</v>
      </c>
      <c r="H278" s="15">
        <v>6949.0</v>
      </c>
      <c r="I278" s="15"/>
      <c r="J278" s="15"/>
      <c r="K278" s="15"/>
      <c r="L278" s="15" t="s">
        <v>38</v>
      </c>
      <c r="M278" s="15"/>
      <c r="N278" s="15" t="s">
        <v>39</v>
      </c>
      <c r="O278" s="15" t="s">
        <v>40</v>
      </c>
      <c r="P278" s="15" t="s">
        <v>40</v>
      </c>
      <c r="Q278" s="15" t="s">
        <v>41</v>
      </c>
      <c r="R278" s="15" t="s">
        <v>54</v>
      </c>
      <c r="S278" s="15" t="s">
        <v>100</v>
      </c>
      <c r="T278" s="19" t="s">
        <v>101</v>
      </c>
      <c r="U278" s="15" t="s">
        <v>46</v>
      </c>
    </row>
    <row r="279" ht="56.25" customHeight="1">
      <c r="A279" s="13" t="s">
        <v>1407</v>
      </c>
      <c r="B279" s="15" t="str">
        <f>image("https://i.imgur.com/52n6AsB.png")</f>
        <v/>
      </c>
      <c r="C279" s="17" t="str">
        <f>HYPERLINK("https://imgur.com/a/utbv4Ux","Yes")</f>
        <v>Yes</v>
      </c>
      <c r="D279" s="15" t="s">
        <v>28</v>
      </c>
      <c r="E279" s="15" t="s">
        <v>28</v>
      </c>
      <c r="F279" s="13">
        <v>2600.0</v>
      </c>
      <c r="G279" s="13">
        <v>650.0</v>
      </c>
      <c r="H279" s="15">
        <v>8096.0</v>
      </c>
      <c r="I279" s="15" t="s">
        <v>67</v>
      </c>
      <c r="J279" s="15" t="s">
        <v>60</v>
      </c>
      <c r="K279" s="15"/>
      <c r="L279" s="15" t="s">
        <v>38</v>
      </c>
      <c r="M279" s="15">
        <v>1.0</v>
      </c>
      <c r="N279" s="15" t="s">
        <v>39</v>
      </c>
      <c r="O279" s="15" t="s">
        <v>40</v>
      </c>
      <c r="P279" s="15" t="s">
        <v>40</v>
      </c>
      <c r="Q279" s="15" t="s">
        <v>41</v>
      </c>
      <c r="R279" s="15" t="s">
        <v>43</v>
      </c>
      <c r="S279" s="15" t="s">
        <v>44</v>
      </c>
      <c r="T279" s="19" t="s">
        <v>45</v>
      </c>
      <c r="U279" s="15" t="s">
        <v>46</v>
      </c>
    </row>
    <row r="280" ht="56.25" customHeight="1">
      <c r="A280" s="13" t="s">
        <v>1409</v>
      </c>
      <c r="B280" s="15" t="str">
        <f>image("https://i.imgur.com/t58opo6.png")</f>
        <v/>
      </c>
      <c r="C280" s="17" t="str">
        <f>HYPERLINK("https://imgur.com/a/q2iolzq","Yes")</f>
        <v>Yes</v>
      </c>
      <c r="D280" s="15" t="s">
        <v>50</v>
      </c>
      <c r="E280" s="15" t="s">
        <v>50</v>
      </c>
      <c r="F280" s="13" t="s">
        <v>51</v>
      </c>
      <c r="G280" s="13">
        <v>890.0</v>
      </c>
      <c r="H280" s="15">
        <v>7045.0</v>
      </c>
      <c r="I280" s="15" t="s">
        <v>67</v>
      </c>
      <c r="J280" s="15"/>
      <c r="K280" s="15"/>
      <c r="L280" s="15" t="s">
        <v>38</v>
      </c>
      <c r="M280" s="15">
        <v>2.0</v>
      </c>
      <c r="N280" s="15" t="s">
        <v>39</v>
      </c>
      <c r="O280" s="15" t="s">
        <v>40</v>
      </c>
      <c r="P280" s="15" t="s">
        <v>53</v>
      </c>
      <c r="Q280" s="15" t="s">
        <v>41</v>
      </c>
      <c r="R280" s="15" t="s">
        <v>54</v>
      </c>
      <c r="S280" s="15" t="s">
        <v>55</v>
      </c>
      <c r="T280" s="19"/>
      <c r="U280" s="15" t="s">
        <v>46</v>
      </c>
    </row>
    <row r="281" ht="56.25" customHeight="1">
      <c r="A281" s="23" t="s">
        <v>1411</v>
      </c>
      <c r="B281" s="23" t="str">
        <f>IMAGE("https://i.imgur.com/ifNWZqv.png")</f>
        <v/>
      </c>
      <c r="C281" s="25" t="s">
        <v>40</v>
      </c>
      <c r="D281" s="25" t="s">
        <v>28</v>
      </c>
      <c r="E281" s="25" t="s">
        <v>28</v>
      </c>
      <c r="F281" s="24" t="s">
        <v>51</v>
      </c>
      <c r="G281" s="13">
        <v>540.0</v>
      </c>
      <c r="H281" s="15">
        <v>7050.0</v>
      </c>
      <c r="I281" s="15"/>
      <c r="J281" s="15"/>
      <c r="K281" s="15"/>
      <c r="L281" s="15" t="s">
        <v>38</v>
      </c>
      <c r="M281" s="15"/>
      <c r="N281" s="15" t="s">
        <v>39</v>
      </c>
      <c r="O281" s="15" t="s">
        <v>40</v>
      </c>
      <c r="P281" s="15" t="s">
        <v>40</v>
      </c>
      <c r="Q281" s="15" t="s">
        <v>41</v>
      </c>
      <c r="R281" s="15" t="s">
        <v>54</v>
      </c>
      <c r="S281" s="15" t="s">
        <v>57</v>
      </c>
      <c r="T281" s="19" t="s">
        <v>58</v>
      </c>
      <c r="U281" s="15" t="s">
        <v>46</v>
      </c>
    </row>
    <row r="282" ht="56.25" customHeight="1">
      <c r="A282" s="23" t="s">
        <v>1413</v>
      </c>
      <c r="B282" s="32" t="str">
        <f>image("https://i.imgur.com/P7wU87x.png")</f>
        <v/>
      </c>
      <c r="C282" s="25" t="s">
        <v>40</v>
      </c>
      <c r="D282" s="25" t="s">
        <v>28</v>
      </c>
      <c r="E282" s="25" t="s">
        <v>28</v>
      </c>
      <c r="F282" s="24" t="s">
        <v>51</v>
      </c>
      <c r="G282" s="13">
        <v>9000.0</v>
      </c>
      <c r="H282" s="15">
        <v>7020.0</v>
      </c>
      <c r="I282" s="15"/>
      <c r="J282" s="15"/>
      <c r="K282" s="15"/>
      <c r="L282" s="15" t="s">
        <v>38</v>
      </c>
      <c r="M282" s="15"/>
      <c r="N282" s="15" t="s">
        <v>39</v>
      </c>
      <c r="O282" s="15" t="s">
        <v>40</v>
      </c>
      <c r="P282" s="15" t="s">
        <v>40</v>
      </c>
      <c r="Q282" s="15" t="s">
        <v>41</v>
      </c>
      <c r="R282" s="15" t="s">
        <v>54</v>
      </c>
      <c r="S282" s="15" t="s">
        <v>100</v>
      </c>
      <c r="T282" s="19" t="s">
        <v>101</v>
      </c>
      <c r="U282" s="15" t="s">
        <v>46</v>
      </c>
    </row>
    <row r="283" ht="56.25" customHeight="1">
      <c r="A283" s="13" t="s">
        <v>1415</v>
      </c>
      <c r="B283" s="15" t="str">
        <f>image("https://i.imgur.com/gnQUYOP.png")</f>
        <v/>
      </c>
      <c r="C283" s="17" t="str">
        <f>HYPERLINK("https://imgur.com/a/dupbFk0","Yes")</f>
        <v>Yes</v>
      </c>
      <c r="D283" s="15" t="s">
        <v>28</v>
      </c>
      <c r="E283" s="15" t="s">
        <v>28</v>
      </c>
      <c r="F283" s="13">
        <v>1400.0</v>
      </c>
      <c r="G283" s="13">
        <v>350.0</v>
      </c>
      <c r="H283" s="15">
        <v>1125.0</v>
      </c>
      <c r="I283" s="15" t="s">
        <v>86</v>
      </c>
      <c r="J283" s="15" t="s">
        <v>37</v>
      </c>
      <c r="K283" s="15"/>
      <c r="L283" s="15" t="s">
        <v>38</v>
      </c>
      <c r="M283" s="15">
        <v>1.0</v>
      </c>
      <c r="N283" s="15" t="s">
        <v>39</v>
      </c>
      <c r="O283" s="15" t="s">
        <v>40</v>
      </c>
      <c r="P283" s="15" t="s">
        <v>40</v>
      </c>
      <c r="Q283" s="15" t="s">
        <v>41</v>
      </c>
      <c r="R283" s="15" t="s">
        <v>43</v>
      </c>
      <c r="S283" s="15" t="s">
        <v>44</v>
      </c>
      <c r="T283" s="19" t="s">
        <v>45</v>
      </c>
      <c r="U283" s="15" t="s">
        <v>46</v>
      </c>
    </row>
    <row r="284" ht="56.25" customHeight="1">
      <c r="A284" s="23" t="s">
        <v>1417</v>
      </c>
      <c r="B284" s="32" t="str">
        <f>image("https://i.imgur.com/4WaKkdB.png")</f>
        <v/>
      </c>
      <c r="C284" s="25" t="s">
        <v>40</v>
      </c>
      <c r="D284" s="25" t="s">
        <v>28</v>
      </c>
      <c r="E284" s="25" t="s">
        <v>28</v>
      </c>
      <c r="F284" s="24" t="s">
        <v>51</v>
      </c>
      <c r="G284" s="13">
        <v>1800.0</v>
      </c>
      <c r="H284" s="15">
        <v>6955.0</v>
      </c>
      <c r="I284" s="15"/>
      <c r="J284" s="15"/>
      <c r="K284" s="15"/>
      <c r="L284" s="15" t="s">
        <v>38</v>
      </c>
      <c r="M284" s="15"/>
      <c r="N284" s="15" t="s">
        <v>39</v>
      </c>
      <c r="O284" s="15" t="s">
        <v>40</v>
      </c>
      <c r="P284" s="15" t="s">
        <v>40</v>
      </c>
      <c r="Q284" s="15" t="s">
        <v>41</v>
      </c>
      <c r="R284" s="15" t="s">
        <v>54</v>
      </c>
      <c r="S284" s="15" t="s">
        <v>100</v>
      </c>
      <c r="T284" s="19" t="s">
        <v>101</v>
      </c>
      <c r="U284" s="15" t="s">
        <v>46</v>
      </c>
    </row>
    <row r="285" ht="56.25" customHeight="1">
      <c r="A285" s="13" t="s">
        <v>1418</v>
      </c>
      <c r="B285" s="15" t="str">
        <f>image("https://i.imgur.com/AnE5HK2.png")</f>
        <v/>
      </c>
      <c r="C285" s="17" t="str">
        <f>HYPERLINK("https://imgur.com/a/TEhFS8L","Yes")</f>
        <v>Yes</v>
      </c>
      <c r="D285" s="15" t="s">
        <v>28</v>
      </c>
      <c r="E285" s="15" t="s">
        <v>28</v>
      </c>
      <c r="F285" s="13">
        <v>2500.0</v>
      </c>
      <c r="G285" s="13">
        <v>625.0</v>
      </c>
      <c r="H285" s="15">
        <v>1888.0</v>
      </c>
      <c r="I285" s="15" t="s">
        <v>86</v>
      </c>
      <c r="J285" s="15" t="s">
        <v>37</v>
      </c>
      <c r="K285" s="15"/>
      <c r="L285" s="15" t="s">
        <v>38</v>
      </c>
      <c r="M285" s="15">
        <v>1.0</v>
      </c>
      <c r="N285" s="15" t="s">
        <v>39</v>
      </c>
      <c r="O285" s="15" t="s">
        <v>40</v>
      </c>
      <c r="P285" s="15" t="s">
        <v>53</v>
      </c>
      <c r="Q285" s="15" t="s">
        <v>41</v>
      </c>
      <c r="R285" s="15" t="s">
        <v>43</v>
      </c>
      <c r="S285" s="15" t="s">
        <v>44</v>
      </c>
      <c r="T285" s="19" t="s">
        <v>45</v>
      </c>
      <c r="U285" s="15" t="s">
        <v>46</v>
      </c>
    </row>
    <row r="286" ht="56.25" customHeight="1">
      <c r="A286" s="23" t="s">
        <v>1420</v>
      </c>
      <c r="B286" s="23" t="str">
        <f>IMAGE("https://i.imgur.com/cRklaG4.png")</f>
        <v/>
      </c>
      <c r="C286" s="25" t="s">
        <v>40</v>
      </c>
      <c r="D286" s="25" t="s">
        <v>28</v>
      </c>
      <c r="E286" s="25" t="s">
        <v>28</v>
      </c>
      <c r="F286" s="24" t="s">
        <v>51</v>
      </c>
      <c r="G286" s="13">
        <v>1200.0</v>
      </c>
      <c r="H286" s="15">
        <v>7067.0</v>
      </c>
      <c r="I286" s="15"/>
      <c r="J286" s="15"/>
      <c r="K286" s="15"/>
      <c r="L286" s="15" t="s">
        <v>38</v>
      </c>
      <c r="M286" s="15"/>
      <c r="N286" s="15" t="s">
        <v>39</v>
      </c>
      <c r="O286" s="15" t="s">
        <v>40</v>
      </c>
      <c r="P286" s="15" t="s">
        <v>40</v>
      </c>
      <c r="Q286" s="15" t="s">
        <v>41</v>
      </c>
      <c r="R286" s="15" t="s">
        <v>54</v>
      </c>
      <c r="S286" s="15" t="s">
        <v>57</v>
      </c>
      <c r="T286" s="19" t="s">
        <v>58</v>
      </c>
      <c r="U286" s="15" t="s">
        <v>46</v>
      </c>
    </row>
    <row r="287" ht="56.25" customHeight="1">
      <c r="A287" s="13" t="s">
        <v>1422</v>
      </c>
      <c r="B287" s="15" t="str">
        <f>image("https://i.imgur.com/ujFvAXC.png")</f>
        <v/>
      </c>
      <c r="C287" s="17" t="str">
        <f>HYPERLINK("https://imgur.com/a/YbnNlTJ","Yes")</f>
        <v>Yes</v>
      </c>
      <c r="D287" s="15" t="s">
        <v>28</v>
      </c>
      <c r="E287" s="15" t="s">
        <v>28</v>
      </c>
      <c r="F287" s="13">
        <v>69000.0</v>
      </c>
      <c r="G287" s="13">
        <v>17250.0</v>
      </c>
      <c r="H287" s="15">
        <v>1889.0</v>
      </c>
      <c r="I287" s="15" t="s">
        <v>62</v>
      </c>
      <c r="J287" s="15" t="s">
        <v>36</v>
      </c>
      <c r="K287" s="15"/>
      <c r="L287" s="15" t="s">
        <v>38</v>
      </c>
      <c r="M287" s="15">
        <v>7.0</v>
      </c>
      <c r="N287" s="15" t="s">
        <v>39</v>
      </c>
      <c r="O287" s="15" t="s">
        <v>40</v>
      </c>
      <c r="P287" s="15" t="s">
        <v>53</v>
      </c>
      <c r="Q287" s="15" t="s">
        <v>41</v>
      </c>
      <c r="R287" s="15" t="s">
        <v>43</v>
      </c>
      <c r="S287" s="15" t="s">
        <v>44</v>
      </c>
      <c r="T287" s="19" t="s">
        <v>65</v>
      </c>
      <c r="U287" s="15" t="s">
        <v>46</v>
      </c>
    </row>
    <row r="288" ht="56.25" customHeight="1">
      <c r="A288" s="13" t="s">
        <v>1424</v>
      </c>
      <c r="B288" s="15" t="str">
        <f>image("https://i.imgur.com/fcc54zv.png")</f>
        <v/>
      </c>
      <c r="C288" s="17" t="str">
        <f>HYPERLINK("https://imgur.com/a/CXqTf2g","Yes")</f>
        <v>Yes</v>
      </c>
      <c r="D288" s="15" t="s">
        <v>50</v>
      </c>
      <c r="E288" s="15" t="s">
        <v>50</v>
      </c>
      <c r="F288" s="13" t="s">
        <v>51</v>
      </c>
      <c r="G288" s="13">
        <v>480.0</v>
      </c>
      <c r="H288" s="15">
        <v>88.0</v>
      </c>
      <c r="I288" s="15" t="s">
        <v>113</v>
      </c>
      <c r="J288" s="15" t="s">
        <v>36</v>
      </c>
      <c r="K288" s="15"/>
      <c r="L288" s="15" t="s">
        <v>38</v>
      </c>
      <c r="M288" s="15">
        <v>1.0</v>
      </c>
      <c r="N288" s="15" t="s">
        <v>39</v>
      </c>
      <c r="O288" s="15" t="s">
        <v>40</v>
      </c>
      <c r="P288" s="15" t="s">
        <v>40</v>
      </c>
      <c r="Q288" s="15" t="s">
        <v>41</v>
      </c>
      <c r="R288" s="15" t="s">
        <v>54</v>
      </c>
      <c r="S288" s="15" t="s">
        <v>55</v>
      </c>
      <c r="T288" s="19"/>
      <c r="U288" s="15" t="s">
        <v>46</v>
      </c>
    </row>
    <row r="289" ht="56.25" customHeight="1">
      <c r="A289" s="23" t="s">
        <v>1425</v>
      </c>
      <c r="B289" s="23" t="str">
        <f>IMAGE("https://i.imgur.com/dhksRBy.png")</f>
        <v/>
      </c>
      <c r="C289" s="25" t="s">
        <v>40</v>
      </c>
      <c r="D289" s="25" t="s">
        <v>28</v>
      </c>
      <c r="E289" s="25" t="s">
        <v>28</v>
      </c>
      <c r="F289" s="24" t="s">
        <v>51</v>
      </c>
      <c r="G289" s="13">
        <v>900.0</v>
      </c>
      <c r="H289" s="15">
        <v>7081.0</v>
      </c>
      <c r="I289" s="15"/>
      <c r="J289" s="15"/>
      <c r="K289" s="15"/>
      <c r="L289" s="15" t="s">
        <v>38</v>
      </c>
      <c r="M289" s="15"/>
      <c r="N289" s="15" t="s">
        <v>39</v>
      </c>
      <c r="O289" s="15" t="s">
        <v>40</v>
      </c>
      <c r="P289" s="15" t="s">
        <v>40</v>
      </c>
      <c r="Q289" s="15" t="s">
        <v>41</v>
      </c>
      <c r="R289" s="15" t="s">
        <v>54</v>
      </c>
      <c r="S289" s="15" t="s">
        <v>57</v>
      </c>
      <c r="T289" s="19" t="s">
        <v>58</v>
      </c>
      <c r="U289" s="15" t="s">
        <v>46</v>
      </c>
    </row>
    <row r="290" ht="56.25" customHeight="1">
      <c r="A290" s="23" t="s">
        <v>1427</v>
      </c>
      <c r="B290" s="23" t="str">
        <f>IMAGE("https://i.imgur.com/Im2MjAY.png")</f>
        <v/>
      </c>
      <c r="C290" s="25" t="s">
        <v>40</v>
      </c>
      <c r="D290" s="25" t="s">
        <v>28</v>
      </c>
      <c r="E290" s="25" t="s">
        <v>28</v>
      </c>
      <c r="F290" s="24" t="s">
        <v>51</v>
      </c>
      <c r="G290" s="13">
        <v>9000.0</v>
      </c>
      <c r="H290" s="15">
        <v>7119.0</v>
      </c>
      <c r="I290" s="15"/>
      <c r="J290" s="15"/>
      <c r="K290" s="15"/>
      <c r="L290" s="15" t="s">
        <v>38</v>
      </c>
      <c r="M290" s="15"/>
      <c r="N290" s="15" t="s">
        <v>39</v>
      </c>
      <c r="O290" s="15" t="s">
        <v>40</v>
      </c>
      <c r="P290" s="15" t="s">
        <v>40</v>
      </c>
      <c r="Q290" s="15" t="s">
        <v>41</v>
      </c>
      <c r="R290" s="15" t="s">
        <v>54</v>
      </c>
      <c r="S290" s="15" t="s">
        <v>57</v>
      </c>
      <c r="T290" s="19" t="s">
        <v>58</v>
      </c>
      <c r="U290" s="15" t="s">
        <v>46</v>
      </c>
    </row>
    <row r="291" ht="56.25" customHeight="1">
      <c r="A291" s="13" t="s">
        <v>1428</v>
      </c>
      <c r="B291" s="15" t="str">
        <f>image("https://i.imgur.com/NbRw7L4.png")</f>
        <v/>
      </c>
      <c r="C291" s="17" t="str">
        <f>HYPERLINK("https://imgur.com/a/8QNBXEB","Yes")</f>
        <v>Yes</v>
      </c>
      <c r="D291" s="15" t="s">
        <v>28</v>
      </c>
      <c r="E291" s="15" t="s">
        <v>28</v>
      </c>
      <c r="F291" s="13">
        <v>640.0</v>
      </c>
      <c r="G291" s="13">
        <v>160.0</v>
      </c>
      <c r="H291" s="15">
        <v>4029.0</v>
      </c>
      <c r="I291" s="15" t="s">
        <v>60</v>
      </c>
      <c r="J291" s="15"/>
      <c r="K291" s="15"/>
      <c r="L291" s="15" t="s">
        <v>38</v>
      </c>
      <c r="M291" s="15">
        <v>1.0</v>
      </c>
      <c r="N291" s="15" t="s">
        <v>39</v>
      </c>
      <c r="O291" s="15" t="s">
        <v>40</v>
      </c>
      <c r="P291" s="15" t="s">
        <v>40</v>
      </c>
      <c r="Q291" s="15" t="s">
        <v>41</v>
      </c>
      <c r="R291" s="15" t="s">
        <v>43</v>
      </c>
      <c r="S291" s="15" t="s">
        <v>44</v>
      </c>
      <c r="T291" s="19" t="s">
        <v>45</v>
      </c>
      <c r="U291" s="15" t="s">
        <v>46</v>
      </c>
    </row>
    <row r="292" ht="56.25" customHeight="1">
      <c r="A292" s="23" t="s">
        <v>1430</v>
      </c>
      <c r="B292" s="32" t="str">
        <f>image("https://i.imgur.com/iL91Rv7.png")</f>
        <v/>
      </c>
      <c r="C292" s="25" t="s">
        <v>40</v>
      </c>
      <c r="D292" s="25" t="s">
        <v>28</v>
      </c>
      <c r="E292" s="25" t="s">
        <v>28</v>
      </c>
      <c r="F292" s="24" t="s">
        <v>51</v>
      </c>
      <c r="G292" s="13">
        <v>12000.0</v>
      </c>
      <c r="H292" s="15">
        <v>6950.0</v>
      </c>
      <c r="I292" s="15"/>
      <c r="J292" s="15"/>
      <c r="K292" s="15"/>
      <c r="L292" s="15" t="s">
        <v>38</v>
      </c>
      <c r="M292" s="15"/>
      <c r="N292" s="15" t="s">
        <v>39</v>
      </c>
      <c r="O292" s="15" t="s">
        <v>40</v>
      </c>
      <c r="P292" s="15" t="s">
        <v>40</v>
      </c>
      <c r="Q292" s="15" t="s">
        <v>41</v>
      </c>
      <c r="R292" s="15" t="s">
        <v>54</v>
      </c>
      <c r="S292" s="15" t="s">
        <v>100</v>
      </c>
      <c r="T292" s="19" t="s">
        <v>101</v>
      </c>
      <c r="U292" s="15" t="s">
        <v>46</v>
      </c>
    </row>
    <row r="293" ht="56.25" customHeight="1">
      <c r="A293" s="23" t="s">
        <v>1431</v>
      </c>
      <c r="B293" s="32" t="str">
        <f>image("https://i.imgur.com/JNujMNq.png")</f>
        <v/>
      </c>
      <c r="C293" s="25" t="s">
        <v>40</v>
      </c>
      <c r="D293" s="25" t="s">
        <v>28</v>
      </c>
      <c r="E293" s="25" t="s">
        <v>28</v>
      </c>
      <c r="F293" s="24" t="s">
        <v>51</v>
      </c>
      <c r="G293" s="13">
        <v>2100.0</v>
      </c>
      <c r="H293" s="15">
        <v>7012.0</v>
      </c>
      <c r="I293" s="15"/>
      <c r="J293" s="15"/>
      <c r="K293" s="15"/>
      <c r="L293" s="15" t="s">
        <v>38</v>
      </c>
      <c r="M293" s="15"/>
      <c r="N293" s="15" t="s">
        <v>39</v>
      </c>
      <c r="O293" s="15" t="s">
        <v>40</v>
      </c>
      <c r="P293" s="15" t="s">
        <v>40</v>
      </c>
      <c r="Q293" s="15" t="s">
        <v>41</v>
      </c>
      <c r="R293" s="15" t="s">
        <v>54</v>
      </c>
      <c r="S293" s="15" t="s">
        <v>100</v>
      </c>
      <c r="T293" s="19" t="s">
        <v>101</v>
      </c>
      <c r="U293" s="15" t="s">
        <v>46</v>
      </c>
    </row>
    <row r="294" ht="56.25" customHeight="1">
      <c r="A294" s="23" t="s">
        <v>1433</v>
      </c>
      <c r="B294" s="32" t="str">
        <f>image("https://i.imgur.com/umanAd6.png")</f>
        <v/>
      </c>
      <c r="C294" s="25" t="s">
        <v>40</v>
      </c>
      <c r="D294" s="25" t="s">
        <v>28</v>
      </c>
      <c r="E294" s="25" t="s">
        <v>28</v>
      </c>
      <c r="F294" s="24" t="s">
        <v>51</v>
      </c>
      <c r="G294" s="13">
        <v>36000.0</v>
      </c>
      <c r="H294" s="15">
        <v>7002.0</v>
      </c>
      <c r="I294" s="15"/>
      <c r="J294" s="15"/>
      <c r="K294" s="15"/>
      <c r="L294" s="15" t="s">
        <v>38</v>
      </c>
      <c r="M294" s="15"/>
      <c r="N294" s="15" t="s">
        <v>39</v>
      </c>
      <c r="O294" s="15" t="s">
        <v>40</v>
      </c>
      <c r="P294" s="15" t="s">
        <v>40</v>
      </c>
      <c r="Q294" s="15" t="s">
        <v>41</v>
      </c>
      <c r="R294" s="15" t="s">
        <v>54</v>
      </c>
      <c r="S294" s="15" t="s">
        <v>100</v>
      </c>
      <c r="T294" s="19" t="s">
        <v>101</v>
      </c>
      <c r="U294" s="15" t="s">
        <v>46</v>
      </c>
    </row>
    <row r="295" ht="56.25" customHeight="1">
      <c r="A295" s="23" t="s">
        <v>1435</v>
      </c>
      <c r="B295" s="23" t="str">
        <f>IMAGE("https://i.imgur.com/pM4OA1F.png")</f>
        <v/>
      </c>
      <c r="C295" s="25" t="s">
        <v>40</v>
      </c>
      <c r="D295" s="25" t="s">
        <v>28</v>
      </c>
      <c r="E295" s="25" t="s">
        <v>28</v>
      </c>
      <c r="F295" s="24" t="s">
        <v>51</v>
      </c>
      <c r="G295" s="13">
        <v>6000.0</v>
      </c>
      <c r="H295" s="15">
        <v>5922.0</v>
      </c>
      <c r="I295" s="15"/>
      <c r="J295" s="15"/>
      <c r="K295" s="15"/>
      <c r="L295" s="15" t="s">
        <v>38</v>
      </c>
      <c r="M295" s="15"/>
      <c r="N295" s="15" t="s">
        <v>39</v>
      </c>
      <c r="O295" s="15" t="s">
        <v>40</v>
      </c>
      <c r="P295" s="15" t="s">
        <v>40</v>
      </c>
      <c r="Q295" s="15" t="s">
        <v>41</v>
      </c>
      <c r="R295" s="15" t="s">
        <v>54</v>
      </c>
      <c r="S295" s="15" t="s">
        <v>57</v>
      </c>
      <c r="T295" s="19" t="s">
        <v>58</v>
      </c>
      <c r="U295" s="15" t="s">
        <v>46</v>
      </c>
    </row>
    <row r="296" ht="56.25" customHeight="1">
      <c r="A296" s="23" t="s">
        <v>1437</v>
      </c>
      <c r="B296" s="23" t="str">
        <f>IMAGE("https://i.imgur.com/pzBr0RF.png")</f>
        <v/>
      </c>
      <c r="C296" s="25" t="s">
        <v>40</v>
      </c>
      <c r="D296" s="25" t="s">
        <v>28</v>
      </c>
      <c r="E296" s="25" t="s">
        <v>28</v>
      </c>
      <c r="F296" s="24" t="s">
        <v>51</v>
      </c>
      <c r="G296" s="13">
        <v>30000.0</v>
      </c>
      <c r="H296" s="15">
        <v>5929.0</v>
      </c>
      <c r="I296" s="15"/>
      <c r="J296" s="15"/>
      <c r="K296" s="15"/>
      <c r="L296" s="15" t="s">
        <v>38</v>
      </c>
      <c r="M296" s="15"/>
      <c r="N296" s="15" t="s">
        <v>39</v>
      </c>
      <c r="O296" s="15" t="s">
        <v>40</v>
      </c>
      <c r="P296" s="15" t="s">
        <v>40</v>
      </c>
      <c r="Q296" s="15" t="s">
        <v>41</v>
      </c>
      <c r="R296" s="15" t="s">
        <v>54</v>
      </c>
      <c r="S296" s="15" t="s">
        <v>57</v>
      </c>
      <c r="T296" s="19" t="s">
        <v>58</v>
      </c>
      <c r="U296" s="15" t="s">
        <v>46</v>
      </c>
    </row>
    <row r="297" ht="56.25" customHeight="1">
      <c r="A297" s="13" t="s">
        <v>1438</v>
      </c>
      <c r="B297" s="15" t="str">
        <f>image("https://i.imgur.com/XNqE0kE.png")</f>
        <v/>
      </c>
      <c r="C297" s="25" t="s">
        <v>40</v>
      </c>
      <c r="D297" s="15" t="s">
        <v>50</v>
      </c>
      <c r="E297" s="15" t="s">
        <v>28</v>
      </c>
      <c r="F297" s="13" t="s">
        <v>51</v>
      </c>
      <c r="G297" s="13">
        <v>22125.0</v>
      </c>
      <c r="H297" s="15">
        <v>5962.0</v>
      </c>
      <c r="I297" s="15" t="s">
        <v>62</v>
      </c>
      <c r="J297" s="15" t="s">
        <v>346</v>
      </c>
      <c r="K297" s="15"/>
      <c r="L297" s="15" t="s">
        <v>38</v>
      </c>
      <c r="M297" s="15"/>
      <c r="N297" s="15" t="s">
        <v>39</v>
      </c>
      <c r="O297" s="15" t="s">
        <v>40</v>
      </c>
      <c r="P297" s="15" t="s">
        <v>53</v>
      </c>
      <c r="Q297" s="15" t="s">
        <v>186</v>
      </c>
      <c r="R297" s="15" t="s">
        <v>54</v>
      </c>
      <c r="S297" s="15" t="s">
        <v>55</v>
      </c>
      <c r="T297" s="19"/>
      <c r="U297" s="15" t="s">
        <v>46</v>
      </c>
    </row>
    <row r="298" ht="56.25" customHeight="1">
      <c r="A298" s="23" t="s">
        <v>1440</v>
      </c>
      <c r="B298" s="23" t="str">
        <f>IMAGE("https://i.imgur.com/sevhSX6.png")</f>
        <v/>
      </c>
      <c r="C298" s="25" t="s">
        <v>40</v>
      </c>
      <c r="D298" s="25" t="s">
        <v>28</v>
      </c>
      <c r="E298" s="25" t="s">
        <v>28</v>
      </c>
      <c r="F298" s="24" t="s">
        <v>51</v>
      </c>
      <c r="G298" s="13">
        <v>24000.0</v>
      </c>
      <c r="H298" s="15">
        <v>7094.0</v>
      </c>
      <c r="I298" s="15"/>
      <c r="J298" s="15"/>
      <c r="K298" s="15"/>
      <c r="L298" s="15" t="s">
        <v>38</v>
      </c>
      <c r="M298" s="15"/>
      <c r="N298" s="15" t="s">
        <v>39</v>
      </c>
      <c r="O298" s="15" t="s">
        <v>40</v>
      </c>
      <c r="P298" s="15" t="s">
        <v>40</v>
      </c>
      <c r="Q298" s="15" t="s">
        <v>41</v>
      </c>
      <c r="R298" s="15" t="s">
        <v>54</v>
      </c>
      <c r="S298" s="15" t="s">
        <v>57</v>
      </c>
      <c r="T298" s="19" t="s">
        <v>58</v>
      </c>
      <c r="U298" s="15" t="s">
        <v>46</v>
      </c>
    </row>
    <row r="299" ht="56.25" customHeight="1">
      <c r="A299" s="23" t="s">
        <v>1441</v>
      </c>
      <c r="B299" s="32" t="str">
        <f>image("https://i.imgur.com/CL42Ejm.png")</f>
        <v/>
      </c>
      <c r="C299" s="25" t="s">
        <v>40</v>
      </c>
      <c r="D299" s="25" t="s">
        <v>28</v>
      </c>
      <c r="E299" s="25" t="s">
        <v>28</v>
      </c>
      <c r="F299" s="24" t="s">
        <v>51</v>
      </c>
      <c r="G299" s="13">
        <v>1200.0</v>
      </c>
      <c r="H299" s="15">
        <v>7018.0</v>
      </c>
      <c r="I299" s="15"/>
      <c r="J299" s="15"/>
      <c r="K299" s="15"/>
      <c r="L299" s="15" t="s">
        <v>38</v>
      </c>
      <c r="M299" s="15"/>
      <c r="N299" s="15" t="s">
        <v>39</v>
      </c>
      <c r="O299" s="15" t="s">
        <v>40</v>
      </c>
      <c r="P299" s="15" t="s">
        <v>40</v>
      </c>
      <c r="Q299" s="15" t="s">
        <v>41</v>
      </c>
      <c r="R299" s="15" t="s">
        <v>54</v>
      </c>
      <c r="S299" s="15" t="s">
        <v>100</v>
      </c>
      <c r="T299" s="19" t="s">
        <v>101</v>
      </c>
      <c r="U299" s="15" t="s">
        <v>46</v>
      </c>
    </row>
    <row r="300" ht="56.25" customHeight="1">
      <c r="A300" s="23" t="s">
        <v>1444</v>
      </c>
      <c r="B300" s="32" t="str">
        <f>image("https://i.imgur.com/qDdphgo.png")</f>
        <v/>
      </c>
      <c r="C300" s="25" t="s">
        <v>40</v>
      </c>
      <c r="D300" s="25" t="s">
        <v>28</v>
      </c>
      <c r="E300" s="25" t="s">
        <v>28</v>
      </c>
      <c r="F300" s="24" t="s">
        <v>51</v>
      </c>
      <c r="G300" s="13">
        <v>3000.0</v>
      </c>
      <c r="H300" s="15">
        <v>6982.0</v>
      </c>
      <c r="I300" s="15"/>
      <c r="J300" s="15"/>
      <c r="K300" s="15"/>
      <c r="L300" s="15" t="s">
        <v>38</v>
      </c>
      <c r="M300" s="15"/>
      <c r="N300" s="15" t="s">
        <v>39</v>
      </c>
      <c r="O300" s="15" t="s">
        <v>40</v>
      </c>
      <c r="P300" s="15" t="s">
        <v>40</v>
      </c>
      <c r="Q300" s="15" t="s">
        <v>41</v>
      </c>
      <c r="R300" s="15" t="s">
        <v>54</v>
      </c>
      <c r="S300" s="15" t="s">
        <v>100</v>
      </c>
      <c r="T300" s="19" t="s">
        <v>101</v>
      </c>
      <c r="U300" s="15" t="s">
        <v>46</v>
      </c>
    </row>
    <row r="301" ht="56.25" customHeight="1">
      <c r="A301" s="13" t="s">
        <v>1445</v>
      </c>
      <c r="B301" s="15" t="str">
        <f>image("https://i.imgur.com/FPSbIZj.png")</f>
        <v/>
      </c>
      <c r="C301" s="25" t="s">
        <v>40</v>
      </c>
      <c r="D301" s="15" t="s">
        <v>28</v>
      </c>
      <c r="E301" s="25" t="s">
        <v>28</v>
      </c>
      <c r="F301" s="13">
        <v>1200.0</v>
      </c>
      <c r="G301" s="13">
        <v>300.0</v>
      </c>
      <c r="H301" s="15">
        <v>1124.0</v>
      </c>
      <c r="I301" s="15" t="s">
        <v>60</v>
      </c>
      <c r="J301" s="15" t="s">
        <v>84</v>
      </c>
      <c r="K301" s="15"/>
      <c r="L301" s="15" t="s">
        <v>38</v>
      </c>
      <c r="M301" s="15"/>
      <c r="N301" s="15" t="s">
        <v>39</v>
      </c>
      <c r="O301" s="15" t="s">
        <v>40</v>
      </c>
      <c r="P301" s="15" t="s">
        <v>53</v>
      </c>
      <c r="Q301" s="15" t="s">
        <v>41</v>
      </c>
      <c r="R301" s="15" t="s">
        <v>43</v>
      </c>
      <c r="S301" s="15" t="s">
        <v>44</v>
      </c>
      <c r="T301" s="19" t="s">
        <v>45</v>
      </c>
      <c r="U301" s="15" t="s">
        <v>46</v>
      </c>
    </row>
    <row r="302" ht="56.25" customHeight="1">
      <c r="A302" s="23" t="s">
        <v>1447</v>
      </c>
      <c r="B302" s="32" t="str">
        <f>image("https://i.imgur.com/RKVnGwx.png")</f>
        <v/>
      </c>
      <c r="C302" s="25" t="s">
        <v>40</v>
      </c>
      <c r="D302" s="25" t="s">
        <v>28</v>
      </c>
      <c r="E302" s="25" t="s">
        <v>28</v>
      </c>
      <c r="F302" s="24" t="s">
        <v>51</v>
      </c>
      <c r="G302" s="13">
        <v>3300.0</v>
      </c>
      <c r="H302" s="15">
        <v>7021.0</v>
      </c>
      <c r="I302" s="15"/>
      <c r="J302" s="15"/>
      <c r="K302" s="15"/>
      <c r="L302" s="15" t="s">
        <v>38</v>
      </c>
      <c r="M302" s="15"/>
      <c r="N302" s="15" t="s">
        <v>39</v>
      </c>
      <c r="O302" s="15" t="s">
        <v>40</v>
      </c>
      <c r="P302" s="15" t="s">
        <v>40</v>
      </c>
      <c r="Q302" s="15" t="s">
        <v>41</v>
      </c>
      <c r="R302" s="15" t="s">
        <v>54</v>
      </c>
      <c r="S302" s="15" t="s">
        <v>100</v>
      </c>
      <c r="T302" s="19" t="s">
        <v>101</v>
      </c>
      <c r="U302" s="15" t="s">
        <v>46</v>
      </c>
    </row>
    <row r="303" ht="56.25" customHeight="1">
      <c r="A303" s="13" t="s">
        <v>1449</v>
      </c>
      <c r="B303" s="15" t="str">
        <f>image("https://i.imgur.com/V1ankuQ.png")</f>
        <v/>
      </c>
      <c r="C303" s="17" t="str">
        <f>HYPERLINK("https://imgur.com/a/PAEHOOH","Yes")</f>
        <v>Yes</v>
      </c>
      <c r="D303" s="15" t="s">
        <v>28</v>
      </c>
      <c r="E303" s="15" t="s">
        <v>28</v>
      </c>
      <c r="F303" s="13">
        <v>2100.0</v>
      </c>
      <c r="G303" s="13">
        <v>525.0</v>
      </c>
      <c r="H303" s="15">
        <v>1128.0</v>
      </c>
      <c r="I303" s="15" t="s">
        <v>60</v>
      </c>
      <c r="J303" s="15"/>
      <c r="K303" s="15"/>
      <c r="L303" s="15" t="s">
        <v>38</v>
      </c>
      <c r="M303" s="15">
        <v>1.0</v>
      </c>
      <c r="N303" s="15" t="s">
        <v>39</v>
      </c>
      <c r="O303" s="15" t="s">
        <v>40</v>
      </c>
      <c r="P303" s="15" t="s">
        <v>53</v>
      </c>
      <c r="Q303" s="15" t="s">
        <v>41</v>
      </c>
      <c r="R303" s="15" t="s">
        <v>43</v>
      </c>
      <c r="S303" s="15" t="s">
        <v>44</v>
      </c>
      <c r="T303" s="19" t="s">
        <v>45</v>
      </c>
      <c r="U303" s="15" t="s">
        <v>46</v>
      </c>
    </row>
    <row r="304" ht="56.25" customHeight="1">
      <c r="A304" s="13" t="s">
        <v>1450</v>
      </c>
      <c r="B304" s="15" t="str">
        <f>image("https://i.imgur.com/pBF39I0.png")</f>
        <v/>
      </c>
      <c r="C304" s="17" t="str">
        <f>HYPERLINK("https://imgur.com/a/jLKsTuN","Yes")</f>
        <v>Yes</v>
      </c>
      <c r="D304" s="15" t="s">
        <v>28</v>
      </c>
      <c r="E304" s="15" t="s">
        <v>28</v>
      </c>
      <c r="F304" s="13">
        <v>430.0</v>
      </c>
      <c r="G304" s="24">
        <v>107.0</v>
      </c>
      <c r="H304" s="15">
        <v>3443.0</v>
      </c>
      <c r="I304" s="15" t="s">
        <v>60</v>
      </c>
      <c r="J304" s="15"/>
      <c r="K304" s="15"/>
      <c r="L304" s="15" t="s">
        <v>38</v>
      </c>
      <c r="M304" s="15">
        <v>1.0</v>
      </c>
      <c r="N304" s="15" t="s">
        <v>39</v>
      </c>
      <c r="O304" s="15" t="s">
        <v>40</v>
      </c>
      <c r="P304" s="15" t="s">
        <v>40</v>
      </c>
      <c r="Q304" s="15" t="s">
        <v>41</v>
      </c>
      <c r="R304" s="15" t="s">
        <v>43</v>
      </c>
      <c r="S304" s="15" t="s">
        <v>44</v>
      </c>
      <c r="T304" s="19" t="s">
        <v>45</v>
      </c>
      <c r="U304" s="15" t="s">
        <v>46</v>
      </c>
    </row>
    <row r="305" ht="56.25" customHeight="1">
      <c r="A305" s="13" t="s">
        <v>1453</v>
      </c>
      <c r="B305" s="15" t="str">
        <f>image("https://i.imgur.com/U7Z0SxZ.png")</f>
        <v/>
      </c>
      <c r="C305" s="17" t="str">
        <f>HYPERLINK("https://imgur.com/a/oSgvkQq","Yes")</f>
        <v>Yes</v>
      </c>
      <c r="D305" s="15" t="s">
        <v>28</v>
      </c>
      <c r="E305" s="15" t="s">
        <v>28</v>
      </c>
      <c r="F305" s="13">
        <v>1400.0</v>
      </c>
      <c r="G305" s="13">
        <v>350.0</v>
      </c>
      <c r="H305" s="15">
        <v>667.0</v>
      </c>
      <c r="I305" s="15" t="s">
        <v>86</v>
      </c>
      <c r="J305" s="15" t="s">
        <v>84</v>
      </c>
      <c r="K305" s="15"/>
      <c r="L305" s="15" t="s">
        <v>38</v>
      </c>
      <c r="M305" s="15">
        <v>1.0</v>
      </c>
      <c r="N305" s="15" t="s">
        <v>39</v>
      </c>
      <c r="O305" s="15" t="s">
        <v>40</v>
      </c>
      <c r="P305" s="15" t="s">
        <v>53</v>
      </c>
      <c r="Q305" s="15" t="s">
        <v>41</v>
      </c>
      <c r="R305" s="15" t="s">
        <v>43</v>
      </c>
      <c r="S305" s="15" t="s">
        <v>44</v>
      </c>
      <c r="T305" s="19" t="s">
        <v>45</v>
      </c>
      <c r="U305" s="15" t="s">
        <v>46</v>
      </c>
    </row>
    <row r="306" ht="56.25" customHeight="1">
      <c r="A306" s="13" t="s">
        <v>1454</v>
      </c>
      <c r="B306" s="15" t="str">
        <f>image("https://i.imgur.com/bEeJN8R.png")</f>
        <v/>
      </c>
      <c r="C306" s="17" t="str">
        <f>HYPERLINK("https://imgur.com/a/Xz5vqco","Yes")</f>
        <v>Yes</v>
      </c>
      <c r="D306" s="15" t="s">
        <v>50</v>
      </c>
      <c r="E306" s="15" t="s">
        <v>50</v>
      </c>
      <c r="F306" s="13" t="s">
        <v>51</v>
      </c>
      <c r="G306" s="13">
        <v>4200.0</v>
      </c>
      <c r="H306" s="15">
        <v>3984.0</v>
      </c>
      <c r="I306" s="15" t="s">
        <v>84</v>
      </c>
      <c r="J306" s="15"/>
      <c r="K306" s="15"/>
      <c r="L306" s="15" t="s">
        <v>38</v>
      </c>
      <c r="M306" s="15">
        <v>6.0</v>
      </c>
      <c r="N306" s="15" t="s">
        <v>39</v>
      </c>
      <c r="O306" s="15" t="s">
        <v>40</v>
      </c>
      <c r="P306" s="15" t="s">
        <v>53</v>
      </c>
      <c r="Q306" s="15" t="s">
        <v>186</v>
      </c>
      <c r="R306" s="15" t="s">
        <v>54</v>
      </c>
      <c r="S306" s="15" t="s">
        <v>55</v>
      </c>
      <c r="T306" s="19"/>
      <c r="U306" s="15" t="s">
        <v>46</v>
      </c>
    </row>
    <row r="307" ht="56.25" customHeight="1">
      <c r="A307" s="13" t="s">
        <v>1457</v>
      </c>
      <c r="B307" s="15" t="str">
        <f>image("https://i.imgur.com/7MM86sB.png")</f>
        <v/>
      </c>
      <c r="C307" s="17" t="str">
        <f>HYPERLINK("https://imgur.com/a/OMQd8tF","Yes")</f>
        <v>Yes</v>
      </c>
      <c r="D307" s="15" t="s">
        <v>50</v>
      </c>
      <c r="E307" s="15" t="s">
        <v>50</v>
      </c>
      <c r="F307" s="13" t="s">
        <v>51</v>
      </c>
      <c r="G307" s="13">
        <v>5700.0</v>
      </c>
      <c r="H307" s="15">
        <v>5150.0</v>
      </c>
      <c r="I307" s="15" t="s">
        <v>84</v>
      </c>
      <c r="J307" s="15"/>
      <c r="K307" s="15"/>
      <c r="L307" s="15" t="s">
        <v>38</v>
      </c>
      <c r="M307" s="15">
        <v>7.0</v>
      </c>
      <c r="N307" s="15" t="s">
        <v>371</v>
      </c>
      <c r="O307" s="15" t="s">
        <v>40</v>
      </c>
      <c r="P307" s="15" t="s">
        <v>53</v>
      </c>
      <c r="Q307" s="15" t="s">
        <v>41</v>
      </c>
      <c r="R307" s="15" t="s">
        <v>54</v>
      </c>
      <c r="S307" s="15" t="s">
        <v>55</v>
      </c>
      <c r="T307" s="19"/>
      <c r="U307" s="15" t="s">
        <v>46</v>
      </c>
    </row>
    <row r="308" ht="56.25" customHeight="1">
      <c r="A308" s="13" t="s">
        <v>1458</v>
      </c>
      <c r="B308" s="15" t="str">
        <f>image("https://i.imgur.com/GD5Bb4P.png")</f>
        <v/>
      </c>
      <c r="C308" s="25" t="s">
        <v>40</v>
      </c>
      <c r="D308" s="15" t="s">
        <v>28</v>
      </c>
      <c r="E308" s="15" t="s">
        <v>28</v>
      </c>
      <c r="F308" s="13" t="s">
        <v>51</v>
      </c>
      <c r="G308" s="13">
        <v>425.0</v>
      </c>
      <c r="H308" s="15">
        <v>1204.0</v>
      </c>
      <c r="I308" s="15" t="s">
        <v>62</v>
      </c>
      <c r="J308" s="15"/>
      <c r="K308" s="15"/>
      <c r="L308" s="15" t="s">
        <v>38</v>
      </c>
      <c r="M308" s="15"/>
      <c r="N308" s="15" t="s">
        <v>39</v>
      </c>
      <c r="O308" s="15" t="s">
        <v>40</v>
      </c>
      <c r="P308" s="15" t="s">
        <v>40</v>
      </c>
      <c r="Q308" s="15" t="s">
        <v>41</v>
      </c>
      <c r="R308" s="15" t="s">
        <v>54</v>
      </c>
      <c r="S308" s="15" t="s">
        <v>264</v>
      </c>
      <c r="T308" s="19"/>
      <c r="U308" s="15" t="s">
        <v>46</v>
      </c>
    </row>
    <row r="309" ht="56.25" customHeight="1">
      <c r="A309" s="13" t="s">
        <v>1460</v>
      </c>
      <c r="B309" s="15" t="str">
        <f>image("https://i.imgur.com/msiszmV.png")</f>
        <v/>
      </c>
      <c r="C309" s="25" t="s">
        <v>40</v>
      </c>
      <c r="D309" s="15" t="s">
        <v>28</v>
      </c>
      <c r="E309" s="15" t="s">
        <v>28</v>
      </c>
      <c r="F309" s="13" t="s">
        <v>51</v>
      </c>
      <c r="G309" s="13">
        <v>425.0</v>
      </c>
      <c r="H309" s="15">
        <v>1201.0</v>
      </c>
      <c r="I309" s="15" t="s">
        <v>62</v>
      </c>
      <c r="J309" s="15"/>
      <c r="K309" s="15"/>
      <c r="L309" s="15" t="s">
        <v>38</v>
      </c>
      <c r="M309" s="15"/>
      <c r="N309" s="15" t="s">
        <v>39</v>
      </c>
      <c r="O309" s="15" t="s">
        <v>40</v>
      </c>
      <c r="P309" s="15" t="s">
        <v>40</v>
      </c>
      <c r="Q309" s="15" t="s">
        <v>41</v>
      </c>
      <c r="R309" s="15" t="s">
        <v>54</v>
      </c>
      <c r="S309" s="15" t="s">
        <v>85</v>
      </c>
      <c r="T309" s="19"/>
      <c r="U309" s="15" t="s">
        <v>46</v>
      </c>
    </row>
    <row r="310" ht="56.25" customHeight="1">
      <c r="A310" s="13" t="s">
        <v>1462</v>
      </c>
      <c r="B310" s="15" t="str">
        <f>image("https://i.imgur.com/2i0DxVZ.png")</f>
        <v/>
      </c>
      <c r="C310" s="25" t="s">
        <v>40</v>
      </c>
      <c r="D310" s="15" t="s">
        <v>28</v>
      </c>
      <c r="E310" s="15" t="s">
        <v>28</v>
      </c>
      <c r="F310" s="13" t="s">
        <v>51</v>
      </c>
      <c r="G310" s="13">
        <v>425.0</v>
      </c>
      <c r="H310" s="15">
        <v>7100.0</v>
      </c>
      <c r="I310" s="15" t="s">
        <v>62</v>
      </c>
      <c r="J310" s="15"/>
      <c r="K310" s="15"/>
      <c r="L310" s="15" t="s">
        <v>38</v>
      </c>
      <c r="M310" s="15"/>
      <c r="N310" s="15" t="s">
        <v>39</v>
      </c>
      <c r="O310" s="15" t="s">
        <v>40</v>
      </c>
      <c r="P310" s="15" t="s">
        <v>40</v>
      </c>
      <c r="Q310" s="15" t="s">
        <v>41</v>
      </c>
      <c r="R310" s="15" t="s">
        <v>54</v>
      </c>
      <c r="S310" s="15" t="s">
        <v>247</v>
      </c>
      <c r="T310" s="19"/>
      <c r="U310" s="15" t="s">
        <v>46</v>
      </c>
    </row>
    <row r="311" ht="56.25" customHeight="1">
      <c r="A311" s="13" t="s">
        <v>1463</v>
      </c>
      <c r="B311" s="15" t="str">
        <f>image("https://i.imgur.com/sq2r6Xt.png")</f>
        <v/>
      </c>
      <c r="C311" s="17" t="str">
        <f>HYPERLINK("https://imgur.com/a/NT25nD0","Yes")</f>
        <v>Yes</v>
      </c>
      <c r="D311" s="15" t="s">
        <v>28</v>
      </c>
      <c r="E311" s="15" t="s">
        <v>28</v>
      </c>
      <c r="F311" s="13">
        <v>1300.0</v>
      </c>
      <c r="G311" s="13">
        <v>325.0</v>
      </c>
      <c r="H311" s="15">
        <v>1845.0</v>
      </c>
      <c r="I311" s="15" t="s">
        <v>86</v>
      </c>
      <c r="J311" s="15" t="s">
        <v>37</v>
      </c>
      <c r="K311" s="15"/>
      <c r="L311" s="15" t="s">
        <v>38</v>
      </c>
      <c r="M311" s="15">
        <v>1.0</v>
      </c>
      <c r="N311" s="15" t="s">
        <v>39</v>
      </c>
      <c r="O311" s="15" t="s">
        <v>40</v>
      </c>
      <c r="P311" s="15" t="s">
        <v>40</v>
      </c>
      <c r="Q311" s="15" t="s">
        <v>41</v>
      </c>
      <c r="R311" s="15" t="s">
        <v>43</v>
      </c>
      <c r="S311" s="15" t="s">
        <v>44</v>
      </c>
      <c r="T311" s="19" t="s">
        <v>45</v>
      </c>
      <c r="U311" s="15" t="s">
        <v>46</v>
      </c>
    </row>
    <row r="312" ht="56.25" customHeight="1">
      <c r="A312" s="23" t="s">
        <v>1465</v>
      </c>
      <c r="B312" s="23" t="str">
        <f>IMAGE("https://i.imgur.com/VgGFuyu.png")</f>
        <v/>
      </c>
      <c r="C312" s="25" t="s">
        <v>40</v>
      </c>
      <c r="D312" s="25" t="s">
        <v>28</v>
      </c>
      <c r="E312" s="25" t="s">
        <v>28</v>
      </c>
      <c r="F312" s="24" t="s">
        <v>51</v>
      </c>
      <c r="G312" s="13">
        <v>750.0</v>
      </c>
      <c r="H312" s="15">
        <v>7072.0</v>
      </c>
      <c r="I312" s="15"/>
      <c r="J312" s="15"/>
      <c r="K312" s="15"/>
      <c r="L312" s="15" t="s">
        <v>38</v>
      </c>
      <c r="M312" s="15"/>
      <c r="N312" s="15" t="s">
        <v>39</v>
      </c>
      <c r="O312" s="15" t="s">
        <v>40</v>
      </c>
      <c r="P312" s="15" t="s">
        <v>40</v>
      </c>
      <c r="Q312" s="15" t="s">
        <v>41</v>
      </c>
      <c r="R312" s="15" t="s">
        <v>54</v>
      </c>
      <c r="S312" s="15" t="s">
        <v>57</v>
      </c>
      <c r="T312" s="19" t="s">
        <v>58</v>
      </c>
      <c r="U312" s="15" t="s">
        <v>46</v>
      </c>
    </row>
    <row r="313" ht="56.25" customHeight="1">
      <c r="A313" s="23" t="s">
        <v>1468</v>
      </c>
      <c r="B313" s="32" t="str">
        <f>image("https://i.imgur.com/pbhtF05.png")</f>
        <v/>
      </c>
      <c r="C313" s="25" t="s">
        <v>40</v>
      </c>
      <c r="D313" s="25" t="s">
        <v>28</v>
      </c>
      <c r="E313" s="25" t="s">
        <v>28</v>
      </c>
      <c r="F313" s="24" t="s">
        <v>51</v>
      </c>
      <c r="G313" s="13">
        <v>15000.0</v>
      </c>
      <c r="H313" s="15">
        <v>6964.0</v>
      </c>
      <c r="I313" s="15"/>
      <c r="J313" s="15"/>
      <c r="K313" s="15"/>
      <c r="L313" s="15" t="s">
        <v>38</v>
      </c>
      <c r="M313" s="15"/>
      <c r="N313" s="15" t="s">
        <v>39</v>
      </c>
      <c r="O313" s="15" t="s">
        <v>40</v>
      </c>
      <c r="P313" s="15" t="s">
        <v>40</v>
      </c>
      <c r="Q313" s="15" t="s">
        <v>41</v>
      </c>
      <c r="R313" s="15" t="s">
        <v>54</v>
      </c>
      <c r="S313" s="15" t="s">
        <v>100</v>
      </c>
      <c r="T313" s="19" t="s">
        <v>101</v>
      </c>
      <c r="U313" s="15" t="s">
        <v>46</v>
      </c>
    </row>
    <row r="314" ht="56.25" customHeight="1">
      <c r="A314" s="13" t="s">
        <v>1470</v>
      </c>
      <c r="B314" s="15" t="str">
        <f>image("https://i.imgur.com/u6ft0w7.png")</f>
        <v/>
      </c>
      <c r="C314" s="25" t="s">
        <v>40</v>
      </c>
      <c r="D314" s="15" t="s">
        <v>28</v>
      </c>
      <c r="E314" s="15" t="s">
        <v>28</v>
      </c>
      <c r="F314" s="13">
        <v>1300.0</v>
      </c>
      <c r="G314" s="13">
        <v>325.0</v>
      </c>
      <c r="H314" s="15">
        <v>1145.0</v>
      </c>
      <c r="I314" s="15" t="s">
        <v>60</v>
      </c>
      <c r="J314" s="15" t="s">
        <v>745</v>
      </c>
      <c r="K314" s="15"/>
      <c r="L314" s="15" t="s">
        <v>38</v>
      </c>
      <c r="M314" s="15"/>
      <c r="N314" s="15" t="s">
        <v>39</v>
      </c>
      <c r="O314" s="15" t="s">
        <v>40</v>
      </c>
      <c r="P314" s="15" t="s">
        <v>53</v>
      </c>
      <c r="Q314" s="15" t="s">
        <v>41</v>
      </c>
      <c r="R314" s="15" t="s">
        <v>43</v>
      </c>
      <c r="S314" s="15" t="s">
        <v>44</v>
      </c>
      <c r="T314" s="19" t="s">
        <v>45</v>
      </c>
      <c r="U314" s="15" t="s">
        <v>46</v>
      </c>
    </row>
    <row r="315" ht="56.25" customHeight="1">
      <c r="A315" s="23" t="s">
        <v>1472</v>
      </c>
      <c r="B315" s="32" t="str">
        <f>image("https://i.imgur.com/z3CdGVd.png")</f>
        <v/>
      </c>
      <c r="C315" s="25" t="s">
        <v>40</v>
      </c>
      <c r="D315" s="25" t="s">
        <v>28</v>
      </c>
      <c r="E315" s="25" t="s">
        <v>28</v>
      </c>
      <c r="F315" s="24" t="s">
        <v>51</v>
      </c>
      <c r="G315" s="13">
        <v>11250.0</v>
      </c>
      <c r="H315" s="15">
        <v>7017.0</v>
      </c>
      <c r="I315" s="15"/>
      <c r="J315" s="15"/>
      <c r="K315" s="15"/>
      <c r="L315" s="15" t="s">
        <v>38</v>
      </c>
      <c r="M315" s="15"/>
      <c r="N315" s="15" t="s">
        <v>39</v>
      </c>
      <c r="O315" s="15" t="s">
        <v>40</v>
      </c>
      <c r="P315" s="15" t="s">
        <v>40</v>
      </c>
      <c r="Q315" s="15" t="s">
        <v>41</v>
      </c>
      <c r="R315" s="15" t="s">
        <v>54</v>
      </c>
      <c r="S315" s="15" t="s">
        <v>100</v>
      </c>
      <c r="T315" s="19" t="s">
        <v>101</v>
      </c>
      <c r="U315" s="15" t="s">
        <v>46</v>
      </c>
    </row>
    <row r="316" ht="56.25" customHeight="1">
      <c r="A316" s="13" t="s">
        <v>1473</v>
      </c>
      <c r="B316" s="15" t="str">
        <f>image("https://i.imgur.com/4I0bfmD.png")</f>
        <v/>
      </c>
      <c r="C316" s="17" t="str">
        <f>HYPERLINK("https://imgur.com/a/KuP1xTb","Yes")</f>
        <v>Yes</v>
      </c>
      <c r="D316" s="15" t="s">
        <v>28</v>
      </c>
      <c r="E316" s="15" t="s">
        <v>28</v>
      </c>
      <c r="F316" s="13">
        <v>3300.0</v>
      </c>
      <c r="G316" s="13">
        <v>825.0</v>
      </c>
      <c r="H316" s="15">
        <v>3619.0</v>
      </c>
      <c r="I316" s="15" t="s">
        <v>86</v>
      </c>
      <c r="J316" s="15" t="s">
        <v>37</v>
      </c>
      <c r="K316" s="15"/>
      <c r="L316" s="15" t="s">
        <v>38</v>
      </c>
      <c r="M316" s="15">
        <v>2.0</v>
      </c>
      <c r="N316" s="15" t="s">
        <v>39</v>
      </c>
      <c r="O316" s="15" t="s">
        <v>40</v>
      </c>
      <c r="P316" s="15" t="s">
        <v>40</v>
      </c>
      <c r="Q316" s="15" t="s">
        <v>41</v>
      </c>
      <c r="R316" s="15" t="s">
        <v>43</v>
      </c>
      <c r="S316" s="15" t="s">
        <v>44</v>
      </c>
      <c r="T316" s="19" t="s">
        <v>45</v>
      </c>
      <c r="U316" s="15" t="s">
        <v>46</v>
      </c>
    </row>
    <row r="317" ht="56.25" customHeight="1">
      <c r="A317" s="23" t="s">
        <v>1475</v>
      </c>
      <c r="B317" s="23" t="str">
        <f>IMAGE("https://i.imgur.com/5PLwbtZ.png")</f>
        <v/>
      </c>
      <c r="C317" s="25" t="s">
        <v>40</v>
      </c>
      <c r="D317" s="25" t="s">
        <v>28</v>
      </c>
      <c r="E317" s="25" t="s">
        <v>28</v>
      </c>
      <c r="F317" s="24" t="s">
        <v>51</v>
      </c>
      <c r="G317" s="13">
        <v>1800.0</v>
      </c>
      <c r="H317" s="15">
        <v>7079.0</v>
      </c>
      <c r="I317" s="15"/>
      <c r="J317" s="15"/>
      <c r="K317" s="15"/>
      <c r="L317" s="15" t="s">
        <v>38</v>
      </c>
      <c r="M317" s="15"/>
      <c r="N317" s="15" t="s">
        <v>39</v>
      </c>
      <c r="O317" s="15" t="s">
        <v>40</v>
      </c>
      <c r="P317" s="15" t="s">
        <v>40</v>
      </c>
      <c r="Q317" s="15" t="s">
        <v>41</v>
      </c>
      <c r="R317" s="15" t="s">
        <v>54</v>
      </c>
      <c r="S317" s="15" t="s">
        <v>57</v>
      </c>
      <c r="T317" s="19" t="s">
        <v>58</v>
      </c>
      <c r="U317" s="15" t="s">
        <v>46</v>
      </c>
    </row>
    <row r="318" ht="56.25" customHeight="1">
      <c r="A318" s="23" t="s">
        <v>1477</v>
      </c>
      <c r="B318" s="32" t="str">
        <f>image("https://i.imgur.com/ukNCfzT.png")</f>
        <v/>
      </c>
      <c r="C318" s="25" t="s">
        <v>40</v>
      </c>
      <c r="D318" s="25" t="s">
        <v>28</v>
      </c>
      <c r="E318" s="25" t="s">
        <v>28</v>
      </c>
      <c r="F318" s="24" t="s">
        <v>51</v>
      </c>
      <c r="G318" s="13">
        <v>1500.0</v>
      </c>
      <c r="H318" s="15">
        <v>6958.0</v>
      </c>
      <c r="I318" s="15"/>
      <c r="J318" s="15"/>
      <c r="K318" s="15"/>
      <c r="L318" s="15" t="s">
        <v>38</v>
      </c>
      <c r="M318" s="15"/>
      <c r="N318" s="15" t="s">
        <v>39</v>
      </c>
      <c r="O318" s="15" t="s">
        <v>40</v>
      </c>
      <c r="P318" s="15" t="s">
        <v>40</v>
      </c>
      <c r="Q318" s="15" t="s">
        <v>41</v>
      </c>
      <c r="R318" s="15" t="s">
        <v>54</v>
      </c>
      <c r="S318" s="15" t="s">
        <v>100</v>
      </c>
      <c r="T318" s="19" t="s">
        <v>101</v>
      </c>
      <c r="U318" s="15" t="s">
        <v>46</v>
      </c>
    </row>
    <row r="319" ht="56.25" customHeight="1">
      <c r="A319" s="13" t="s">
        <v>1478</v>
      </c>
      <c r="B319" s="15" t="str">
        <f>image("https://i.imgur.com/X57AHRj.png")</f>
        <v/>
      </c>
      <c r="C319" s="17" t="str">
        <f>HYPERLINK("https://imgur.com/a/ULBcjzm","Yes")</f>
        <v>Yes</v>
      </c>
      <c r="D319" s="15" t="s">
        <v>50</v>
      </c>
      <c r="E319" s="15" t="s">
        <v>50</v>
      </c>
      <c r="F319" s="13" t="s">
        <v>51</v>
      </c>
      <c r="G319" s="13">
        <v>725.0</v>
      </c>
      <c r="H319" s="15">
        <v>1759.0</v>
      </c>
      <c r="I319" s="15" t="s">
        <v>136</v>
      </c>
      <c r="J319" s="15" t="s">
        <v>60</v>
      </c>
      <c r="K319" s="15"/>
      <c r="L319" s="15" t="s">
        <v>38</v>
      </c>
      <c r="M319" s="15">
        <v>1.0</v>
      </c>
      <c r="N319" s="15" t="s">
        <v>39</v>
      </c>
      <c r="O319" s="15" t="s">
        <v>40</v>
      </c>
      <c r="P319" s="15" t="s">
        <v>40</v>
      </c>
      <c r="Q319" s="15" t="s">
        <v>41</v>
      </c>
      <c r="R319" s="15" t="s">
        <v>54</v>
      </c>
      <c r="S319" s="15" t="s">
        <v>55</v>
      </c>
      <c r="T319" s="19"/>
      <c r="U319" s="15" t="s">
        <v>46</v>
      </c>
    </row>
    <row r="320" ht="56.25" customHeight="1">
      <c r="A320" s="13" t="s">
        <v>1480</v>
      </c>
      <c r="B320" s="15" t="str">
        <f>image("https://i.imgur.com/e8ObEnm.png")</f>
        <v/>
      </c>
      <c r="C320" s="17" t="str">
        <f>HYPERLINK("https://imgur.com/a/f7qEHWh","Yes")</f>
        <v>Yes</v>
      </c>
      <c r="D320" s="15" t="s">
        <v>50</v>
      </c>
      <c r="E320" s="15" t="s">
        <v>50</v>
      </c>
      <c r="F320" s="13" t="s">
        <v>51</v>
      </c>
      <c r="G320" s="13">
        <v>630.0</v>
      </c>
      <c r="H320" s="15">
        <v>1861.0</v>
      </c>
      <c r="I320" s="15" t="s">
        <v>243</v>
      </c>
      <c r="J320" s="15" t="s">
        <v>113</v>
      </c>
      <c r="K320" s="15"/>
      <c r="L320" s="15" t="s">
        <v>38</v>
      </c>
      <c r="M320" s="15">
        <v>2.0</v>
      </c>
      <c r="N320" s="15" t="s">
        <v>39</v>
      </c>
      <c r="O320" s="15" t="s">
        <v>40</v>
      </c>
      <c r="P320" s="15" t="s">
        <v>40</v>
      </c>
      <c r="Q320" s="15" t="s">
        <v>41</v>
      </c>
      <c r="R320" s="15" t="s">
        <v>54</v>
      </c>
      <c r="S320" s="15" t="s">
        <v>55</v>
      </c>
      <c r="T320" s="19"/>
      <c r="U320" s="15" t="s">
        <v>46</v>
      </c>
    </row>
    <row r="321" ht="56.25" customHeight="1">
      <c r="A321" s="13" t="s">
        <v>1482</v>
      </c>
      <c r="B321" s="15" t="str">
        <f>image("https://i.imgur.com/FfRctVO.png")</f>
        <v/>
      </c>
      <c r="C321" s="17" t="str">
        <f>HYPERLINK("https://imgur.com/a/2eEyNF7","Yes")</f>
        <v>Yes</v>
      </c>
      <c r="D321" s="15" t="s">
        <v>28</v>
      </c>
      <c r="E321" s="15" t="s">
        <v>28</v>
      </c>
      <c r="F321" s="13">
        <v>1400.0</v>
      </c>
      <c r="G321" s="13">
        <v>350.0</v>
      </c>
      <c r="H321" s="15">
        <v>4019.0</v>
      </c>
      <c r="I321" s="15" t="s">
        <v>86</v>
      </c>
      <c r="J321" s="15" t="s">
        <v>37</v>
      </c>
      <c r="K321" s="15"/>
      <c r="L321" s="15" t="s">
        <v>38</v>
      </c>
      <c r="M321" s="15">
        <v>1.0</v>
      </c>
      <c r="N321" s="15" t="s">
        <v>39</v>
      </c>
      <c r="O321" s="15" t="s">
        <v>40</v>
      </c>
      <c r="P321" s="15" t="s">
        <v>53</v>
      </c>
      <c r="Q321" s="15" t="s">
        <v>41</v>
      </c>
      <c r="R321" s="15" t="s">
        <v>43</v>
      </c>
      <c r="S321" s="15" t="s">
        <v>44</v>
      </c>
      <c r="T321" s="19" t="s">
        <v>45</v>
      </c>
      <c r="U321" s="15" t="s">
        <v>46</v>
      </c>
    </row>
    <row r="322" ht="56.25" customHeight="1">
      <c r="A322" s="13" t="s">
        <v>1484</v>
      </c>
      <c r="B322" s="15" t="str">
        <f>image("https://i.imgur.com/OkPQX56.png")</f>
        <v/>
      </c>
      <c r="C322" s="17" t="str">
        <f>HYPERLINK("https://imgur.com/a/FeDE3pi","Yes")</f>
        <v>Yes</v>
      </c>
      <c r="D322" s="15" t="s">
        <v>50</v>
      </c>
      <c r="E322" s="15" t="s">
        <v>50</v>
      </c>
      <c r="F322" s="13" t="s">
        <v>51</v>
      </c>
      <c r="G322" s="13">
        <v>2250.0</v>
      </c>
      <c r="H322" s="15">
        <v>7253.0</v>
      </c>
      <c r="I322" s="15" t="s">
        <v>269</v>
      </c>
      <c r="J322" s="15" t="s">
        <v>36</v>
      </c>
      <c r="K322" s="15"/>
      <c r="L322" s="15" t="s">
        <v>38</v>
      </c>
      <c r="M322" s="15">
        <v>3.0</v>
      </c>
      <c r="N322" s="15" t="s">
        <v>39</v>
      </c>
      <c r="O322" s="15" t="s">
        <v>40</v>
      </c>
      <c r="P322" s="15" t="s">
        <v>53</v>
      </c>
      <c r="Q322" s="15" t="s">
        <v>186</v>
      </c>
      <c r="R322" s="15" t="s">
        <v>54</v>
      </c>
      <c r="S322" s="15" t="s">
        <v>55</v>
      </c>
      <c r="T322" s="19"/>
      <c r="U322" s="15" t="s">
        <v>46</v>
      </c>
    </row>
    <row r="323" ht="56.25" customHeight="1">
      <c r="A323" s="13" t="s">
        <v>1486</v>
      </c>
      <c r="B323" s="15" t="str">
        <f>image("https://i.imgur.com/pWkJv11.png")</f>
        <v/>
      </c>
      <c r="C323" s="25" t="s">
        <v>40</v>
      </c>
      <c r="D323" s="15" t="s">
        <v>50</v>
      </c>
      <c r="E323" s="15" t="s">
        <v>28</v>
      </c>
      <c r="F323" s="13" t="s">
        <v>51</v>
      </c>
      <c r="G323" s="13">
        <v>2400.0</v>
      </c>
      <c r="H323" s="15">
        <v>3344.0</v>
      </c>
      <c r="I323" s="15" t="s">
        <v>161</v>
      </c>
      <c r="J323" s="15" t="s">
        <v>37</v>
      </c>
      <c r="K323" s="15"/>
      <c r="L323" s="15" t="s">
        <v>38</v>
      </c>
      <c r="M323" s="15"/>
      <c r="N323" s="15" t="s">
        <v>39</v>
      </c>
      <c r="O323" s="15" t="s">
        <v>40</v>
      </c>
      <c r="P323" s="15" t="s">
        <v>40</v>
      </c>
      <c r="Q323" s="15" t="s">
        <v>41</v>
      </c>
      <c r="R323" s="15" t="s">
        <v>54</v>
      </c>
      <c r="S323" s="15" t="s">
        <v>55</v>
      </c>
      <c r="T323" s="19" t="s">
        <v>172</v>
      </c>
      <c r="U323" s="15" t="s">
        <v>46</v>
      </c>
    </row>
    <row r="324" ht="56.25" customHeight="1">
      <c r="A324" s="23" t="s">
        <v>1487</v>
      </c>
      <c r="B324" s="23" t="str">
        <f>IMAGE("https://i.imgur.com/Z20xcR7.png")</f>
        <v/>
      </c>
      <c r="C324" s="25" t="s">
        <v>40</v>
      </c>
      <c r="D324" s="25" t="s">
        <v>28</v>
      </c>
      <c r="E324" s="25" t="s">
        <v>28</v>
      </c>
      <c r="F324" s="24" t="s">
        <v>51</v>
      </c>
      <c r="G324" s="13">
        <v>360.0</v>
      </c>
      <c r="H324" s="15">
        <v>7069.0</v>
      </c>
      <c r="I324" s="15"/>
      <c r="J324" s="15"/>
      <c r="K324" s="15"/>
      <c r="L324" s="15" t="s">
        <v>38</v>
      </c>
      <c r="M324" s="15"/>
      <c r="N324" s="15" t="s">
        <v>39</v>
      </c>
      <c r="O324" s="15" t="s">
        <v>40</v>
      </c>
      <c r="P324" s="15" t="s">
        <v>40</v>
      </c>
      <c r="Q324" s="15" t="s">
        <v>41</v>
      </c>
      <c r="R324" s="15" t="s">
        <v>54</v>
      </c>
      <c r="S324" s="15" t="s">
        <v>57</v>
      </c>
      <c r="T324" s="19" t="s">
        <v>58</v>
      </c>
      <c r="U324" s="15" t="s">
        <v>46</v>
      </c>
    </row>
    <row r="325" ht="56.25" customHeight="1">
      <c r="A325" s="13" t="s">
        <v>1490</v>
      </c>
      <c r="B325" s="15" t="str">
        <f>image("https://i.imgur.com/LhFjAAa.png")</f>
        <v/>
      </c>
      <c r="C325" s="17" t="str">
        <f>HYPERLINK("https://imgur.com/a/xMz6k49","Yes")</f>
        <v>Yes</v>
      </c>
      <c r="D325" s="15" t="s">
        <v>28</v>
      </c>
      <c r="E325" s="15" t="s">
        <v>28</v>
      </c>
      <c r="F325" s="13">
        <v>1700.0</v>
      </c>
      <c r="G325" s="13">
        <v>425.0</v>
      </c>
      <c r="H325" s="15">
        <v>8297.0</v>
      </c>
      <c r="I325" s="15" t="s">
        <v>86</v>
      </c>
      <c r="J325" s="15" t="s">
        <v>37</v>
      </c>
      <c r="K325" s="15"/>
      <c r="L325" s="15" t="s">
        <v>38</v>
      </c>
      <c r="M325" s="15">
        <v>1.0</v>
      </c>
      <c r="N325" s="15" t="s">
        <v>39</v>
      </c>
      <c r="O325" s="15" t="s">
        <v>40</v>
      </c>
      <c r="P325" s="15" t="s">
        <v>40</v>
      </c>
      <c r="Q325" s="15" t="s">
        <v>41</v>
      </c>
      <c r="R325" s="15" t="s">
        <v>43</v>
      </c>
      <c r="S325" s="15" t="s">
        <v>44</v>
      </c>
      <c r="T325" s="19" t="s">
        <v>45</v>
      </c>
      <c r="U325" s="15" t="s">
        <v>46</v>
      </c>
    </row>
    <row r="326" ht="56.25" customHeight="1">
      <c r="A326" s="23" t="s">
        <v>1493</v>
      </c>
      <c r="B326" s="32" t="str">
        <f>image("https://i.imgur.com/D8eFCS1.png")</f>
        <v/>
      </c>
      <c r="C326" s="25" t="s">
        <v>40</v>
      </c>
      <c r="D326" s="25" t="s">
        <v>28</v>
      </c>
      <c r="E326" s="25" t="s">
        <v>28</v>
      </c>
      <c r="F326" s="24" t="s">
        <v>51</v>
      </c>
      <c r="G326" s="13">
        <v>45000.0</v>
      </c>
      <c r="H326" s="15">
        <v>6960.0</v>
      </c>
      <c r="I326" s="15"/>
      <c r="J326" s="15"/>
      <c r="K326" s="15"/>
      <c r="L326" s="15" t="s">
        <v>38</v>
      </c>
      <c r="M326" s="15"/>
      <c r="N326" s="15" t="s">
        <v>39</v>
      </c>
      <c r="O326" s="15" t="s">
        <v>40</v>
      </c>
      <c r="P326" s="15" t="s">
        <v>40</v>
      </c>
      <c r="Q326" s="15" t="s">
        <v>41</v>
      </c>
      <c r="R326" s="15" t="s">
        <v>54</v>
      </c>
      <c r="S326" s="15" t="s">
        <v>100</v>
      </c>
      <c r="T326" s="19" t="s">
        <v>101</v>
      </c>
      <c r="U326" s="15" t="s">
        <v>46</v>
      </c>
    </row>
    <row r="327" ht="56.25" customHeight="1">
      <c r="A327" s="13" t="s">
        <v>1494</v>
      </c>
      <c r="B327" s="15" t="str">
        <f>image("https://i.imgur.com/SQ1fZHL.png")</f>
        <v/>
      </c>
      <c r="C327" s="17" t="str">
        <f>HYPERLINK("https://imgur.com/a/bz5MBSj","Yes")</f>
        <v>Yes</v>
      </c>
      <c r="D327" s="15" t="s">
        <v>28</v>
      </c>
      <c r="E327" s="15" t="s">
        <v>28</v>
      </c>
      <c r="F327" s="13">
        <v>1000.0</v>
      </c>
      <c r="G327" s="13">
        <v>250.0</v>
      </c>
      <c r="H327" s="15">
        <v>3442.0</v>
      </c>
      <c r="I327" s="15" t="s">
        <v>60</v>
      </c>
      <c r="J327" s="15"/>
      <c r="K327" s="15"/>
      <c r="L327" s="15" t="s">
        <v>38</v>
      </c>
      <c r="M327" s="15">
        <v>1.0</v>
      </c>
      <c r="N327" s="15" t="s">
        <v>39</v>
      </c>
      <c r="O327" s="15" t="s">
        <v>40</v>
      </c>
      <c r="P327" s="15" t="s">
        <v>53</v>
      </c>
      <c r="Q327" s="15" t="s">
        <v>41</v>
      </c>
      <c r="R327" s="15" t="s">
        <v>43</v>
      </c>
      <c r="S327" s="15" t="s">
        <v>44</v>
      </c>
      <c r="T327" s="19" t="s">
        <v>45</v>
      </c>
      <c r="U327" s="15" t="s">
        <v>46</v>
      </c>
    </row>
    <row r="328" ht="56.25" customHeight="1">
      <c r="A328" s="23" t="s">
        <v>1496</v>
      </c>
      <c r="B328" s="32" t="str">
        <f>image("https://i.imgur.com/hiV3T8L.png")</f>
        <v/>
      </c>
      <c r="C328" s="25" t="s">
        <v>40</v>
      </c>
      <c r="D328" s="25" t="s">
        <v>28</v>
      </c>
      <c r="E328" s="25" t="s">
        <v>28</v>
      </c>
      <c r="F328" s="24" t="s">
        <v>51</v>
      </c>
      <c r="G328" s="13">
        <v>30000.0</v>
      </c>
      <c r="H328" s="15">
        <v>7023.0</v>
      </c>
      <c r="I328" s="15"/>
      <c r="J328" s="15"/>
      <c r="K328" s="15"/>
      <c r="L328" s="15" t="s">
        <v>38</v>
      </c>
      <c r="M328" s="15"/>
      <c r="N328" s="15" t="s">
        <v>39</v>
      </c>
      <c r="O328" s="15" t="s">
        <v>40</v>
      </c>
      <c r="P328" s="15" t="s">
        <v>40</v>
      </c>
      <c r="Q328" s="15" t="s">
        <v>41</v>
      </c>
      <c r="R328" s="15" t="s">
        <v>54</v>
      </c>
      <c r="S328" s="15" t="s">
        <v>100</v>
      </c>
      <c r="T328" s="19" t="s">
        <v>101</v>
      </c>
      <c r="U328" s="15" t="s">
        <v>46</v>
      </c>
    </row>
    <row r="329" ht="56.25" customHeight="1">
      <c r="A329" s="13" t="s">
        <v>1498</v>
      </c>
      <c r="B329" s="15" t="str">
        <f>image("https://i.imgur.com/FJn5CVP.png")</f>
        <v/>
      </c>
      <c r="C329" s="25" t="s">
        <v>40</v>
      </c>
      <c r="D329" s="15" t="s">
        <v>50</v>
      </c>
      <c r="E329" s="15" t="s">
        <v>28</v>
      </c>
      <c r="F329" s="38" t="s">
        <v>51</v>
      </c>
      <c r="G329" s="13">
        <v>220.0</v>
      </c>
      <c r="H329" s="15">
        <v>132.0</v>
      </c>
      <c r="I329" s="15" t="s">
        <v>60</v>
      </c>
      <c r="J329" s="15"/>
      <c r="K329" s="15"/>
      <c r="L329" s="15" t="s">
        <v>38</v>
      </c>
      <c r="M329" s="15"/>
      <c r="N329" s="15" t="s">
        <v>39</v>
      </c>
      <c r="O329" s="15" t="s">
        <v>40</v>
      </c>
      <c r="P329" s="15" t="s">
        <v>40</v>
      </c>
      <c r="Q329" s="15" t="s">
        <v>41</v>
      </c>
      <c r="R329" s="15" t="s">
        <v>54</v>
      </c>
      <c r="S329" s="15" t="s">
        <v>55</v>
      </c>
      <c r="T329" s="19"/>
      <c r="U329" s="15" t="s">
        <v>46</v>
      </c>
    </row>
    <row r="330" ht="56.25" customHeight="1">
      <c r="A330" s="23" t="s">
        <v>1500</v>
      </c>
      <c r="B330" s="32" t="str">
        <f>image("https://i.imgur.com/nE02a0o.png")</f>
        <v/>
      </c>
      <c r="C330" s="25" t="s">
        <v>40</v>
      </c>
      <c r="D330" s="25" t="s">
        <v>28</v>
      </c>
      <c r="E330" s="25" t="s">
        <v>28</v>
      </c>
      <c r="F330" s="24" t="s">
        <v>51</v>
      </c>
      <c r="G330" s="13">
        <v>4500.0</v>
      </c>
      <c r="H330" s="15">
        <v>6979.0</v>
      </c>
      <c r="I330" s="15"/>
      <c r="J330" s="15"/>
      <c r="K330" s="15"/>
      <c r="L330" s="15" t="s">
        <v>38</v>
      </c>
      <c r="M330" s="15"/>
      <c r="N330" s="15" t="s">
        <v>39</v>
      </c>
      <c r="O330" s="15" t="s">
        <v>40</v>
      </c>
      <c r="P330" s="15" t="s">
        <v>40</v>
      </c>
      <c r="Q330" s="15" t="s">
        <v>41</v>
      </c>
      <c r="R330" s="15" t="s">
        <v>54</v>
      </c>
      <c r="S330" s="15" t="s">
        <v>100</v>
      </c>
      <c r="T330" s="19" t="s">
        <v>101</v>
      </c>
      <c r="U330" s="15" t="s">
        <v>46</v>
      </c>
    </row>
    <row r="331" ht="56.25" customHeight="1">
      <c r="A331" s="23" t="s">
        <v>1501</v>
      </c>
      <c r="B331" s="32" t="str">
        <f>image("https://i.imgur.com/8XwtYdK.png")</f>
        <v/>
      </c>
      <c r="C331" s="25" t="s">
        <v>40</v>
      </c>
      <c r="D331" s="25" t="s">
        <v>28</v>
      </c>
      <c r="E331" s="25" t="s">
        <v>28</v>
      </c>
      <c r="F331" s="24" t="s">
        <v>51</v>
      </c>
      <c r="G331" s="13">
        <v>3000.0</v>
      </c>
      <c r="H331" s="15">
        <v>6988.0</v>
      </c>
      <c r="I331" s="15"/>
      <c r="J331" s="15"/>
      <c r="K331" s="15"/>
      <c r="L331" s="15" t="s">
        <v>38</v>
      </c>
      <c r="M331" s="15"/>
      <c r="N331" s="15" t="s">
        <v>39</v>
      </c>
      <c r="O331" s="15" t="s">
        <v>40</v>
      </c>
      <c r="P331" s="15" t="s">
        <v>40</v>
      </c>
      <c r="Q331" s="15" t="s">
        <v>41</v>
      </c>
      <c r="R331" s="15" t="s">
        <v>54</v>
      </c>
      <c r="S331" s="15" t="s">
        <v>100</v>
      </c>
      <c r="T331" s="19" t="s">
        <v>101</v>
      </c>
      <c r="U331" s="15" t="s">
        <v>46</v>
      </c>
    </row>
    <row r="332" ht="56.25" customHeight="1">
      <c r="A332" s="23" t="s">
        <v>1503</v>
      </c>
      <c r="B332" s="32" t="str">
        <f>image("https://i.imgur.com/HXBJe4g.png")</f>
        <v/>
      </c>
      <c r="C332" s="25" t="s">
        <v>40</v>
      </c>
      <c r="D332" s="25" t="s">
        <v>28</v>
      </c>
      <c r="E332" s="25" t="s">
        <v>28</v>
      </c>
      <c r="F332" s="24" t="s">
        <v>51</v>
      </c>
      <c r="G332" s="13">
        <v>2700.0</v>
      </c>
      <c r="H332" s="15">
        <v>6936.0</v>
      </c>
      <c r="I332" s="15"/>
      <c r="J332" s="15"/>
      <c r="K332" s="15"/>
      <c r="L332" s="15" t="s">
        <v>38</v>
      </c>
      <c r="M332" s="15"/>
      <c r="N332" s="15" t="s">
        <v>39</v>
      </c>
      <c r="O332" s="15" t="s">
        <v>40</v>
      </c>
      <c r="P332" s="15" t="s">
        <v>40</v>
      </c>
      <c r="Q332" s="15" t="s">
        <v>41</v>
      </c>
      <c r="R332" s="15" t="s">
        <v>54</v>
      </c>
      <c r="S332" s="15" t="s">
        <v>100</v>
      </c>
      <c r="T332" s="19" t="s">
        <v>101</v>
      </c>
      <c r="U332" s="15" t="s">
        <v>46</v>
      </c>
    </row>
    <row r="333" ht="56.25" customHeight="1">
      <c r="A333" s="13" t="s">
        <v>1505</v>
      </c>
      <c r="B333" s="15" t="str">
        <f>image("https://i.imgur.com/GdC1if6.png")</f>
        <v/>
      </c>
      <c r="C333" s="17" t="str">
        <f>HYPERLINK("https://imgur.com/a/WJMGTEn","Yes")</f>
        <v>Yes</v>
      </c>
      <c r="D333" s="15" t="s">
        <v>28</v>
      </c>
      <c r="E333" s="15" t="s">
        <v>28</v>
      </c>
      <c r="F333" s="13">
        <v>1100.0</v>
      </c>
      <c r="G333" s="13">
        <v>275.0</v>
      </c>
      <c r="H333" s="15">
        <v>4069.0</v>
      </c>
      <c r="I333" s="15" t="s">
        <v>136</v>
      </c>
      <c r="J333" s="15" t="s">
        <v>113</v>
      </c>
      <c r="K333" s="15"/>
      <c r="L333" s="15" t="s">
        <v>38</v>
      </c>
      <c r="M333" s="15">
        <v>1.0</v>
      </c>
      <c r="N333" s="15" t="s">
        <v>39</v>
      </c>
      <c r="O333" s="15" t="s">
        <v>40</v>
      </c>
      <c r="P333" s="15" t="s">
        <v>53</v>
      </c>
      <c r="Q333" s="15" t="s">
        <v>186</v>
      </c>
      <c r="R333" s="15" t="s">
        <v>43</v>
      </c>
      <c r="S333" s="15" t="s">
        <v>44</v>
      </c>
      <c r="T333" s="19" t="s">
        <v>45</v>
      </c>
      <c r="U333" s="15" t="s">
        <v>46</v>
      </c>
    </row>
    <row r="334" ht="56.25" customHeight="1">
      <c r="A334" s="13" t="s">
        <v>1507</v>
      </c>
      <c r="B334" s="15" t="str">
        <f>image("https://i.imgur.com/tN2xm4S.png")</f>
        <v/>
      </c>
      <c r="C334" s="17" t="str">
        <f>HYPERLINK("https://imgur.com/a/GHvfU6x","Yes")</f>
        <v>Yes</v>
      </c>
      <c r="D334" s="15" t="s">
        <v>28</v>
      </c>
      <c r="E334" s="15" t="s">
        <v>28</v>
      </c>
      <c r="F334" s="13">
        <v>720.0</v>
      </c>
      <c r="G334" s="13">
        <v>180.0</v>
      </c>
      <c r="H334" s="15">
        <v>4068.0</v>
      </c>
      <c r="I334" s="15" t="s">
        <v>37</v>
      </c>
      <c r="J334" s="15" t="s">
        <v>62</v>
      </c>
      <c r="K334" s="15"/>
      <c r="L334" s="15" t="s">
        <v>38</v>
      </c>
      <c r="M334" s="15">
        <v>1.0</v>
      </c>
      <c r="N334" s="15" t="s">
        <v>39</v>
      </c>
      <c r="O334" s="15" t="s">
        <v>40</v>
      </c>
      <c r="P334" s="15" t="s">
        <v>40</v>
      </c>
      <c r="Q334" s="15" t="s">
        <v>41</v>
      </c>
      <c r="R334" s="15" t="s">
        <v>43</v>
      </c>
      <c r="S334" s="15" t="s">
        <v>44</v>
      </c>
      <c r="T334" s="19" t="s">
        <v>68</v>
      </c>
      <c r="U334" s="15" t="s">
        <v>46</v>
      </c>
    </row>
    <row r="335" ht="56.25" customHeight="1">
      <c r="A335" s="13" t="s">
        <v>1509</v>
      </c>
      <c r="B335" s="15" t="str">
        <f>image("https://i.imgur.com/Ve9y0PI.png")</f>
        <v/>
      </c>
      <c r="C335" s="17" t="str">
        <f>HYPERLINK("https://imgur.com/a/4yJDUKp","Yes")</f>
        <v>Yes</v>
      </c>
      <c r="D335" s="15" t="s">
        <v>50</v>
      </c>
      <c r="E335" s="15" t="s">
        <v>50</v>
      </c>
      <c r="F335" s="13" t="s">
        <v>51</v>
      </c>
      <c r="G335" s="13">
        <v>930.0</v>
      </c>
      <c r="H335" s="15">
        <v>4067.0</v>
      </c>
      <c r="I335" s="15" t="s">
        <v>212</v>
      </c>
      <c r="J335" s="15" t="s">
        <v>36</v>
      </c>
      <c r="K335" s="15"/>
      <c r="L335" s="15" t="s">
        <v>38</v>
      </c>
      <c r="M335" s="15">
        <v>2.0</v>
      </c>
      <c r="N335" s="15" t="s">
        <v>39</v>
      </c>
      <c r="O335" s="15" t="s">
        <v>40</v>
      </c>
      <c r="P335" s="15" t="s">
        <v>53</v>
      </c>
      <c r="Q335" s="15" t="s">
        <v>41</v>
      </c>
      <c r="R335" s="15" t="s">
        <v>54</v>
      </c>
      <c r="S335" s="15" t="s">
        <v>55</v>
      </c>
      <c r="T335" s="19" t="s">
        <v>418</v>
      </c>
      <c r="U335" s="15" t="s">
        <v>46</v>
      </c>
    </row>
    <row r="336" ht="56.25" customHeight="1">
      <c r="A336" s="23" t="s">
        <v>1511</v>
      </c>
      <c r="B336" s="32" t="str">
        <f>image("https://i.imgur.com/8WLoZ2K.png")</f>
        <v/>
      </c>
      <c r="C336" s="25" t="s">
        <v>40</v>
      </c>
      <c r="D336" s="25" t="s">
        <v>28</v>
      </c>
      <c r="E336" s="25" t="s">
        <v>28</v>
      </c>
      <c r="F336" s="24" t="s">
        <v>51</v>
      </c>
      <c r="G336" s="13">
        <v>300.0</v>
      </c>
      <c r="H336" s="15">
        <v>7001.0</v>
      </c>
      <c r="I336" s="15"/>
      <c r="J336" s="15"/>
      <c r="K336" s="15"/>
      <c r="L336" s="15" t="s">
        <v>38</v>
      </c>
      <c r="M336" s="15"/>
      <c r="N336" s="15" t="s">
        <v>39</v>
      </c>
      <c r="O336" s="15" t="s">
        <v>40</v>
      </c>
      <c r="P336" s="15" t="s">
        <v>40</v>
      </c>
      <c r="Q336" s="15" t="s">
        <v>41</v>
      </c>
      <c r="R336" s="15" t="s">
        <v>54</v>
      </c>
      <c r="S336" s="15" t="s">
        <v>100</v>
      </c>
      <c r="T336" s="19" t="s">
        <v>101</v>
      </c>
      <c r="U336" s="15" t="s">
        <v>46</v>
      </c>
    </row>
    <row r="337" ht="56.25" customHeight="1">
      <c r="A337" s="13" t="s">
        <v>1513</v>
      </c>
      <c r="B337" s="15" t="str">
        <f>image("https://i.imgur.com/thg8Dxg.png")</f>
        <v/>
      </c>
      <c r="C337" s="17" t="str">
        <f>HYPERLINK("https://imgur.com/a/P4aBcAu","Yes")</f>
        <v>Yes</v>
      </c>
      <c r="D337" s="15" t="s">
        <v>28</v>
      </c>
      <c r="E337" s="15" t="s">
        <v>28</v>
      </c>
      <c r="F337" s="13">
        <v>2900.0</v>
      </c>
      <c r="G337" s="24">
        <v>725.0</v>
      </c>
      <c r="H337" s="15">
        <v>787.0</v>
      </c>
      <c r="I337" s="15" t="s">
        <v>60</v>
      </c>
      <c r="J337" s="15"/>
      <c r="K337" s="15"/>
      <c r="L337" s="15" t="s">
        <v>38</v>
      </c>
      <c r="M337" s="15">
        <v>1.0</v>
      </c>
      <c r="N337" s="15" t="s">
        <v>371</v>
      </c>
      <c r="O337" s="15" t="s">
        <v>40</v>
      </c>
      <c r="P337" s="15" t="s">
        <v>53</v>
      </c>
      <c r="Q337" s="15" t="s">
        <v>41</v>
      </c>
      <c r="R337" s="15" t="s">
        <v>43</v>
      </c>
      <c r="S337" s="15" t="s">
        <v>44</v>
      </c>
      <c r="T337" s="19" t="s">
        <v>45</v>
      </c>
      <c r="U337" s="15" t="s">
        <v>46</v>
      </c>
    </row>
    <row r="338" ht="56.25" customHeight="1">
      <c r="A338" s="23" t="s">
        <v>1515</v>
      </c>
      <c r="B338" s="23" t="str">
        <f>IMAGE("https://i.imgur.com/AAM8GXv.png")</f>
        <v/>
      </c>
      <c r="C338" s="25" t="s">
        <v>40</v>
      </c>
      <c r="D338" s="25" t="s">
        <v>28</v>
      </c>
      <c r="E338" s="25" t="s">
        <v>28</v>
      </c>
      <c r="F338" s="24" t="s">
        <v>51</v>
      </c>
      <c r="G338" s="13">
        <v>24000.0</v>
      </c>
      <c r="H338" s="15">
        <v>7101.0</v>
      </c>
      <c r="I338" s="15"/>
      <c r="J338" s="15"/>
      <c r="K338" s="15"/>
      <c r="L338" s="15" t="s">
        <v>38</v>
      </c>
      <c r="M338" s="15"/>
      <c r="N338" s="15" t="s">
        <v>39</v>
      </c>
      <c r="O338" s="15" t="s">
        <v>40</v>
      </c>
      <c r="P338" s="15" t="s">
        <v>40</v>
      </c>
      <c r="Q338" s="15" t="s">
        <v>41</v>
      </c>
      <c r="R338" s="15" t="s">
        <v>54</v>
      </c>
      <c r="S338" s="15" t="s">
        <v>57</v>
      </c>
      <c r="T338" s="19" t="s">
        <v>58</v>
      </c>
      <c r="U338" s="15" t="s">
        <v>46</v>
      </c>
    </row>
    <row r="339" ht="56.25" customHeight="1">
      <c r="A339" s="13" t="s">
        <v>1517</v>
      </c>
      <c r="B339" s="15" t="str">
        <f>image("https://i.imgur.com/QkBIA9d.png")</f>
        <v/>
      </c>
      <c r="C339" s="17" t="str">
        <f>HYPERLINK("https://imgur.com/a/Q1LcAQ2","Yes")</f>
        <v>Yes</v>
      </c>
      <c r="D339" s="15" t="s">
        <v>28</v>
      </c>
      <c r="E339" s="15" t="s">
        <v>28</v>
      </c>
      <c r="F339" s="13">
        <v>1000.0</v>
      </c>
      <c r="G339" s="13">
        <v>250.0</v>
      </c>
      <c r="H339" s="15">
        <v>3467.0</v>
      </c>
      <c r="I339" s="15" t="s">
        <v>86</v>
      </c>
      <c r="J339" s="15" t="s">
        <v>37</v>
      </c>
      <c r="K339" s="15"/>
      <c r="L339" s="15" t="s">
        <v>38</v>
      </c>
      <c r="M339" s="15">
        <v>1.0</v>
      </c>
      <c r="N339" s="15" t="s">
        <v>39</v>
      </c>
      <c r="O339" s="15" t="s">
        <v>40</v>
      </c>
      <c r="P339" s="15" t="s">
        <v>40</v>
      </c>
      <c r="Q339" s="15" t="s">
        <v>41</v>
      </c>
      <c r="R339" s="15" t="s">
        <v>43</v>
      </c>
      <c r="S339" s="15" t="s">
        <v>44</v>
      </c>
      <c r="T339" s="19" t="s">
        <v>45</v>
      </c>
      <c r="U339" s="15" t="s">
        <v>46</v>
      </c>
    </row>
    <row r="340" ht="56.25" customHeight="1">
      <c r="A340" s="13" t="s">
        <v>1519</v>
      </c>
      <c r="B340" s="15" t="str">
        <f>image("https://i.imgur.com/3OWJp1u.png")</f>
        <v/>
      </c>
      <c r="C340" s="17" t="str">
        <f>HYPERLINK("https://imgur.com/a/fJp3Kqp","Yes")</f>
        <v>Yes</v>
      </c>
      <c r="D340" s="15" t="s">
        <v>50</v>
      </c>
      <c r="E340" s="15" t="s">
        <v>50</v>
      </c>
      <c r="F340" s="13" t="s">
        <v>51</v>
      </c>
      <c r="G340" s="13">
        <v>1740.0</v>
      </c>
      <c r="H340" s="15">
        <v>3773.0</v>
      </c>
      <c r="I340" s="15" t="s">
        <v>60</v>
      </c>
      <c r="J340" s="15"/>
      <c r="K340" s="15"/>
      <c r="L340" s="15" t="s">
        <v>38</v>
      </c>
      <c r="M340" s="15">
        <v>3.0</v>
      </c>
      <c r="N340" s="15" t="s">
        <v>39</v>
      </c>
      <c r="O340" s="15" t="s">
        <v>40</v>
      </c>
      <c r="P340" s="15" t="s">
        <v>40</v>
      </c>
      <c r="Q340" s="15" t="s">
        <v>41</v>
      </c>
      <c r="R340" s="15" t="s">
        <v>54</v>
      </c>
      <c r="S340" s="15" t="s">
        <v>55</v>
      </c>
      <c r="T340" s="19"/>
      <c r="U340" s="15" t="s">
        <v>46</v>
      </c>
    </row>
    <row r="341" ht="56.25" customHeight="1">
      <c r="A341" s="13" t="s">
        <v>1521</v>
      </c>
      <c r="B341" s="15" t="str">
        <f>image("https://i.imgur.com/ZN3IKhT.png")</f>
        <v/>
      </c>
      <c r="C341" s="17" t="str">
        <f>HYPERLINK("https://imgur.com/a/dKXbRV9","Yes")</f>
        <v>Yes</v>
      </c>
      <c r="D341" s="15" t="s">
        <v>28</v>
      </c>
      <c r="E341" s="15" t="s">
        <v>28</v>
      </c>
      <c r="F341" s="13">
        <v>2000.0</v>
      </c>
      <c r="G341" s="13">
        <v>500.0</v>
      </c>
      <c r="H341" s="15">
        <v>4762.0</v>
      </c>
      <c r="I341" s="15" t="s">
        <v>113</v>
      </c>
      <c r="J341" s="15"/>
      <c r="K341" s="15"/>
      <c r="L341" s="15" t="s">
        <v>38</v>
      </c>
      <c r="M341" s="15">
        <v>1.0</v>
      </c>
      <c r="N341" s="15" t="s">
        <v>39</v>
      </c>
      <c r="O341" s="15" t="s">
        <v>40</v>
      </c>
      <c r="P341" s="15" t="s">
        <v>40</v>
      </c>
      <c r="Q341" s="15" t="s">
        <v>41</v>
      </c>
      <c r="R341" s="15" t="s">
        <v>43</v>
      </c>
      <c r="S341" s="15" t="s">
        <v>44</v>
      </c>
      <c r="T341" s="19" t="s">
        <v>68</v>
      </c>
      <c r="U341" s="15" t="s">
        <v>46</v>
      </c>
    </row>
    <row r="342" ht="56.25" customHeight="1">
      <c r="A342" s="13" t="s">
        <v>1524</v>
      </c>
      <c r="B342" s="15" t="str">
        <f>image("https://i.imgur.com/XFVtcSL.png")</f>
        <v/>
      </c>
      <c r="C342" s="17" t="str">
        <f>HYPERLINK("https://imgur.com/a/nSrZ29P","Yes")</f>
        <v>Yes</v>
      </c>
      <c r="D342" s="15" t="s">
        <v>28</v>
      </c>
      <c r="E342" s="15" t="s">
        <v>28</v>
      </c>
      <c r="F342" s="13">
        <v>1800.0</v>
      </c>
      <c r="G342" s="13">
        <v>450.0</v>
      </c>
      <c r="H342" s="15">
        <v>4754.0</v>
      </c>
      <c r="I342" s="15" t="s">
        <v>113</v>
      </c>
      <c r="J342" s="15" t="s">
        <v>346</v>
      </c>
      <c r="K342" s="15"/>
      <c r="L342" s="15" t="s">
        <v>38</v>
      </c>
      <c r="M342" s="15">
        <v>1.0</v>
      </c>
      <c r="N342" s="15" t="s">
        <v>39</v>
      </c>
      <c r="O342" s="15" t="s">
        <v>40</v>
      </c>
      <c r="P342" s="15" t="s">
        <v>53</v>
      </c>
      <c r="Q342" s="15" t="s">
        <v>41</v>
      </c>
      <c r="R342" s="15" t="s">
        <v>43</v>
      </c>
      <c r="S342" s="15" t="s">
        <v>44</v>
      </c>
      <c r="T342" s="19" t="s">
        <v>45</v>
      </c>
      <c r="U342" s="15" t="s">
        <v>46</v>
      </c>
    </row>
    <row r="343" ht="56.25" customHeight="1">
      <c r="A343" s="13" t="s">
        <v>1527</v>
      </c>
      <c r="B343" s="15" t="str">
        <f>image("https://i.imgur.com/SBNmMyP.png")</f>
        <v/>
      </c>
      <c r="C343" s="17" t="str">
        <f>HYPERLINK("https://imgur.com/a/SnSwlYt","Yes")</f>
        <v>Yes</v>
      </c>
      <c r="D343" s="15" t="s">
        <v>28</v>
      </c>
      <c r="E343" s="15" t="s">
        <v>28</v>
      </c>
      <c r="F343" s="13">
        <v>3200.0</v>
      </c>
      <c r="G343" s="13">
        <v>800.0</v>
      </c>
      <c r="H343" s="15">
        <v>4757.0</v>
      </c>
      <c r="I343" s="15" t="s">
        <v>113</v>
      </c>
      <c r="J343" s="15" t="s">
        <v>346</v>
      </c>
      <c r="K343" s="15"/>
      <c r="L343" s="15" t="s">
        <v>38</v>
      </c>
      <c r="M343" s="15">
        <v>2.0</v>
      </c>
      <c r="N343" s="15" t="s">
        <v>371</v>
      </c>
      <c r="O343" s="15" t="s">
        <v>40</v>
      </c>
      <c r="P343" s="15" t="s">
        <v>53</v>
      </c>
      <c r="Q343" s="15" t="s">
        <v>41</v>
      </c>
      <c r="R343" s="15" t="s">
        <v>43</v>
      </c>
      <c r="S343" s="15" t="s">
        <v>44</v>
      </c>
      <c r="T343" s="19" t="s">
        <v>45</v>
      </c>
      <c r="U343" s="15" t="s">
        <v>46</v>
      </c>
    </row>
    <row r="344" ht="56.25" customHeight="1">
      <c r="A344" s="13" t="s">
        <v>1529</v>
      </c>
      <c r="B344" s="15" t="str">
        <f>image("https://i.imgur.com/xKqamcx.png")</f>
        <v/>
      </c>
      <c r="C344" s="17" t="str">
        <f>HYPERLINK("https://imgur.com/a/ds8NJof","Yes")</f>
        <v>Yes</v>
      </c>
      <c r="D344" s="15" t="s">
        <v>28</v>
      </c>
      <c r="E344" s="15" t="s">
        <v>28</v>
      </c>
      <c r="F344" s="13">
        <v>1400.0</v>
      </c>
      <c r="G344" s="13">
        <v>350.0</v>
      </c>
      <c r="H344" s="15">
        <v>4753.0</v>
      </c>
      <c r="I344" s="15" t="s">
        <v>113</v>
      </c>
      <c r="J344" s="15"/>
      <c r="K344" s="15"/>
      <c r="L344" s="15" t="s">
        <v>38</v>
      </c>
      <c r="M344" s="15">
        <v>1.0</v>
      </c>
      <c r="N344" s="15" t="s">
        <v>39</v>
      </c>
      <c r="O344" s="15" t="s">
        <v>40</v>
      </c>
      <c r="P344" s="15" t="s">
        <v>53</v>
      </c>
      <c r="Q344" s="15" t="s">
        <v>41</v>
      </c>
      <c r="R344" s="15" t="s">
        <v>43</v>
      </c>
      <c r="S344" s="15" t="s">
        <v>44</v>
      </c>
      <c r="T344" s="19" t="s">
        <v>45</v>
      </c>
      <c r="U344" s="15" t="s">
        <v>46</v>
      </c>
    </row>
    <row r="345" ht="56.25" customHeight="1">
      <c r="A345" s="23" t="s">
        <v>1531</v>
      </c>
      <c r="B345" s="23" t="str">
        <f>IMAGE("https://i.imgur.com/JeFc2C2.png")</f>
        <v/>
      </c>
      <c r="C345" s="25" t="s">
        <v>40</v>
      </c>
      <c r="D345" s="25" t="s">
        <v>28</v>
      </c>
      <c r="E345" s="25" t="s">
        <v>28</v>
      </c>
      <c r="F345" s="24" t="s">
        <v>51</v>
      </c>
      <c r="G345" s="13">
        <v>4500.0</v>
      </c>
      <c r="H345" s="15">
        <v>7062.0</v>
      </c>
      <c r="I345" s="15"/>
      <c r="J345" s="15"/>
      <c r="K345" s="15"/>
      <c r="L345" s="15" t="s">
        <v>38</v>
      </c>
      <c r="M345" s="15"/>
      <c r="N345" s="15" t="s">
        <v>39</v>
      </c>
      <c r="O345" s="15" t="s">
        <v>40</v>
      </c>
      <c r="P345" s="15" t="s">
        <v>40</v>
      </c>
      <c r="Q345" s="15" t="s">
        <v>41</v>
      </c>
      <c r="R345" s="15" t="s">
        <v>54</v>
      </c>
      <c r="S345" s="15" t="s">
        <v>57</v>
      </c>
      <c r="T345" s="19" t="s">
        <v>58</v>
      </c>
      <c r="U345" s="15" t="s">
        <v>46</v>
      </c>
    </row>
    <row r="346" ht="56.25" customHeight="1">
      <c r="A346" s="23" t="s">
        <v>1532</v>
      </c>
      <c r="B346" s="23" t="str">
        <f>IMAGE("https://i.imgur.com/KKomhK0.png")</f>
        <v/>
      </c>
      <c r="C346" s="25" t="s">
        <v>40</v>
      </c>
      <c r="D346" s="25" t="s">
        <v>28</v>
      </c>
      <c r="E346" s="25" t="s">
        <v>28</v>
      </c>
      <c r="F346" s="24" t="s">
        <v>51</v>
      </c>
      <c r="G346" s="13">
        <v>720.0</v>
      </c>
      <c r="H346" s="15">
        <v>5944.0</v>
      </c>
      <c r="I346" s="15"/>
      <c r="J346" s="15"/>
      <c r="K346" s="15"/>
      <c r="L346" s="15" t="s">
        <v>38</v>
      </c>
      <c r="M346" s="15"/>
      <c r="N346" s="15" t="s">
        <v>39</v>
      </c>
      <c r="O346" s="15" t="s">
        <v>40</v>
      </c>
      <c r="P346" s="15" t="s">
        <v>40</v>
      </c>
      <c r="Q346" s="15" t="s">
        <v>41</v>
      </c>
      <c r="R346" s="15" t="s">
        <v>54</v>
      </c>
      <c r="S346" s="15" t="s">
        <v>57</v>
      </c>
      <c r="T346" s="19" t="s">
        <v>58</v>
      </c>
      <c r="U346" s="15" t="s">
        <v>46</v>
      </c>
    </row>
    <row r="347" ht="56.25" customHeight="1">
      <c r="A347" s="23" t="s">
        <v>1534</v>
      </c>
      <c r="B347" s="32" t="str">
        <f>image("https://i.imgur.com/orcKJf1.png")</f>
        <v/>
      </c>
      <c r="C347" s="25" t="s">
        <v>40</v>
      </c>
      <c r="D347" s="25" t="s">
        <v>28</v>
      </c>
      <c r="E347" s="25" t="s">
        <v>28</v>
      </c>
      <c r="F347" s="24" t="s">
        <v>51</v>
      </c>
      <c r="G347" s="13">
        <v>2400.0</v>
      </c>
      <c r="H347" s="15">
        <v>7022.0</v>
      </c>
      <c r="I347" s="15"/>
      <c r="J347" s="15"/>
      <c r="K347" s="15"/>
      <c r="L347" s="15" t="s">
        <v>38</v>
      </c>
      <c r="M347" s="15"/>
      <c r="N347" s="15" t="s">
        <v>39</v>
      </c>
      <c r="O347" s="15" t="s">
        <v>40</v>
      </c>
      <c r="P347" s="15" t="s">
        <v>40</v>
      </c>
      <c r="Q347" s="15" t="s">
        <v>41</v>
      </c>
      <c r="R347" s="15" t="s">
        <v>54</v>
      </c>
      <c r="S347" s="15" t="s">
        <v>100</v>
      </c>
      <c r="T347" s="19" t="s">
        <v>101</v>
      </c>
      <c r="U347" s="15" t="s">
        <v>46</v>
      </c>
    </row>
    <row r="348" ht="56.25" customHeight="1">
      <c r="A348" s="13" t="s">
        <v>1535</v>
      </c>
      <c r="B348" s="15" t="str">
        <f>image("https://i.imgur.com/r2IipUg.png")</f>
        <v/>
      </c>
      <c r="C348" s="25" t="s">
        <v>40</v>
      </c>
      <c r="D348" s="15" t="s">
        <v>28</v>
      </c>
      <c r="E348" s="15" t="s">
        <v>28</v>
      </c>
      <c r="F348" s="13">
        <v>1000.0</v>
      </c>
      <c r="G348" s="13">
        <v>250.0</v>
      </c>
      <c r="H348" s="15">
        <v>2592.0</v>
      </c>
      <c r="I348" s="15" t="s">
        <v>243</v>
      </c>
      <c r="J348" s="15"/>
      <c r="K348" s="15"/>
      <c r="L348" s="15" t="s">
        <v>38</v>
      </c>
      <c r="M348" s="15"/>
      <c r="N348" s="15" t="s">
        <v>39</v>
      </c>
      <c r="O348" s="15" t="s">
        <v>40</v>
      </c>
      <c r="P348" s="15" t="s">
        <v>40</v>
      </c>
      <c r="Q348" s="15" t="s">
        <v>41</v>
      </c>
      <c r="R348" s="15" t="s">
        <v>43</v>
      </c>
      <c r="S348" s="15" t="s">
        <v>44</v>
      </c>
      <c r="T348" s="19" t="s">
        <v>202</v>
      </c>
      <c r="U348" s="15" t="s">
        <v>46</v>
      </c>
    </row>
    <row r="349" ht="56.25" customHeight="1">
      <c r="A349" s="13" t="s">
        <v>1537</v>
      </c>
      <c r="B349" s="15" t="str">
        <f>image("https://i.imgur.com/OhBxUJt.png")</f>
        <v/>
      </c>
      <c r="C349" s="17" t="str">
        <f>HYPERLINK("https://imgur.com/a/SXpPnlz","Yes")</f>
        <v>Yes</v>
      </c>
      <c r="D349" s="15" t="s">
        <v>28</v>
      </c>
      <c r="E349" s="15" t="s">
        <v>28</v>
      </c>
      <c r="F349" s="13">
        <v>180.0</v>
      </c>
      <c r="G349" s="13">
        <v>45.0</v>
      </c>
      <c r="H349" s="15">
        <v>4114.0</v>
      </c>
      <c r="I349" s="15" t="s">
        <v>60</v>
      </c>
      <c r="J349" s="15" t="s">
        <v>61</v>
      </c>
      <c r="K349" s="15"/>
      <c r="L349" s="15" t="s">
        <v>38</v>
      </c>
      <c r="M349" s="15">
        <v>1.0</v>
      </c>
      <c r="N349" s="15" t="s">
        <v>39</v>
      </c>
      <c r="O349" s="15" t="s">
        <v>40</v>
      </c>
      <c r="P349" s="15" t="s">
        <v>40</v>
      </c>
      <c r="Q349" s="15" t="s">
        <v>41</v>
      </c>
      <c r="R349" s="15" t="s">
        <v>43</v>
      </c>
      <c r="S349" s="15" t="s">
        <v>44</v>
      </c>
      <c r="T349" s="19" t="s">
        <v>202</v>
      </c>
      <c r="U349" s="15" t="s">
        <v>46</v>
      </c>
    </row>
    <row r="350" ht="56.25" customHeight="1">
      <c r="A350" s="13" t="s">
        <v>1540</v>
      </c>
      <c r="B350" s="15" t="str">
        <f>image("https://i.imgur.com/DWE0j1N.png")</f>
        <v/>
      </c>
      <c r="C350" s="17" t="str">
        <f>HYPERLINK("https://imgur.com/a/XOya5ja","Yes")</f>
        <v>Yes</v>
      </c>
      <c r="D350" s="15" t="s">
        <v>28</v>
      </c>
      <c r="E350" s="15" t="s">
        <v>28</v>
      </c>
      <c r="F350" s="13">
        <v>1800.0</v>
      </c>
      <c r="G350" s="13">
        <v>450.0</v>
      </c>
      <c r="H350" s="15">
        <v>4687.0</v>
      </c>
      <c r="I350" s="15" t="s">
        <v>243</v>
      </c>
      <c r="J350" s="15"/>
      <c r="K350" s="15"/>
      <c r="L350" s="15" t="s">
        <v>38</v>
      </c>
      <c r="M350" s="15">
        <v>1.0</v>
      </c>
      <c r="N350" s="15" t="s">
        <v>39</v>
      </c>
      <c r="O350" s="15" t="s">
        <v>40</v>
      </c>
      <c r="P350" s="15" t="s">
        <v>53</v>
      </c>
      <c r="Q350" s="15" t="s">
        <v>41</v>
      </c>
      <c r="R350" s="15" t="s">
        <v>43</v>
      </c>
      <c r="S350" s="15" t="s">
        <v>44</v>
      </c>
      <c r="T350" s="19" t="s">
        <v>202</v>
      </c>
      <c r="U350" s="15" t="s">
        <v>46</v>
      </c>
    </row>
    <row r="351" ht="56.25" customHeight="1">
      <c r="A351" s="13" t="s">
        <v>1542</v>
      </c>
      <c r="B351" s="15" t="str">
        <f>image("https://i.imgur.com/wm40wMQ.png")</f>
        <v/>
      </c>
      <c r="C351" s="17" t="str">
        <f>HYPERLINK("https://imgur.com/a/UG4SEgT","Yes")</f>
        <v>Yes</v>
      </c>
      <c r="D351" s="15" t="s">
        <v>28</v>
      </c>
      <c r="E351" s="15" t="s">
        <v>28</v>
      </c>
      <c r="F351" s="13">
        <v>2500.0</v>
      </c>
      <c r="G351" s="13">
        <v>625.0</v>
      </c>
      <c r="H351" s="15">
        <v>3623.0</v>
      </c>
      <c r="I351" s="15" t="s">
        <v>113</v>
      </c>
      <c r="J351" s="15" t="s">
        <v>36</v>
      </c>
      <c r="K351" s="15"/>
      <c r="L351" s="15" t="s">
        <v>38</v>
      </c>
      <c r="M351" s="15">
        <v>1.0</v>
      </c>
      <c r="N351" s="15" t="s">
        <v>39</v>
      </c>
      <c r="O351" s="15" t="s">
        <v>40</v>
      </c>
      <c r="P351" s="15" t="s">
        <v>40</v>
      </c>
      <c r="Q351" s="15" t="s">
        <v>41</v>
      </c>
      <c r="R351" s="15" t="s">
        <v>43</v>
      </c>
      <c r="S351" s="15" t="s">
        <v>44</v>
      </c>
      <c r="T351" s="19" t="s">
        <v>45</v>
      </c>
      <c r="U351" s="15" t="s">
        <v>46</v>
      </c>
    </row>
    <row r="352" ht="56.25" customHeight="1">
      <c r="A352" s="13" t="s">
        <v>1546</v>
      </c>
      <c r="B352" s="15" t="str">
        <f>image("https://i.imgur.com/groy2MC.png")</f>
        <v/>
      </c>
      <c r="C352" s="25" t="s">
        <v>40</v>
      </c>
      <c r="D352" s="15" t="s">
        <v>28</v>
      </c>
      <c r="E352" s="15" t="s">
        <v>28</v>
      </c>
      <c r="F352" s="13" t="s">
        <v>51</v>
      </c>
      <c r="G352" s="13">
        <v>50.0</v>
      </c>
      <c r="H352" s="15">
        <v>3969.0</v>
      </c>
      <c r="I352" s="15" t="s">
        <v>113</v>
      </c>
      <c r="J352" s="15" t="s">
        <v>346</v>
      </c>
      <c r="K352" s="15"/>
      <c r="L352" s="15" t="s">
        <v>38</v>
      </c>
      <c r="M352" s="15"/>
      <c r="N352" s="15" t="s">
        <v>39</v>
      </c>
      <c r="O352" s="15" t="s">
        <v>40</v>
      </c>
      <c r="P352" s="15" t="s">
        <v>53</v>
      </c>
      <c r="Q352" s="15" t="s">
        <v>41</v>
      </c>
      <c r="R352" s="15" t="s">
        <v>54</v>
      </c>
      <c r="S352" s="15" t="s">
        <v>264</v>
      </c>
      <c r="T352" s="19"/>
      <c r="U352" s="15" t="s">
        <v>46</v>
      </c>
    </row>
    <row r="353" ht="56.25" customHeight="1">
      <c r="A353" s="13" t="s">
        <v>1548</v>
      </c>
      <c r="B353" s="15" t="str">
        <f>image("https://i.imgur.com/ddG8QIS.png")</f>
        <v/>
      </c>
      <c r="C353" s="25" t="s">
        <v>40</v>
      </c>
      <c r="D353" s="15" t="s">
        <v>28</v>
      </c>
      <c r="E353" s="15" t="s">
        <v>28</v>
      </c>
      <c r="F353" s="13" t="s">
        <v>51</v>
      </c>
      <c r="G353" s="13">
        <v>70.0</v>
      </c>
      <c r="H353" s="15">
        <v>3620.0</v>
      </c>
      <c r="I353" s="15" t="s">
        <v>113</v>
      </c>
      <c r="J353" s="15" t="s">
        <v>346</v>
      </c>
      <c r="K353" s="15"/>
      <c r="L353" s="15" t="s">
        <v>38</v>
      </c>
      <c r="M353" s="15"/>
      <c r="N353" s="15" t="s">
        <v>39</v>
      </c>
      <c r="O353" s="15" t="s">
        <v>40</v>
      </c>
      <c r="P353" s="15" t="s">
        <v>53</v>
      </c>
      <c r="Q353" s="15" t="s">
        <v>41</v>
      </c>
      <c r="R353" s="15" t="s">
        <v>54</v>
      </c>
      <c r="S353" s="15" t="s">
        <v>264</v>
      </c>
      <c r="T353" s="19"/>
      <c r="U353" s="15" t="s">
        <v>46</v>
      </c>
    </row>
    <row r="354" ht="56.25" customHeight="1">
      <c r="A354" s="13" t="s">
        <v>1550</v>
      </c>
      <c r="B354" s="15" t="str">
        <f>image("https://i.imgur.com/bzEnNfm.png")</f>
        <v/>
      </c>
      <c r="C354" s="25" t="s">
        <v>40</v>
      </c>
      <c r="D354" s="15" t="s">
        <v>50</v>
      </c>
      <c r="E354" s="15" t="s">
        <v>28</v>
      </c>
      <c r="F354" s="13" t="s">
        <v>51</v>
      </c>
      <c r="G354" s="13">
        <v>1840.0</v>
      </c>
      <c r="H354" s="15">
        <v>5975.0</v>
      </c>
      <c r="I354" s="15" t="s">
        <v>113</v>
      </c>
      <c r="J354" s="15" t="s">
        <v>36</v>
      </c>
      <c r="K354" s="15"/>
      <c r="L354" s="15" t="s">
        <v>38</v>
      </c>
      <c r="M354" s="15"/>
      <c r="N354" s="15" t="s">
        <v>39</v>
      </c>
      <c r="O354" s="15" t="s">
        <v>40</v>
      </c>
      <c r="P354" s="15" t="s">
        <v>53</v>
      </c>
      <c r="Q354" s="15" t="s">
        <v>41</v>
      </c>
      <c r="R354" s="15" t="s">
        <v>54</v>
      </c>
      <c r="S354" s="15" t="s">
        <v>55</v>
      </c>
      <c r="T354" s="19" t="s">
        <v>1181</v>
      </c>
      <c r="U354" s="15" t="s">
        <v>46</v>
      </c>
    </row>
    <row r="355" ht="56.25" customHeight="1">
      <c r="A355" s="13" t="s">
        <v>1552</v>
      </c>
      <c r="B355" s="15" t="str">
        <f>image("https://i.imgur.com/f7clork.png")</f>
        <v/>
      </c>
      <c r="C355" s="17" t="str">
        <f>HYPERLINK("https://imgur.com/a/V4j0HXp","Yes")</f>
        <v>Yes</v>
      </c>
      <c r="D355" s="15" t="s">
        <v>28</v>
      </c>
      <c r="E355" s="15" t="s">
        <v>28</v>
      </c>
      <c r="F355" s="13">
        <v>1000.0</v>
      </c>
      <c r="G355" s="13">
        <v>250.0</v>
      </c>
      <c r="H355" s="15">
        <v>4033.0</v>
      </c>
      <c r="I355" s="15" t="s">
        <v>161</v>
      </c>
      <c r="J355" s="15" t="s">
        <v>37</v>
      </c>
      <c r="K355" s="15"/>
      <c r="L355" s="15" t="s">
        <v>38</v>
      </c>
      <c r="M355" s="15">
        <v>1.0</v>
      </c>
      <c r="N355" s="15" t="s">
        <v>39</v>
      </c>
      <c r="O355" s="15" t="s">
        <v>40</v>
      </c>
      <c r="P355" s="15" t="s">
        <v>40</v>
      </c>
      <c r="Q355" s="15" t="s">
        <v>41</v>
      </c>
      <c r="R355" s="15" t="s">
        <v>43</v>
      </c>
      <c r="S355" s="15" t="s">
        <v>44</v>
      </c>
      <c r="T355" s="19" t="s">
        <v>45</v>
      </c>
      <c r="U355" s="15" t="s">
        <v>46</v>
      </c>
    </row>
    <row r="356" ht="56.25" customHeight="1">
      <c r="A356" s="13" t="s">
        <v>1554</v>
      </c>
      <c r="B356" s="15" t="str">
        <f>image("https://i.imgur.com/tCc52hv.png")</f>
        <v/>
      </c>
      <c r="C356" s="17" t="str">
        <f>HYPERLINK("https://imgur.com/a/B5MUW0w","Yes")</f>
        <v>Yes</v>
      </c>
      <c r="D356" s="15" t="s">
        <v>50</v>
      </c>
      <c r="E356" s="15" t="s">
        <v>50</v>
      </c>
      <c r="F356" s="13" t="s">
        <v>51</v>
      </c>
      <c r="G356" s="13">
        <v>60.0</v>
      </c>
      <c r="H356" s="15">
        <v>1823.0</v>
      </c>
      <c r="I356" s="15" t="s">
        <v>243</v>
      </c>
      <c r="J356" s="15"/>
      <c r="K356" s="15"/>
      <c r="L356" s="15" t="s">
        <v>38</v>
      </c>
      <c r="M356" s="15">
        <v>1.0</v>
      </c>
      <c r="N356" s="15" t="s">
        <v>39</v>
      </c>
      <c r="O356" s="15" t="s">
        <v>40</v>
      </c>
      <c r="P356" s="15" t="s">
        <v>40</v>
      </c>
      <c r="Q356" s="15" t="s">
        <v>41</v>
      </c>
      <c r="R356" s="15" t="s">
        <v>54</v>
      </c>
      <c r="S356" s="15" t="s">
        <v>55</v>
      </c>
      <c r="T356" s="19"/>
      <c r="U356" s="15" t="s">
        <v>46</v>
      </c>
    </row>
    <row r="357" ht="56.25" customHeight="1">
      <c r="A357" s="13" t="s">
        <v>1555</v>
      </c>
      <c r="B357" s="15" t="str">
        <f>image("https://i.imgur.com/KOztUPG.png")</f>
        <v/>
      </c>
      <c r="C357" s="17" t="str">
        <f>HYPERLINK("https://imgur.com/a/aM3Uvur","Yes")</f>
        <v>Yes</v>
      </c>
      <c r="D357" s="15" t="s">
        <v>50</v>
      </c>
      <c r="E357" s="15" t="s">
        <v>50</v>
      </c>
      <c r="F357" s="38" t="s">
        <v>51</v>
      </c>
      <c r="G357" s="13">
        <v>3200.0</v>
      </c>
      <c r="H357" s="15">
        <v>6078.0</v>
      </c>
      <c r="I357" s="15" t="s">
        <v>36</v>
      </c>
      <c r="J357" s="15"/>
      <c r="K357" s="15"/>
      <c r="L357" s="15" t="s">
        <v>38</v>
      </c>
      <c r="M357" s="15">
        <v>5.0</v>
      </c>
      <c r="N357" s="15" t="s">
        <v>39</v>
      </c>
      <c r="O357" s="15" t="s">
        <v>40</v>
      </c>
      <c r="P357" s="15" t="s">
        <v>53</v>
      </c>
      <c r="Q357" s="15" t="s">
        <v>186</v>
      </c>
      <c r="R357" s="15" t="s">
        <v>54</v>
      </c>
      <c r="S357" s="15" t="s">
        <v>55</v>
      </c>
      <c r="T357" s="19" t="s">
        <v>1181</v>
      </c>
      <c r="U357" s="15" t="s">
        <v>46</v>
      </c>
    </row>
    <row r="358" ht="56.25" customHeight="1">
      <c r="A358" s="13" t="s">
        <v>1557</v>
      </c>
      <c r="B358" s="15" t="str">
        <f>image("https://i.imgur.com/DZplKE6.png")</f>
        <v/>
      </c>
      <c r="C358" s="17" t="str">
        <f>HYPERLINK("https://imgur.com/a/ieeFifX","Yes")</f>
        <v>Yes</v>
      </c>
      <c r="D358" s="15" t="s">
        <v>50</v>
      </c>
      <c r="E358" s="15" t="s">
        <v>50</v>
      </c>
      <c r="F358" s="13" t="s">
        <v>51</v>
      </c>
      <c r="G358" s="13">
        <v>4120.0</v>
      </c>
      <c r="H358" s="15">
        <v>6079.0</v>
      </c>
      <c r="I358" s="15" t="s">
        <v>212</v>
      </c>
      <c r="J358" s="15" t="s">
        <v>36</v>
      </c>
      <c r="K358" s="15"/>
      <c r="L358" s="15" t="s">
        <v>38</v>
      </c>
      <c r="M358" s="15">
        <v>6.0</v>
      </c>
      <c r="N358" s="15" t="s">
        <v>39</v>
      </c>
      <c r="O358" s="15" t="s">
        <v>40</v>
      </c>
      <c r="P358" s="15" t="s">
        <v>40</v>
      </c>
      <c r="Q358" s="15" t="s">
        <v>41</v>
      </c>
      <c r="R358" s="15" t="s">
        <v>54</v>
      </c>
      <c r="S358" s="15" t="s">
        <v>55</v>
      </c>
      <c r="T358" s="19" t="s">
        <v>1181</v>
      </c>
      <c r="U358" s="15" t="s">
        <v>46</v>
      </c>
    </row>
    <row r="359" ht="56.25" customHeight="1">
      <c r="A359" s="23" t="s">
        <v>1558</v>
      </c>
      <c r="B359" s="32" t="str">
        <f>image("https://i.imgur.com/UPUh0VR.png")</f>
        <v/>
      </c>
      <c r="C359" s="25" t="s">
        <v>40</v>
      </c>
      <c r="D359" s="25" t="s">
        <v>28</v>
      </c>
      <c r="E359" s="25" t="s">
        <v>28</v>
      </c>
      <c r="F359" s="24" t="s">
        <v>51</v>
      </c>
      <c r="G359" s="13">
        <v>21000.0</v>
      </c>
      <c r="H359" s="15">
        <v>6983.0</v>
      </c>
      <c r="I359" s="15"/>
      <c r="J359" s="15"/>
      <c r="K359" s="15"/>
      <c r="L359" s="15" t="s">
        <v>38</v>
      </c>
      <c r="M359" s="15"/>
      <c r="N359" s="15" t="s">
        <v>39</v>
      </c>
      <c r="O359" s="15" t="s">
        <v>40</v>
      </c>
      <c r="P359" s="15" t="s">
        <v>40</v>
      </c>
      <c r="Q359" s="15" t="s">
        <v>41</v>
      </c>
      <c r="R359" s="15" t="s">
        <v>54</v>
      </c>
      <c r="S359" s="15" t="s">
        <v>100</v>
      </c>
      <c r="T359" s="19" t="s">
        <v>101</v>
      </c>
      <c r="U359" s="15" t="s">
        <v>46</v>
      </c>
    </row>
    <row r="360" ht="56.25" customHeight="1">
      <c r="A360" s="13" t="s">
        <v>1560</v>
      </c>
      <c r="B360" s="15" t="str">
        <f>image("https://i.imgur.com/uT7nR17.png")</f>
        <v/>
      </c>
      <c r="C360" s="17" t="str">
        <f>HYPERLINK("https://imgur.com/a/7OVrP8y","Yes")</f>
        <v>Yes</v>
      </c>
      <c r="D360" s="15" t="s">
        <v>28</v>
      </c>
      <c r="E360" s="15" t="s">
        <v>28</v>
      </c>
      <c r="F360" s="13">
        <v>2000.0</v>
      </c>
      <c r="G360" s="13">
        <v>500.0</v>
      </c>
      <c r="H360" s="15">
        <v>1211.0</v>
      </c>
      <c r="I360" s="15" t="s">
        <v>61</v>
      </c>
      <c r="J360" s="15" t="s">
        <v>136</v>
      </c>
      <c r="K360" s="15"/>
      <c r="L360" s="15" t="s">
        <v>38</v>
      </c>
      <c r="M360" s="15">
        <v>1.0</v>
      </c>
      <c r="N360" s="15" t="s">
        <v>39</v>
      </c>
      <c r="O360" s="15" t="s">
        <v>40</v>
      </c>
      <c r="P360" s="15" t="s">
        <v>53</v>
      </c>
      <c r="Q360" s="15" t="s">
        <v>41</v>
      </c>
      <c r="R360" s="15" t="s">
        <v>43</v>
      </c>
      <c r="S360" s="15" t="s">
        <v>44</v>
      </c>
      <c r="T360" s="19" t="s">
        <v>45</v>
      </c>
      <c r="U360" s="15" t="s">
        <v>46</v>
      </c>
    </row>
    <row r="361" ht="56.25" customHeight="1">
      <c r="A361" s="24" t="s">
        <v>1563</v>
      </c>
      <c r="B361" s="15" t="str">
        <f>image("https://i.imgur.com/7Ik5yhA.png")</f>
        <v/>
      </c>
      <c r="C361" s="17" t="str">
        <f>HYPERLINK("https://imgur.com/a/f7VVbeP","Yes")</f>
        <v>Yes</v>
      </c>
      <c r="D361" s="15" t="s">
        <v>50</v>
      </c>
      <c r="E361" s="15" t="s">
        <v>50</v>
      </c>
      <c r="F361" s="13" t="s">
        <v>51</v>
      </c>
      <c r="G361" s="24">
        <v>600.0</v>
      </c>
      <c r="H361" s="15">
        <v>669.0</v>
      </c>
      <c r="I361" s="15" t="s">
        <v>84</v>
      </c>
      <c r="J361" s="15"/>
      <c r="K361" s="15"/>
      <c r="L361" s="15" t="s">
        <v>38</v>
      </c>
      <c r="M361" s="15">
        <v>1.0</v>
      </c>
      <c r="N361" s="15" t="s">
        <v>39</v>
      </c>
      <c r="O361" s="15" t="s">
        <v>40</v>
      </c>
      <c r="P361" s="15" t="s">
        <v>53</v>
      </c>
      <c r="Q361" s="15" t="s">
        <v>41</v>
      </c>
      <c r="R361" s="15" t="s">
        <v>54</v>
      </c>
      <c r="S361" s="15" t="s">
        <v>55</v>
      </c>
      <c r="T361" s="19"/>
      <c r="U361" s="15" t="s">
        <v>46</v>
      </c>
    </row>
    <row r="362" ht="56.25" customHeight="1">
      <c r="A362" s="13" t="s">
        <v>1565</v>
      </c>
      <c r="B362" s="15" t="str">
        <f>image("https://i.imgur.com/Ft6dnjR.png")</f>
        <v/>
      </c>
      <c r="C362" s="17" t="str">
        <f>HYPERLINK("https://imgur.com/a/FIQH5Tb","Yes")</f>
        <v>Yes</v>
      </c>
      <c r="D362" s="15" t="s">
        <v>28</v>
      </c>
      <c r="E362" s="15" t="s">
        <v>28</v>
      </c>
      <c r="F362" s="13">
        <v>290.0</v>
      </c>
      <c r="G362" s="24">
        <v>72.0</v>
      </c>
      <c r="H362" s="15">
        <v>4308.0</v>
      </c>
      <c r="I362" s="15" t="s">
        <v>113</v>
      </c>
      <c r="J362" s="15"/>
      <c r="K362" s="15"/>
      <c r="L362" s="15" t="s">
        <v>38</v>
      </c>
      <c r="M362" s="15">
        <v>1.0</v>
      </c>
      <c r="N362" s="15" t="s">
        <v>39</v>
      </c>
      <c r="O362" s="15" t="s">
        <v>40</v>
      </c>
      <c r="P362" s="15" t="s">
        <v>40</v>
      </c>
      <c r="Q362" s="15" t="s">
        <v>41</v>
      </c>
      <c r="R362" s="15" t="s">
        <v>43</v>
      </c>
      <c r="S362" s="15" t="s">
        <v>44</v>
      </c>
      <c r="T362" s="19" t="s">
        <v>45</v>
      </c>
      <c r="U362" s="15" t="s">
        <v>46</v>
      </c>
    </row>
    <row r="363" ht="56.25" customHeight="1">
      <c r="A363" s="13" t="s">
        <v>1567</v>
      </c>
      <c r="B363" s="15" t="str">
        <f>image("https://i.imgur.com/l1AVsgB.png")</f>
        <v/>
      </c>
      <c r="C363" s="17" t="str">
        <f>HYPERLINK("https://imgur.com/a/NnpyDql","Yes")</f>
        <v>Yes</v>
      </c>
      <c r="D363" s="15" t="s">
        <v>50</v>
      </c>
      <c r="E363" s="15" t="s">
        <v>50</v>
      </c>
      <c r="F363" s="13" t="s">
        <v>51</v>
      </c>
      <c r="G363" s="13">
        <v>600.0</v>
      </c>
      <c r="H363" s="15">
        <v>4025.0</v>
      </c>
      <c r="I363" s="15" t="s">
        <v>86</v>
      </c>
      <c r="J363" s="15" t="s">
        <v>37</v>
      </c>
      <c r="K363" s="15"/>
      <c r="L363" s="15" t="s">
        <v>38</v>
      </c>
      <c r="M363" s="15">
        <v>1.0</v>
      </c>
      <c r="N363" s="15" t="s">
        <v>39</v>
      </c>
      <c r="O363" s="15" t="s">
        <v>40</v>
      </c>
      <c r="P363" s="15" t="s">
        <v>40</v>
      </c>
      <c r="Q363" s="15" t="s">
        <v>41</v>
      </c>
      <c r="R363" s="15" t="s">
        <v>54</v>
      </c>
      <c r="S363" s="15" t="s">
        <v>55</v>
      </c>
      <c r="T363" s="19"/>
      <c r="U363" s="15" t="s">
        <v>46</v>
      </c>
    </row>
    <row r="364" ht="56.25" customHeight="1">
      <c r="A364" s="23" t="s">
        <v>1569</v>
      </c>
      <c r="B364" s="23" t="str">
        <f>IMAGE("https://i.imgur.com/WljIPlx.png")</f>
        <v/>
      </c>
      <c r="C364" s="25" t="s">
        <v>40</v>
      </c>
      <c r="D364" s="25" t="s">
        <v>28</v>
      </c>
      <c r="E364" s="25" t="s">
        <v>28</v>
      </c>
      <c r="F364" s="24" t="s">
        <v>51</v>
      </c>
      <c r="G364" s="13">
        <v>1350.0</v>
      </c>
      <c r="H364" s="15">
        <v>7105.0</v>
      </c>
      <c r="I364" s="15"/>
      <c r="J364" s="15"/>
      <c r="K364" s="15"/>
      <c r="L364" s="15" t="s">
        <v>38</v>
      </c>
      <c r="M364" s="15"/>
      <c r="N364" s="15" t="s">
        <v>39</v>
      </c>
      <c r="O364" s="15" t="s">
        <v>40</v>
      </c>
      <c r="P364" s="15" t="s">
        <v>40</v>
      </c>
      <c r="Q364" s="15" t="s">
        <v>41</v>
      </c>
      <c r="R364" s="15" t="s">
        <v>54</v>
      </c>
      <c r="S364" s="15" t="s">
        <v>57</v>
      </c>
      <c r="T364" s="19" t="s">
        <v>58</v>
      </c>
      <c r="U364" s="15" t="s">
        <v>46</v>
      </c>
    </row>
    <row r="365" ht="56.25" customHeight="1">
      <c r="A365" s="23" t="s">
        <v>1571</v>
      </c>
      <c r="B365" s="23" t="str">
        <f>IMAGE("https://i.imgur.com/dP2oFoN.png")</f>
        <v/>
      </c>
      <c r="C365" s="25" t="s">
        <v>40</v>
      </c>
      <c r="D365" s="25" t="s">
        <v>28</v>
      </c>
      <c r="E365" s="25" t="s">
        <v>28</v>
      </c>
      <c r="F365" s="24" t="s">
        <v>51</v>
      </c>
      <c r="G365" s="13">
        <v>1200.0</v>
      </c>
      <c r="H365" s="15">
        <v>7104.0</v>
      </c>
      <c r="I365" s="15"/>
      <c r="J365" s="15"/>
      <c r="K365" s="15"/>
      <c r="L365" s="15" t="s">
        <v>38</v>
      </c>
      <c r="M365" s="15"/>
      <c r="N365" s="15" t="s">
        <v>39</v>
      </c>
      <c r="O365" s="15" t="s">
        <v>40</v>
      </c>
      <c r="P365" s="15" t="s">
        <v>40</v>
      </c>
      <c r="Q365" s="15" t="s">
        <v>41</v>
      </c>
      <c r="R365" s="15" t="s">
        <v>54</v>
      </c>
      <c r="S365" s="15" t="s">
        <v>57</v>
      </c>
      <c r="T365" s="19" t="s">
        <v>58</v>
      </c>
      <c r="U365" s="15" t="s">
        <v>46</v>
      </c>
    </row>
    <row r="366" ht="56.25" customHeight="1">
      <c r="A366" s="23" t="s">
        <v>1573</v>
      </c>
      <c r="B366" s="23" t="str">
        <f>IMAGE("https://i.imgur.com/FDHV6No.png")</f>
        <v/>
      </c>
      <c r="C366" s="25" t="s">
        <v>40</v>
      </c>
      <c r="D366" s="25" t="s">
        <v>28</v>
      </c>
      <c r="E366" s="25" t="s">
        <v>28</v>
      </c>
      <c r="F366" s="24" t="s">
        <v>51</v>
      </c>
      <c r="G366" s="13">
        <v>1800.0</v>
      </c>
      <c r="H366" s="15">
        <v>7076.0</v>
      </c>
      <c r="I366" s="15"/>
      <c r="J366" s="15"/>
      <c r="K366" s="15"/>
      <c r="L366" s="15" t="s">
        <v>38</v>
      </c>
      <c r="M366" s="15"/>
      <c r="N366" s="15" t="s">
        <v>39</v>
      </c>
      <c r="O366" s="15" t="s">
        <v>40</v>
      </c>
      <c r="P366" s="15" t="s">
        <v>40</v>
      </c>
      <c r="Q366" s="15" t="s">
        <v>41</v>
      </c>
      <c r="R366" s="15" t="s">
        <v>54</v>
      </c>
      <c r="S366" s="15" t="s">
        <v>57</v>
      </c>
      <c r="T366" s="19" t="s">
        <v>58</v>
      </c>
      <c r="U366" s="15" t="s">
        <v>46</v>
      </c>
    </row>
    <row r="367" ht="56.25" customHeight="1">
      <c r="A367" s="23" t="s">
        <v>1574</v>
      </c>
      <c r="B367" s="23" t="str">
        <f>IMAGE("https://i.imgur.com/7qx2efh.png")</f>
        <v/>
      </c>
      <c r="C367" s="25" t="s">
        <v>40</v>
      </c>
      <c r="D367" s="25" t="s">
        <v>28</v>
      </c>
      <c r="E367" s="25" t="s">
        <v>28</v>
      </c>
      <c r="F367" s="24" t="s">
        <v>51</v>
      </c>
      <c r="G367" s="13">
        <v>1800.0</v>
      </c>
      <c r="H367" s="15">
        <v>7087.0</v>
      </c>
      <c r="I367" s="15"/>
      <c r="J367" s="15"/>
      <c r="K367" s="15"/>
      <c r="L367" s="15" t="s">
        <v>38</v>
      </c>
      <c r="M367" s="15"/>
      <c r="N367" s="15" t="s">
        <v>39</v>
      </c>
      <c r="O367" s="15" t="s">
        <v>40</v>
      </c>
      <c r="P367" s="15" t="s">
        <v>40</v>
      </c>
      <c r="Q367" s="15" t="s">
        <v>41</v>
      </c>
      <c r="R367" s="15" t="s">
        <v>54</v>
      </c>
      <c r="S367" s="15" t="s">
        <v>57</v>
      </c>
      <c r="T367" s="19" t="s">
        <v>58</v>
      </c>
      <c r="U367" s="15" t="s">
        <v>46</v>
      </c>
    </row>
    <row r="368" ht="56.25" customHeight="1">
      <c r="A368" s="23" t="s">
        <v>1576</v>
      </c>
      <c r="B368" s="23" t="str">
        <f>IMAGE("https://i.imgur.com/GKQrMss.png")</f>
        <v/>
      </c>
      <c r="C368" s="25" t="s">
        <v>40</v>
      </c>
      <c r="D368" s="25" t="s">
        <v>28</v>
      </c>
      <c r="E368" s="25" t="s">
        <v>28</v>
      </c>
      <c r="F368" s="24" t="s">
        <v>51</v>
      </c>
      <c r="G368" s="13">
        <v>7500.0</v>
      </c>
      <c r="H368" s="15">
        <v>5927.0</v>
      </c>
      <c r="I368" s="15"/>
      <c r="J368" s="15"/>
      <c r="K368" s="15"/>
      <c r="L368" s="15" t="s">
        <v>38</v>
      </c>
      <c r="M368" s="15"/>
      <c r="N368" s="15" t="s">
        <v>39</v>
      </c>
      <c r="O368" s="15" t="s">
        <v>40</v>
      </c>
      <c r="P368" s="15" t="s">
        <v>40</v>
      </c>
      <c r="Q368" s="15" t="s">
        <v>41</v>
      </c>
      <c r="R368" s="15" t="s">
        <v>54</v>
      </c>
      <c r="S368" s="15" t="s">
        <v>57</v>
      </c>
      <c r="T368" s="19" t="s">
        <v>58</v>
      </c>
      <c r="U368" s="15" t="s">
        <v>46</v>
      </c>
    </row>
    <row r="369" ht="56.25" customHeight="1">
      <c r="A369" s="23" t="s">
        <v>1578</v>
      </c>
      <c r="B369" s="23" t="str">
        <f>IMAGE("https://i.imgur.com/mqhXAoQ.png")</f>
        <v/>
      </c>
      <c r="C369" s="25" t="s">
        <v>40</v>
      </c>
      <c r="D369" s="25" t="s">
        <v>28</v>
      </c>
      <c r="E369" s="25" t="s">
        <v>28</v>
      </c>
      <c r="F369" s="24" t="s">
        <v>51</v>
      </c>
      <c r="G369" s="13">
        <v>600.0</v>
      </c>
      <c r="H369" s="15">
        <v>7055.0</v>
      </c>
      <c r="I369" s="15"/>
      <c r="J369" s="15"/>
      <c r="K369" s="15"/>
      <c r="L369" s="15" t="s">
        <v>38</v>
      </c>
      <c r="M369" s="15"/>
      <c r="N369" s="15" t="s">
        <v>39</v>
      </c>
      <c r="O369" s="15" t="s">
        <v>40</v>
      </c>
      <c r="P369" s="15" t="s">
        <v>40</v>
      </c>
      <c r="Q369" s="15" t="s">
        <v>41</v>
      </c>
      <c r="R369" s="15" t="s">
        <v>54</v>
      </c>
      <c r="S369" s="15" t="s">
        <v>57</v>
      </c>
      <c r="T369" s="19" t="s">
        <v>58</v>
      </c>
      <c r="U369" s="15" t="s">
        <v>46</v>
      </c>
    </row>
    <row r="370" ht="56.25" customHeight="1">
      <c r="A370" s="13" t="s">
        <v>1580</v>
      </c>
      <c r="B370" s="15" t="str">
        <f>image("https://i.imgur.com/R5UMiks.png")</f>
        <v/>
      </c>
      <c r="C370" s="17" t="str">
        <f>HYPERLINK("https://imgur.com/a/oH9IrqJ","Yes")</f>
        <v>Yes</v>
      </c>
      <c r="D370" s="15" t="s">
        <v>50</v>
      </c>
      <c r="E370" s="15" t="s">
        <v>50</v>
      </c>
      <c r="F370" s="13" t="s">
        <v>51</v>
      </c>
      <c r="G370" s="13">
        <v>1740.0</v>
      </c>
      <c r="H370" s="15">
        <v>7233.0</v>
      </c>
      <c r="I370" s="15" t="s">
        <v>36</v>
      </c>
      <c r="J370" s="15"/>
      <c r="K370" s="15"/>
      <c r="L370" s="15" t="s">
        <v>38</v>
      </c>
      <c r="M370" s="15">
        <v>3.0</v>
      </c>
      <c r="N370" s="15" t="s">
        <v>39</v>
      </c>
      <c r="O370" s="15" t="s">
        <v>40</v>
      </c>
      <c r="P370" s="15" t="s">
        <v>53</v>
      </c>
      <c r="Q370" s="15" t="s">
        <v>41</v>
      </c>
      <c r="R370" s="15" t="s">
        <v>54</v>
      </c>
      <c r="S370" s="15" t="s">
        <v>55</v>
      </c>
      <c r="T370" s="19"/>
      <c r="U370" s="15" t="s">
        <v>46</v>
      </c>
    </row>
    <row r="371" ht="56.25" customHeight="1">
      <c r="A371" s="13" t="s">
        <v>1582</v>
      </c>
      <c r="B371" s="46" t="str">
        <f>image("https://i.imgur.com/1MqULrK.png",1)</f>
        <v/>
      </c>
      <c r="C371" s="25" t="s">
        <v>40</v>
      </c>
      <c r="D371" s="15" t="s">
        <v>50</v>
      </c>
      <c r="E371" s="15" t="s">
        <v>28</v>
      </c>
      <c r="F371" s="13" t="s">
        <v>51</v>
      </c>
      <c r="G371" s="13"/>
      <c r="H371" s="15"/>
      <c r="I371" s="15"/>
      <c r="J371" s="15"/>
      <c r="K371" s="15"/>
      <c r="L371" s="15"/>
      <c r="M371" s="15"/>
      <c r="N371" s="15"/>
      <c r="O371" s="15"/>
      <c r="P371" s="15"/>
      <c r="Q371" s="15"/>
      <c r="R371" s="15" t="s">
        <v>54</v>
      </c>
      <c r="S371" s="15" t="s">
        <v>55</v>
      </c>
      <c r="T371" s="19"/>
      <c r="U371" s="15"/>
    </row>
    <row r="372" ht="56.25" customHeight="1">
      <c r="A372" s="13" t="s">
        <v>1584</v>
      </c>
      <c r="B372" s="15" t="str">
        <f>image("https://i.imgur.com/h7ckmGe.png")</f>
        <v/>
      </c>
      <c r="C372" s="17" t="str">
        <f>HYPERLINK("https://imgur.com/a/nJ4fNkz","Yes")</f>
        <v>Yes</v>
      </c>
      <c r="D372" s="15" t="s">
        <v>50</v>
      </c>
      <c r="E372" s="15" t="s">
        <v>50</v>
      </c>
      <c r="F372" s="13" t="s">
        <v>51</v>
      </c>
      <c r="G372" s="13">
        <v>360.0</v>
      </c>
      <c r="H372" s="15">
        <v>4124.0</v>
      </c>
      <c r="I372" s="15" t="s">
        <v>161</v>
      </c>
      <c r="J372" s="15"/>
      <c r="K372" s="15"/>
      <c r="L372" s="15" t="s">
        <v>38</v>
      </c>
      <c r="M372" s="15">
        <v>1.0</v>
      </c>
      <c r="N372" s="15" t="s">
        <v>39</v>
      </c>
      <c r="O372" s="15" t="s">
        <v>40</v>
      </c>
      <c r="P372" s="15" t="s">
        <v>53</v>
      </c>
      <c r="Q372" s="15" t="s">
        <v>41</v>
      </c>
      <c r="R372" s="15" t="s">
        <v>54</v>
      </c>
      <c r="S372" s="15" t="s">
        <v>55</v>
      </c>
      <c r="T372" s="19"/>
      <c r="U372" s="15" t="s">
        <v>46</v>
      </c>
    </row>
    <row r="373" ht="56.25" customHeight="1">
      <c r="A373" s="13" t="s">
        <v>1586</v>
      </c>
      <c r="B373" s="15" t="str">
        <f>image("https://i.imgur.com/rAm66JD.png")</f>
        <v/>
      </c>
      <c r="C373" s="17" t="str">
        <f>HYPERLINK("https://imgur.com/a/8171pUY","Yes")</f>
        <v>Yes</v>
      </c>
      <c r="D373" s="15" t="s">
        <v>50</v>
      </c>
      <c r="E373" s="15" t="s">
        <v>50</v>
      </c>
      <c r="F373" s="38" t="s">
        <v>51</v>
      </c>
      <c r="G373" s="13">
        <v>1110.0</v>
      </c>
      <c r="H373" s="15">
        <v>8826.0</v>
      </c>
      <c r="I373" s="15" t="s">
        <v>113</v>
      </c>
      <c r="J373" s="15" t="s">
        <v>60</v>
      </c>
      <c r="K373" s="15"/>
      <c r="L373" s="15" t="s">
        <v>38</v>
      </c>
      <c r="M373" s="15">
        <v>2.0</v>
      </c>
      <c r="N373" s="15" t="s">
        <v>39</v>
      </c>
      <c r="O373" s="15" t="s">
        <v>40</v>
      </c>
      <c r="P373" s="15" t="s">
        <v>53</v>
      </c>
      <c r="Q373" s="15" t="s">
        <v>41</v>
      </c>
      <c r="R373" s="15" t="s">
        <v>54</v>
      </c>
      <c r="S373" s="15" t="s">
        <v>55</v>
      </c>
      <c r="T373" s="19"/>
      <c r="U373" s="15" t="s">
        <v>46</v>
      </c>
    </row>
    <row r="374" ht="56.25" customHeight="1">
      <c r="A374" s="13" t="s">
        <v>1588</v>
      </c>
      <c r="B374" s="15" t="str">
        <f>image("https://i.imgur.com/3r1n0xq.png")</f>
        <v/>
      </c>
      <c r="C374" s="17" t="str">
        <f>HYPERLINK("https://imgur.com/a/itgQekB","Yes")</f>
        <v>Yes</v>
      </c>
      <c r="D374" s="15" t="s">
        <v>50</v>
      </c>
      <c r="E374" s="15" t="s">
        <v>50</v>
      </c>
      <c r="F374" s="13" t="s">
        <v>51</v>
      </c>
      <c r="G374" s="13">
        <v>1980.0</v>
      </c>
      <c r="H374" s="15">
        <v>7454.0</v>
      </c>
      <c r="I374" s="15" t="s">
        <v>243</v>
      </c>
      <c r="J374" s="15"/>
      <c r="K374" s="15"/>
      <c r="L374" s="15" t="s">
        <v>38</v>
      </c>
      <c r="M374" s="15">
        <v>3.0</v>
      </c>
      <c r="N374" s="15" t="s">
        <v>39</v>
      </c>
      <c r="O374" s="15" t="s">
        <v>40</v>
      </c>
      <c r="P374" s="15" t="s">
        <v>40</v>
      </c>
      <c r="Q374" s="15" t="s">
        <v>41</v>
      </c>
      <c r="R374" s="15" t="s">
        <v>54</v>
      </c>
      <c r="S374" s="15" t="s">
        <v>55</v>
      </c>
      <c r="T374" s="19"/>
      <c r="U374" s="15" t="s">
        <v>46</v>
      </c>
    </row>
    <row r="375" ht="56.25" customHeight="1">
      <c r="A375" s="13" t="s">
        <v>1589</v>
      </c>
      <c r="B375" s="15" t="str">
        <f>image("https://i.imgur.com/amrmPmq.png")</f>
        <v/>
      </c>
      <c r="C375" s="17" t="str">
        <f>HYPERLINK("https://imgur.com/a/RcgFxaB","Yes")</f>
        <v>Yes</v>
      </c>
      <c r="D375" s="15" t="s">
        <v>50</v>
      </c>
      <c r="E375" s="15" t="s">
        <v>50</v>
      </c>
      <c r="F375" s="38" t="s">
        <v>51</v>
      </c>
      <c r="G375" s="13">
        <v>360.0</v>
      </c>
      <c r="H375" s="15">
        <v>3206.0</v>
      </c>
      <c r="I375" s="15" t="s">
        <v>113</v>
      </c>
      <c r="J375" s="15"/>
      <c r="K375" s="15"/>
      <c r="L375" s="15" t="s">
        <v>38</v>
      </c>
      <c r="M375" s="15">
        <v>1.0</v>
      </c>
      <c r="N375" s="15" t="s">
        <v>39</v>
      </c>
      <c r="O375" s="15" t="s">
        <v>40</v>
      </c>
      <c r="P375" s="15" t="s">
        <v>40</v>
      </c>
      <c r="Q375" s="15" t="s">
        <v>41</v>
      </c>
      <c r="R375" s="15" t="s">
        <v>54</v>
      </c>
      <c r="S375" s="15" t="s">
        <v>55</v>
      </c>
      <c r="T375" s="19"/>
      <c r="U375" s="15" t="s">
        <v>46</v>
      </c>
    </row>
    <row r="376" ht="56.25" customHeight="1">
      <c r="A376" s="23" t="s">
        <v>1591</v>
      </c>
      <c r="B376" s="23" t="str">
        <f>IMAGE("https://i.imgur.com/yAMS8n7.png")</f>
        <v/>
      </c>
      <c r="C376" s="25" t="s">
        <v>40</v>
      </c>
      <c r="D376" s="25" t="s">
        <v>28</v>
      </c>
      <c r="E376" s="25" t="s">
        <v>28</v>
      </c>
      <c r="F376" s="24" t="s">
        <v>51</v>
      </c>
      <c r="G376" s="13">
        <v>480.0</v>
      </c>
      <c r="H376" s="15">
        <v>7084.0</v>
      </c>
      <c r="I376" s="15"/>
      <c r="J376" s="15"/>
      <c r="K376" s="15"/>
      <c r="L376" s="15" t="s">
        <v>38</v>
      </c>
      <c r="M376" s="15"/>
      <c r="N376" s="15" t="s">
        <v>39</v>
      </c>
      <c r="O376" s="15" t="s">
        <v>40</v>
      </c>
      <c r="P376" s="15" t="s">
        <v>40</v>
      </c>
      <c r="Q376" s="15" t="s">
        <v>41</v>
      </c>
      <c r="R376" s="15" t="s">
        <v>54</v>
      </c>
      <c r="S376" s="15" t="s">
        <v>57</v>
      </c>
      <c r="T376" s="19" t="s">
        <v>58</v>
      </c>
      <c r="U376" s="15" t="s">
        <v>46</v>
      </c>
    </row>
    <row r="377" ht="56.25" customHeight="1">
      <c r="A377" s="23" t="s">
        <v>1593</v>
      </c>
      <c r="B377" s="32" t="str">
        <f>image("https://i.imgur.com/Zl9qjpt.png")</f>
        <v/>
      </c>
      <c r="C377" s="25" t="s">
        <v>40</v>
      </c>
      <c r="D377" s="25" t="s">
        <v>28</v>
      </c>
      <c r="E377" s="25" t="s">
        <v>28</v>
      </c>
      <c r="F377" s="24" t="s">
        <v>51</v>
      </c>
      <c r="G377" s="13">
        <v>900.0</v>
      </c>
      <c r="H377" s="15">
        <v>7028.0</v>
      </c>
      <c r="I377" s="15"/>
      <c r="J377" s="15"/>
      <c r="K377" s="15"/>
      <c r="L377" s="15" t="s">
        <v>38</v>
      </c>
      <c r="M377" s="15"/>
      <c r="N377" s="15" t="s">
        <v>39</v>
      </c>
      <c r="O377" s="15" t="s">
        <v>40</v>
      </c>
      <c r="P377" s="15" t="s">
        <v>40</v>
      </c>
      <c r="Q377" s="15" t="s">
        <v>41</v>
      </c>
      <c r="R377" s="15" t="s">
        <v>54</v>
      </c>
      <c r="S377" s="15" t="s">
        <v>100</v>
      </c>
      <c r="T377" s="19" t="s">
        <v>101</v>
      </c>
      <c r="U377" s="15" t="s">
        <v>46</v>
      </c>
    </row>
    <row r="378" ht="56.25" customHeight="1">
      <c r="A378" s="23" t="s">
        <v>1594</v>
      </c>
      <c r="B378" s="32" t="str">
        <f>image("https://i.imgur.com/C1iapdZ.png")</f>
        <v/>
      </c>
      <c r="C378" s="25" t="s">
        <v>40</v>
      </c>
      <c r="D378" s="25" t="s">
        <v>28</v>
      </c>
      <c r="E378" s="25" t="s">
        <v>28</v>
      </c>
      <c r="F378" s="24" t="s">
        <v>51</v>
      </c>
      <c r="G378" s="13">
        <v>1500.0</v>
      </c>
      <c r="H378" s="15">
        <v>7836.0</v>
      </c>
      <c r="I378" s="15"/>
      <c r="J378" s="15"/>
      <c r="K378" s="15"/>
      <c r="L378" s="15" t="s">
        <v>38</v>
      </c>
      <c r="M378" s="15"/>
      <c r="N378" s="15" t="s">
        <v>39</v>
      </c>
      <c r="O378" s="15" t="s">
        <v>40</v>
      </c>
      <c r="P378" s="15" t="s">
        <v>40</v>
      </c>
      <c r="Q378" s="15" t="s">
        <v>41</v>
      </c>
      <c r="R378" s="15" t="s">
        <v>54</v>
      </c>
      <c r="S378" s="15" t="s">
        <v>100</v>
      </c>
      <c r="T378" s="19" t="s">
        <v>101</v>
      </c>
      <c r="U378" s="15" t="s">
        <v>46</v>
      </c>
    </row>
  </sheetData>
  <customSheetViews>
    <customSheetView guid="{11AB3FAE-053A-40A1-A322-CF1AF7514E6A}" filter="1" showAutoFilter="1">
      <autoFilter ref="$A$1:$I$378">
        <sortState ref="A1:I378">
          <sortCondition ref="I1:I378"/>
          <sortCondition ref="H1:H378"/>
        </sortState>
      </autoFilter>
    </customSheetView>
  </customSheetView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29"/>
    <col customWidth="1" min="2" max="2" width="112.86"/>
    <col customWidth="1" min="3" max="3" width="13.43"/>
    <col customWidth="1" min="4" max="4" width="10.43"/>
    <col customWidth="1" min="5" max="5" width="24.0"/>
    <col customWidth="1" min="6" max="6" width="16.57"/>
    <col customWidth="1" min="7" max="7" width="12.0"/>
    <col customWidth="1" min="8" max="9" width="6.29"/>
    <col customWidth="1" min="10" max="10" width="7.14"/>
    <col customWidth="1" min="11" max="11" width="8.14"/>
    <col customWidth="1" min="12" max="12" width="9.14"/>
    <col customWidth="1" min="13" max="18" width="13.29"/>
    <col customWidth="1" min="19" max="19" width="12.14"/>
  </cols>
  <sheetData>
    <row r="1">
      <c r="A1" s="100" t="s">
        <v>5609</v>
      </c>
      <c r="B1" s="100" t="s">
        <v>5614</v>
      </c>
      <c r="C1" s="100" t="s">
        <v>5616</v>
      </c>
      <c r="D1" s="100" t="s">
        <v>5617</v>
      </c>
      <c r="E1" s="100" t="s">
        <v>5618</v>
      </c>
      <c r="F1" s="100" t="s">
        <v>5619</v>
      </c>
      <c r="G1" s="100" t="s">
        <v>5620</v>
      </c>
      <c r="H1" s="100" t="s">
        <v>5622</v>
      </c>
      <c r="I1" s="100" t="s">
        <v>5623</v>
      </c>
      <c r="J1" s="100" t="s">
        <v>5624</v>
      </c>
      <c r="K1" s="100" t="s">
        <v>5625</v>
      </c>
      <c r="L1" s="100" t="s">
        <v>5626</v>
      </c>
      <c r="M1" s="100" t="s">
        <v>5627</v>
      </c>
      <c r="N1" s="100" t="s">
        <v>5628</v>
      </c>
      <c r="O1" s="100" t="s">
        <v>5630</v>
      </c>
      <c r="P1" s="100" t="s">
        <v>5631</v>
      </c>
      <c r="Q1" s="100" t="s">
        <v>5632</v>
      </c>
      <c r="R1" s="100" t="s">
        <v>5633</v>
      </c>
      <c r="S1" s="100" t="s">
        <v>5634</v>
      </c>
    </row>
    <row r="2">
      <c r="A2" s="51" t="s">
        <v>5635</v>
      </c>
      <c r="B2" s="51" t="s">
        <v>5636</v>
      </c>
      <c r="C2" s="101">
        <v>1.0</v>
      </c>
      <c r="D2" s="101">
        <v>53.0</v>
      </c>
      <c r="E2" s="51" t="s">
        <v>5639</v>
      </c>
      <c r="F2" s="51" t="s">
        <v>5640</v>
      </c>
      <c r="G2" s="101">
        <v>1.0</v>
      </c>
      <c r="H2" s="101">
        <v>1.0</v>
      </c>
      <c r="I2" s="101">
        <v>0.0</v>
      </c>
      <c r="J2" s="101">
        <v>0.0</v>
      </c>
      <c r="K2" s="101">
        <v>0.0</v>
      </c>
      <c r="L2" s="101">
        <v>0.0</v>
      </c>
      <c r="M2" s="101">
        <v>500.0</v>
      </c>
      <c r="N2" s="101">
        <v>500.0</v>
      </c>
      <c r="O2" s="101">
        <v>1000.0</v>
      </c>
      <c r="P2" s="101">
        <v>2000.0</v>
      </c>
      <c r="Q2" s="101">
        <v>3000.0</v>
      </c>
      <c r="R2" s="101">
        <v>0.0</v>
      </c>
      <c r="S2" s="51" t="s">
        <v>53</v>
      </c>
    </row>
    <row r="3">
      <c r="A3" s="51" t="s">
        <v>5642</v>
      </c>
      <c r="B3" s="51" t="s">
        <v>5643</v>
      </c>
      <c r="C3" s="101">
        <v>2.0</v>
      </c>
      <c r="D3" s="101">
        <v>0.0</v>
      </c>
      <c r="E3" s="51" t="s">
        <v>5644</v>
      </c>
      <c r="F3" s="51" t="s">
        <v>311</v>
      </c>
      <c r="G3" s="101">
        <v>5.0</v>
      </c>
      <c r="H3" s="101">
        <v>10.0</v>
      </c>
      <c r="I3" s="101">
        <v>100.0</v>
      </c>
      <c r="J3" s="101">
        <v>500.0</v>
      </c>
      <c r="K3" s="101">
        <v>2000.0</v>
      </c>
      <c r="L3" s="101">
        <v>5000.0</v>
      </c>
      <c r="M3" s="101">
        <v>300.0</v>
      </c>
      <c r="N3" s="101">
        <v>500.0</v>
      </c>
      <c r="O3" s="101">
        <v>1000.0</v>
      </c>
      <c r="P3" s="101">
        <v>2000.0</v>
      </c>
      <c r="Q3" s="101">
        <v>3000.0</v>
      </c>
      <c r="R3" s="101">
        <v>0.0</v>
      </c>
      <c r="S3" s="51" t="s">
        <v>53</v>
      </c>
    </row>
    <row r="4">
      <c r="A4" s="51" t="s">
        <v>5647</v>
      </c>
      <c r="B4" s="51" t="s">
        <v>5648</v>
      </c>
      <c r="C4" s="101">
        <v>3.0</v>
      </c>
      <c r="D4" s="101">
        <v>3.0</v>
      </c>
      <c r="E4" s="51" t="s">
        <v>5649</v>
      </c>
      <c r="F4" s="51" t="s">
        <v>311</v>
      </c>
      <c r="G4" s="101">
        <v>5.0</v>
      </c>
      <c r="H4" s="101">
        <v>10.0</v>
      </c>
      <c r="I4" s="101">
        <v>20.0</v>
      </c>
      <c r="J4" s="101">
        <v>40.0</v>
      </c>
      <c r="K4" s="101">
        <v>60.0</v>
      </c>
      <c r="L4" s="101">
        <v>80.0</v>
      </c>
      <c r="M4" s="101">
        <v>300.0</v>
      </c>
      <c r="N4" s="101">
        <v>500.0</v>
      </c>
      <c r="O4" s="101">
        <v>1000.0</v>
      </c>
      <c r="P4" s="101">
        <v>2000.0</v>
      </c>
      <c r="Q4" s="101">
        <v>3000.0</v>
      </c>
      <c r="R4" s="101">
        <v>0.0</v>
      </c>
      <c r="S4" s="51" t="s">
        <v>53</v>
      </c>
    </row>
    <row r="5">
      <c r="A5" s="51" t="s">
        <v>5652</v>
      </c>
      <c r="B5" s="51" t="s">
        <v>5653</v>
      </c>
      <c r="C5" s="101">
        <v>4.0</v>
      </c>
      <c r="D5" s="101">
        <v>68.0</v>
      </c>
      <c r="E5" s="51" t="s">
        <v>5654</v>
      </c>
      <c r="F5" s="51" t="s">
        <v>5655</v>
      </c>
      <c r="G5" s="101">
        <v>5.0</v>
      </c>
      <c r="H5" s="101">
        <v>1.0</v>
      </c>
      <c r="I5" s="101">
        <v>10.0</v>
      </c>
      <c r="J5" s="101">
        <v>20.0</v>
      </c>
      <c r="K5" s="101">
        <v>30.0</v>
      </c>
      <c r="L5" s="101">
        <v>50.0</v>
      </c>
      <c r="M5" s="101">
        <v>300.0</v>
      </c>
      <c r="N5" s="101">
        <v>500.0</v>
      </c>
      <c r="O5" s="101">
        <v>1000.0</v>
      </c>
      <c r="P5" s="101">
        <v>2000.0</v>
      </c>
      <c r="Q5" s="101">
        <v>3000.0</v>
      </c>
      <c r="R5" s="101">
        <v>0.0</v>
      </c>
      <c r="S5" s="51" t="s">
        <v>53</v>
      </c>
    </row>
    <row r="6">
      <c r="A6" s="51" t="s">
        <v>5659</v>
      </c>
      <c r="B6" s="51" t="s">
        <v>5660</v>
      </c>
      <c r="C6" s="101">
        <v>5.0</v>
      </c>
      <c r="D6" s="101">
        <v>1.0</v>
      </c>
      <c r="E6" s="51" t="s">
        <v>5661</v>
      </c>
      <c r="F6" s="51" t="s">
        <v>5662</v>
      </c>
      <c r="G6" s="101">
        <v>5.0</v>
      </c>
      <c r="H6" s="101">
        <v>10.0</v>
      </c>
      <c r="I6" s="101">
        <v>100.0</v>
      </c>
      <c r="J6" s="101">
        <v>500.0</v>
      </c>
      <c r="K6" s="101">
        <v>2000.0</v>
      </c>
      <c r="L6" s="101">
        <v>5000.0</v>
      </c>
      <c r="M6" s="101">
        <v>300.0</v>
      </c>
      <c r="N6" s="101">
        <v>500.0</v>
      </c>
      <c r="O6" s="101">
        <v>1000.0</v>
      </c>
      <c r="P6" s="101">
        <v>2000.0</v>
      </c>
      <c r="Q6" s="101">
        <v>3000.0</v>
      </c>
      <c r="R6" s="101">
        <v>0.0</v>
      </c>
      <c r="S6" s="51" t="s">
        <v>53</v>
      </c>
    </row>
    <row r="7">
      <c r="A7" s="51" t="s">
        <v>5665</v>
      </c>
      <c r="B7" s="51" t="s">
        <v>5666</v>
      </c>
      <c r="C7" s="101">
        <v>6.0</v>
      </c>
      <c r="D7" s="101">
        <v>4.0</v>
      </c>
      <c r="E7" s="51" t="s">
        <v>5667</v>
      </c>
      <c r="F7" s="51" t="s">
        <v>5662</v>
      </c>
      <c r="G7" s="101">
        <v>5.0</v>
      </c>
      <c r="H7" s="101">
        <v>10.0</v>
      </c>
      <c r="I7" s="101">
        <v>20.0</v>
      </c>
      <c r="J7" s="101">
        <v>40.0</v>
      </c>
      <c r="K7" s="101">
        <v>60.0</v>
      </c>
      <c r="L7" s="101">
        <v>80.0</v>
      </c>
      <c r="M7" s="101">
        <v>300.0</v>
      </c>
      <c r="N7" s="101">
        <v>500.0</v>
      </c>
      <c r="O7" s="101">
        <v>1000.0</v>
      </c>
      <c r="P7" s="101">
        <v>2000.0</v>
      </c>
      <c r="Q7" s="101">
        <v>3000.0</v>
      </c>
      <c r="R7" s="101">
        <v>0.0</v>
      </c>
      <c r="S7" s="51" t="s">
        <v>53</v>
      </c>
    </row>
    <row r="8">
      <c r="A8" s="51" t="s">
        <v>5670</v>
      </c>
      <c r="B8" s="51" t="s">
        <v>5671</v>
      </c>
      <c r="C8" s="101">
        <v>7.0</v>
      </c>
      <c r="D8" s="101">
        <v>55.0</v>
      </c>
      <c r="E8" s="51" t="s">
        <v>5672</v>
      </c>
      <c r="F8" s="51" t="s">
        <v>4</v>
      </c>
      <c r="G8" s="101">
        <v>5.0</v>
      </c>
      <c r="H8" s="101">
        <v>10.0</v>
      </c>
      <c r="I8" s="101">
        <v>50.0</v>
      </c>
      <c r="J8" s="101">
        <v>100.0</v>
      </c>
      <c r="K8" s="101">
        <v>150.0</v>
      </c>
      <c r="L8" s="101">
        <v>200.0</v>
      </c>
      <c r="M8" s="101">
        <v>300.0</v>
      </c>
      <c r="N8" s="101">
        <v>500.0</v>
      </c>
      <c r="O8" s="101">
        <v>1000.0</v>
      </c>
      <c r="P8" s="101">
        <v>2000.0</v>
      </c>
      <c r="Q8" s="101">
        <v>3000.0</v>
      </c>
      <c r="R8" s="101">
        <v>0.0</v>
      </c>
      <c r="S8" s="51" t="s">
        <v>53</v>
      </c>
    </row>
    <row r="9">
      <c r="A9" s="51" t="s">
        <v>5675</v>
      </c>
      <c r="B9" s="51" t="s">
        <v>5676</v>
      </c>
      <c r="C9" s="101">
        <v>8.0</v>
      </c>
      <c r="D9" s="101">
        <v>72.0</v>
      </c>
      <c r="E9" s="51" t="s">
        <v>5677</v>
      </c>
      <c r="F9" s="51" t="s">
        <v>4</v>
      </c>
      <c r="G9" s="101">
        <v>5.0</v>
      </c>
      <c r="H9" s="101">
        <v>5.0</v>
      </c>
      <c r="I9" s="101">
        <v>50.0</v>
      </c>
      <c r="J9" s="101">
        <v>200.0</v>
      </c>
      <c r="K9" s="101">
        <v>1000.0</v>
      </c>
      <c r="L9" s="101">
        <v>3000.0</v>
      </c>
      <c r="M9" s="101">
        <v>300.0</v>
      </c>
      <c r="N9" s="101">
        <v>500.0</v>
      </c>
      <c r="O9" s="101">
        <v>1000.0</v>
      </c>
      <c r="P9" s="101">
        <v>2000.0</v>
      </c>
      <c r="Q9" s="101">
        <v>3000.0</v>
      </c>
      <c r="R9" s="101">
        <v>0.0</v>
      </c>
      <c r="S9" s="51" t="s">
        <v>53</v>
      </c>
    </row>
    <row r="10">
      <c r="A10" s="51" t="s">
        <v>5680</v>
      </c>
      <c r="B10" s="51" t="s">
        <v>5681</v>
      </c>
      <c r="C10" s="101">
        <v>9.0</v>
      </c>
      <c r="D10" s="101">
        <v>73.0</v>
      </c>
      <c r="E10" s="51" t="s">
        <v>5682</v>
      </c>
      <c r="F10" s="51" t="s">
        <v>4</v>
      </c>
      <c r="G10" s="101">
        <v>5.0</v>
      </c>
      <c r="H10" s="101">
        <v>5.0</v>
      </c>
      <c r="I10" s="101">
        <v>50.0</v>
      </c>
      <c r="J10" s="101">
        <v>200.0</v>
      </c>
      <c r="K10" s="101">
        <v>1000.0</v>
      </c>
      <c r="L10" s="101">
        <v>3000.0</v>
      </c>
      <c r="M10" s="101">
        <v>300.0</v>
      </c>
      <c r="N10" s="101">
        <v>500.0</v>
      </c>
      <c r="O10" s="101">
        <v>1000.0</v>
      </c>
      <c r="P10" s="101">
        <v>2000.0</v>
      </c>
      <c r="Q10" s="101">
        <v>3000.0</v>
      </c>
      <c r="R10" s="101">
        <v>0.0</v>
      </c>
      <c r="S10" s="51" t="s">
        <v>53</v>
      </c>
    </row>
    <row r="11">
      <c r="A11" s="51" t="s">
        <v>5685</v>
      </c>
      <c r="B11" s="51" t="s">
        <v>5686</v>
      </c>
      <c r="C11" s="101">
        <v>10.0</v>
      </c>
      <c r="D11" s="101">
        <v>14.0</v>
      </c>
      <c r="E11" s="51" t="s">
        <v>5688</v>
      </c>
      <c r="F11" s="51" t="s">
        <v>4</v>
      </c>
      <c r="G11" s="101">
        <v>5.0</v>
      </c>
      <c r="H11" s="101">
        <v>5.0</v>
      </c>
      <c r="I11" s="101">
        <v>20.0</v>
      </c>
      <c r="J11" s="101">
        <v>50.0</v>
      </c>
      <c r="K11" s="101">
        <v>100.0</v>
      </c>
      <c r="L11" s="101">
        <v>200.0</v>
      </c>
      <c r="M11" s="101">
        <v>300.0</v>
      </c>
      <c r="N11" s="101">
        <v>500.0</v>
      </c>
      <c r="O11" s="101">
        <v>1000.0</v>
      </c>
      <c r="P11" s="101">
        <v>2000.0</v>
      </c>
      <c r="Q11" s="101">
        <v>3000.0</v>
      </c>
      <c r="R11" s="101">
        <v>0.0</v>
      </c>
      <c r="S11" s="51" t="s">
        <v>53</v>
      </c>
    </row>
    <row r="12">
      <c r="A12" s="51" t="s">
        <v>5690</v>
      </c>
      <c r="B12" s="51" t="s">
        <v>5691</v>
      </c>
      <c r="C12" s="101">
        <v>11.0</v>
      </c>
      <c r="D12" s="101">
        <v>67.0</v>
      </c>
      <c r="E12" s="51" t="s">
        <v>5693</v>
      </c>
      <c r="F12" s="51" t="s">
        <v>4</v>
      </c>
      <c r="G12" s="101">
        <v>5.0</v>
      </c>
      <c r="H12" s="101">
        <v>20.0</v>
      </c>
      <c r="I12" s="101">
        <v>100.0</v>
      </c>
      <c r="J12" s="101">
        <v>500.0</v>
      </c>
      <c r="K12" s="101">
        <v>2000.0</v>
      </c>
      <c r="L12" s="101">
        <v>5000.0</v>
      </c>
      <c r="M12" s="101">
        <v>300.0</v>
      </c>
      <c r="N12" s="101">
        <v>500.0</v>
      </c>
      <c r="O12" s="101">
        <v>1000.0</v>
      </c>
      <c r="P12" s="101">
        <v>2000.0</v>
      </c>
      <c r="Q12" s="101">
        <v>3000.0</v>
      </c>
      <c r="R12" s="101">
        <v>0.0</v>
      </c>
      <c r="S12" s="51" t="s">
        <v>53</v>
      </c>
    </row>
    <row r="13">
      <c r="A13" s="51" t="s">
        <v>5695</v>
      </c>
      <c r="B13" s="51" t="s">
        <v>5696</v>
      </c>
      <c r="C13" s="101">
        <v>12.0</v>
      </c>
      <c r="D13" s="101">
        <v>49.0</v>
      </c>
      <c r="E13" s="51" t="s">
        <v>5697</v>
      </c>
      <c r="F13" s="51" t="s">
        <v>247</v>
      </c>
      <c r="G13" s="101">
        <v>5.0</v>
      </c>
      <c r="H13" s="101">
        <v>1.0</v>
      </c>
      <c r="I13" s="101">
        <v>20.0</v>
      </c>
      <c r="J13" s="101">
        <v>50.0</v>
      </c>
      <c r="K13" s="101">
        <v>100.0</v>
      </c>
      <c r="L13" s="101">
        <v>200.0</v>
      </c>
      <c r="M13" s="101">
        <v>300.0</v>
      </c>
      <c r="N13" s="101">
        <v>500.0</v>
      </c>
      <c r="O13" s="101">
        <v>1000.0</v>
      </c>
      <c r="P13" s="101">
        <v>2000.0</v>
      </c>
      <c r="Q13" s="101">
        <v>3000.0</v>
      </c>
      <c r="R13" s="101">
        <v>0.0</v>
      </c>
      <c r="S13" s="51" t="s">
        <v>53</v>
      </c>
    </row>
    <row r="14">
      <c r="A14" s="51" t="s">
        <v>5701</v>
      </c>
      <c r="B14" s="51" t="s">
        <v>5703</v>
      </c>
      <c r="C14" s="101">
        <v>13.0</v>
      </c>
      <c r="D14" s="101">
        <v>57.0</v>
      </c>
      <c r="E14" s="51" t="s">
        <v>5704</v>
      </c>
      <c r="F14" s="51" t="s">
        <v>247</v>
      </c>
      <c r="G14" s="101">
        <v>1.0</v>
      </c>
      <c r="H14" s="101">
        <v>1.0</v>
      </c>
      <c r="I14" s="101">
        <v>0.0</v>
      </c>
      <c r="J14" s="101">
        <v>0.0</v>
      </c>
      <c r="K14" s="101">
        <v>0.0</v>
      </c>
      <c r="L14" s="101">
        <v>0.0</v>
      </c>
      <c r="M14" s="101">
        <v>500.0</v>
      </c>
      <c r="N14" s="101">
        <v>500.0</v>
      </c>
      <c r="O14" s="101">
        <v>1000.0</v>
      </c>
      <c r="P14" s="101">
        <v>2000.0</v>
      </c>
      <c r="Q14" s="101">
        <v>3000.0</v>
      </c>
      <c r="R14" s="101">
        <v>0.0</v>
      </c>
      <c r="S14" s="51" t="s">
        <v>53</v>
      </c>
    </row>
    <row r="15">
      <c r="A15" s="51" t="s">
        <v>5708</v>
      </c>
      <c r="B15" s="51" t="s">
        <v>5709</v>
      </c>
      <c r="C15" s="101">
        <v>14.0</v>
      </c>
      <c r="D15" s="101">
        <v>61.0</v>
      </c>
      <c r="E15" s="51" t="s">
        <v>5710</v>
      </c>
      <c r="F15" s="51" t="s">
        <v>247</v>
      </c>
      <c r="G15" s="101">
        <v>1.0</v>
      </c>
      <c r="H15" s="101">
        <v>1.0</v>
      </c>
      <c r="I15" s="101">
        <v>0.0</v>
      </c>
      <c r="J15" s="101">
        <v>0.0</v>
      </c>
      <c r="K15" s="101">
        <v>0.0</v>
      </c>
      <c r="L15" s="101">
        <v>0.0</v>
      </c>
      <c r="M15" s="101">
        <v>300.0</v>
      </c>
      <c r="N15" s="101">
        <v>500.0</v>
      </c>
      <c r="O15" s="101">
        <v>1000.0</v>
      </c>
      <c r="P15" s="101">
        <v>2000.0</v>
      </c>
      <c r="Q15" s="101">
        <v>3000.0</v>
      </c>
      <c r="R15" s="101">
        <v>0.0</v>
      </c>
      <c r="S15" s="51" t="s">
        <v>53</v>
      </c>
    </row>
    <row r="16">
      <c r="A16" s="51" t="s">
        <v>5712</v>
      </c>
      <c r="B16" s="51" t="s">
        <v>5713</v>
      </c>
      <c r="C16" s="101">
        <v>15.0</v>
      </c>
      <c r="D16" s="101">
        <v>62.0</v>
      </c>
      <c r="E16" s="51" t="s">
        <v>5715</v>
      </c>
      <c r="F16" s="51" t="s">
        <v>247</v>
      </c>
      <c r="G16" s="101">
        <v>5.0</v>
      </c>
      <c r="H16" s="101">
        <v>5.0</v>
      </c>
      <c r="I16" s="101">
        <v>30.0</v>
      </c>
      <c r="J16" s="101">
        <v>100.0</v>
      </c>
      <c r="K16" s="101">
        <v>300.0</v>
      </c>
      <c r="L16" s="101">
        <v>500.0</v>
      </c>
      <c r="M16" s="101">
        <v>300.0</v>
      </c>
      <c r="N16" s="101">
        <v>500.0</v>
      </c>
      <c r="O16" s="101">
        <v>1000.0</v>
      </c>
      <c r="P16" s="101">
        <v>2000.0</v>
      </c>
      <c r="Q16" s="101">
        <v>3000.0</v>
      </c>
      <c r="R16" s="101">
        <v>0.0</v>
      </c>
      <c r="S16" s="51" t="s">
        <v>53</v>
      </c>
    </row>
    <row r="17">
      <c r="A17" s="51" t="s">
        <v>5717</v>
      </c>
      <c r="B17" s="51" t="s">
        <v>5718</v>
      </c>
      <c r="C17" s="101">
        <v>16.0</v>
      </c>
      <c r="D17" s="101">
        <v>37.0</v>
      </c>
      <c r="E17" s="51" t="s">
        <v>5719</v>
      </c>
      <c r="F17" s="51" t="s">
        <v>5720</v>
      </c>
      <c r="G17" s="101">
        <v>5.0</v>
      </c>
      <c r="H17" s="101">
        <v>50.0</v>
      </c>
      <c r="I17" s="101">
        <v>200.0</v>
      </c>
      <c r="J17" s="101">
        <v>1000.0</v>
      </c>
      <c r="K17" s="101">
        <v>2000.0</v>
      </c>
      <c r="L17" s="101">
        <v>3000.0</v>
      </c>
      <c r="M17" s="101">
        <v>300.0</v>
      </c>
      <c r="N17" s="101">
        <v>500.0</v>
      </c>
      <c r="O17" s="101">
        <v>1000.0</v>
      </c>
      <c r="P17" s="101">
        <v>2000.0</v>
      </c>
      <c r="Q17" s="101">
        <v>3000.0</v>
      </c>
      <c r="R17" s="101">
        <v>0.0</v>
      </c>
      <c r="S17" s="51" t="s">
        <v>53</v>
      </c>
    </row>
    <row r="18">
      <c r="A18" s="51" t="s">
        <v>5724</v>
      </c>
      <c r="B18" s="51" t="s">
        <v>5725</v>
      </c>
      <c r="C18" s="101">
        <v>17.0</v>
      </c>
      <c r="D18" s="101">
        <v>6.0</v>
      </c>
      <c r="E18" s="51" t="s">
        <v>5727</v>
      </c>
      <c r="F18" s="51" t="s">
        <v>5720</v>
      </c>
      <c r="G18" s="101">
        <v>5.0</v>
      </c>
      <c r="H18" s="101">
        <v>10.0</v>
      </c>
      <c r="I18" s="101">
        <v>50.0</v>
      </c>
      <c r="J18" s="101">
        <v>100.0</v>
      </c>
      <c r="K18" s="101">
        <v>200.0</v>
      </c>
      <c r="L18" s="101">
        <v>300.0</v>
      </c>
      <c r="M18" s="101">
        <v>300.0</v>
      </c>
      <c r="N18" s="101">
        <v>500.0</v>
      </c>
      <c r="O18" s="101">
        <v>1000.0</v>
      </c>
      <c r="P18" s="101">
        <v>2000.0</v>
      </c>
      <c r="Q18" s="101">
        <v>3000.0</v>
      </c>
      <c r="R18" s="101">
        <v>0.0</v>
      </c>
      <c r="S18" s="51" t="s">
        <v>53</v>
      </c>
    </row>
    <row r="19">
      <c r="A19" s="51" t="s">
        <v>5730</v>
      </c>
      <c r="B19" s="51" t="s">
        <v>5731</v>
      </c>
      <c r="C19" s="101">
        <v>18.0</v>
      </c>
      <c r="D19" s="101">
        <v>23.0</v>
      </c>
      <c r="E19" s="51" t="s">
        <v>5733</v>
      </c>
      <c r="F19" s="51" t="s">
        <v>5720</v>
      </c>
      <c r="G19" s="101">
        <v>5.0</v>
      </c>
      <c r="H19" s="101">
        <v>10.0</v>
      </c>
      <c r="I19" s="101">
        <v>50.0</v>
      </c>
      <c r="J19" s="101">
        <v>100.0</v>
      </c>
      <c r="K19" s="101">
        <v>500.0</v>
      </c>
      <c r="L19" s="101">
        <v>1000.0</v>
      </c>
      <c r="M19" s="101">
        <v>300.0</v>
      </c>
      <c r="N19" s="101">
        <v>500.0</v>
      </c>
      <c r="O19" s="101">
        <v>1000.0</v>
      </c>
      <c r="P19" s="101">
        <v>2000.0</v>
      </c>
      <c r="Q19" s="101">
        <v>3000.0</v>
      </c>
      <c r="R19" s="101">
        <v>0.0</v>
      </c>
      <c r="S19" s="51" t="s">
        <v>53</v>
      </c>
    </row>
    <row r="20">
      <c r="A20" s="51" t="s">
        <v>5735</v>
      </c>
      <c r="B20" s="51" t="s">
        <v>5736</v>
      </c>
      <c r="C20" s="101">
        <v>19.0</v>
      </c>
      <c r="D20" s="101">
        <v>8.0</v>
      </c>
      <c r="E20" s="51" t="s">
        <v>5737</v>
      </c>
      <c r="F20" s="51" t="s">
        <v>5720</v>
      </c>
      <c r="G20" s="101">
        <v>3.0</v>
      </c>
      <c r="H20" s="101">
        <v>5.0</v>
      </c>
      <c r="I20" s="101">
        <v>10.0</v>
      </c>
      <c r="J20" s="101">
        <v>30.0</v>
      </c>
      <c r="K20" s="101">
        <v>0.0</v>
      </c>
      <c r="L20" s="101">
        <v>0.0</v>
      </c>
      <c r="M20" s="101">
        <v>300.0</v>
      </c>
      <c r="N20" s="101">
        <v>500.0</v>
      </c>
      <c r="O20" s="101">
        <v>1000.0</v>
      </c>
      <c r="P20" s="101">
        <v>2000.0</v>
      </c>
      <c r="Q20" s="101">
        <v>3000.0</v>
      </c>
      <c r="R20" s="101">
        <v>0.0</v>
      </c>
      <c r="S20" s="51" t="s">
        <v>53</v>
      </c>
    </row>
    <row r="21" ht="15.75" customHeight="1">
      <c r="A21" s="51" t="s">
        <v>5741</v>
      </c>
      <c r="B21" s="51" t="s">
        <v>5742</v>
      </c>
      <c r="C21" s="101">
        <v>20.0</v>
      </c>
      <c r="D21" s="101">
        <v>70.0</v>
      </c>
      <c r="E21" s="51" t="s">
        <v>5743</v>
      </c>
      <c r="F21" s="51" t="s">
        <v>5720</v>
      </c>
      <c r="G21" s="101">
        <v>5.0</v>
      </c>
      <c r="H21" s="101">
        <v>20.0</v>
      </c>
      <c r="I21" s="101">
        <v>100.0</v>
      </c>
      <c r="J21" s="101">
        <v>500.0</v>
      </c>
      <c r="K21" s="101">
        <v>1000.0</v>
      </c>
      <c r="L21" s="101">
        <v>3000.0</v>
      </c>
      <c r="M21" s="101">
        <v>300.0</v>
      </c>
      <c r="N21" s="101">
        <v>500.0</v>
      </c>
      <c r="O21" s="101">
        <v>1000.0</v>
      </c>
      <c r="P21" s="101">
        <v>2000.0</v>
      </c>
      <c r="Q21" s="101">
        <v>3000.0</v>
      </c>
      <c r="R21" s="101">
        <v>0.0</v>
      </c>
      <c r="S21" s="51" t="s">
        <v>53</v>
      </c>
    </row>
    <row r="22" ht="15.75" customHeight="1">
      <c r="A22" s="51" t="s">
        <v>5745</v>
      </c>
      <c r="B22" s="51" t="s">
        <v>5746</v>
      </c>
      <c r="C22" s="101">
        <v>21.0</v>
      </c>
      <c r="D22" s="101">
        <v>7.0</v>
      </c>
      <c r="E22" s="51" t="s">
        <v>5748</v>
      </c>
      <c r="F22" s="51" t="s">
        <v>5720</v>
      </c>
      <c r="G22" s="101">
        <v>6.0</v>
      </c>
      <c r="H22" s="101">
        <v>0.0</v>
      </c>
      <c r="I22" s="101">
        <v>0.0</v>
      </c>
      <c r="J22" s="101">
        <v>0.0</v>
      </c>
      <c r="K22" s="101">
        <v>0.0</v>
      </c>
      <c r="L22" s="101">
        <v>0.0</v>
      </c>
      <c r="M22" s="101">
        <v>100.0</v>
      </c>
      <c r="N22" s="101">
        <v>200.0</v>
      </c>
      <c r="O22" s="101">
        <v>300.0</v>
      </c>
      <c r="P22" s="101">
        <v>500.0</v>
      </c>
      <c r="Q22" s="101">
        <v>700.0</v>
      </c>
      <c r="R22" s="101">
        <v>1000.0</v>
      </c>
      <c r="S22" s="51" t="s">
        <v>40</v>
      </c>
    </row>
    <row r="23" ht="15.75" customHeight="1">
      <c r="A23" s="51" t="s">
        <v>5750</v>
      </c>
      <c r="B23" s="51" t="s">
        <v>5752</v>
      </c>
      <c r="C23" s="101">
        <v>22.0</v>
      </c>
      <c r="D23" s="101">
        <v>69.0</v>
      </c>
      <c r="E23" s="51" t="s">
        <v>5753</v>
      </c>
      <c r="F23" s="51" t="s">
        <v>311</v>
      </c>
      <c r="G23" s="101">
        <v>5.0</v>
      </c>
      <c r="H23" s="101">
        <v>10.0</v>
      </c>
      <c r="I23" s="101">
        <v>50.0</v>
      </c>
      <c r="J23" s="101">
        <v>200.0</v>
      </c>
      <c r="K23" s="101">
        <v>500.0</v>
      </c>
      <c r="L23" s="101">
        <v>1000.0</v>
      </c>
      <c r="M23" s="101">
        <v>300.0</v>
      </c>
      <c r="N23" s="101">
        <v>500.0</v>
      </c>
      <c r="O23" s="101">
        <v>1000.0</v>
      </c>
      <c r="P23" s="101">
        <v>2000.0</v>
      </c>
      <c r="Q23" s="101">
        <v>3000.0</v>
      </c>
      <c r="R23" s="101">
        <v>0.0</v>
      </c>
      <c r="S23" s="51" t="s">
        <v>53</v>
      </c>
    </row>
    <row r="24" ht="15.75" customHeight="1">
      <c r="A24" s="51" t="s">
        <v>5757</v>
      </c>
      <c r="B24" s="51" t="s">
        <v>5758</v>
      </c>
      <c r="C24" s="101">
        <v>23.0</v>
      </c>
      <c r="D24" s="101">
        <v>63.0</v>
      </c>
      <c r="E24" s="51" t="s">
        <v>5759</v>
      </c>
      <c r="F24" s="51" t="s">
        <v>311</v>
      </c>
      <c r="G24" s="101">
        <v>5.0</v>
      </c>
      <c r="H24" s="101">
        <v>5.0</v>
      </c>
      <c r="I24" s="101">
        <v>20.0</v>
      </c>
      <c r="J24" s="101">
        <v>50.0</v>
      </c>
      <c r="K24" s="101">
        <v>100.0</v>
      </c>
      <c r="L24" s="101">
        <v>200.0</v>
      </c>
      <c r="M24" s="101">
        <v>300.0</v>
      </c>
      <c r="N24" s="101">
        <v>500.0</v>
      </c>
      <c r="O24" s="101">
        <v>1000.0</v>
      </c>
      <c r="P24" s="101">
        <v>2000.0</v>
      </c>
      <c r="Q24" s="101">
        <v>3000.0</v>
      </c>
      <c r="R24" s="101">
        <v>0.0</v>
      </c>
      <c r="S24" s="51" t="s">
        <v>53</v>
      </c>
    </row>
    <row r="25" ht="15.75" customHeight="1">
      <c r="A25" s="51" t="s">
        <v>5761</v>
      </c>
      <c r="B25" s="51" t="s">
        <v>5763</v>
      </c>
      <c r="C25" s="101">
        <v>24.0</v>
      </c>
      <c r="D25" s="101">
        <v>32.0</v>
      </c>
      <c r="E25" s="51" t="s">
        <v>5764</v>
      </c>
      <c r="F25" s="51" t="s">
        <v>311</v>
      </c>
      <c r="G25" s="101">
        <v>3.0</v>
      </c>
      <c r="H25" s="101">
        <v>3.0</v>
      </c>
      <c r="I25" s="101">
        <v>10.0</v>
      </c>
      <c r="J25" s="101">
        <v>20.0</v>
      </c>
      <c r="K25" s="101">
        <v>0.0</v>
      </c>
      <c r="L25" s="101">
        <v>0.0</v>
      </c>
      <c r="M25" s="101">
        <v>300.0</v>
      </c>
      <c r="N25" s="101">
        <v>500.0</v>
      </c>
      <c r="O25" s="101">
        <v>1000.0</v>
      </c>
      <c r="P25" s="101">
        <v>2000.0</v>
      </c>
      <c r="Q25" s="101">
        <v>3000.0</v>
      </c>
      <c r="R25" s="101">
        <v>0.0</v>
      </c>
      <c r="S25" s="51" t="s">
        <v>53</v>
      </c>
    </row>
    <row r="26" ht="15.75" customHeight="1">
      <c r="A26" s="51" t="s">
        <v>5766</v>
      </c>
      <c r="B26" s="51" t="s">
        <v>5767</v>
      </c>
      <c r="C26" s="101">
        <v>25.0</v>
      </c>
      <c r="D26" s="101">
        <v>2.0</v>
      </c>
      <c r="E26" s="51" t="s">
        <v>5768</v>
      </c>
      <c r="F26" s="51" t="s">
        <v>311</v>
      </c>
      <c r="G26" s="101">
        <v>3.0</v>
      </c>
      <c r="H26" s="101">
        <v>10.0</v>
      </c>
      <c r="I26" s="101">
        <v>50.0</v>
      </c>
      <c r="J26" s="101">
        <v>100.0</v>
      </c>
      <c r="K26" s="101">
        <v>0.0</v>
      </c>
      <c r="L26" s="101">
        <v>0.0</v>
      </c>
      <c r="M26" s="101">
        <v>300.0</v>
      </c>
      <c r="N26" s="101">
        <v>500.0</v>
      </c>
      <c r="O26" s="101">
        <v>1000.0</v>
      </c>
      <c r="P26" s="101">
        <v>2000.0</v>
      </c>
      <c r="Q26" s="101">
        <v>3000.0</v>
      </c>
      <c r="R26" s="101">
        <v>0.0</v>
      </c>
      <c r="S26" s="51" t="s">
        <v>53</v>
      </c>
    </row>
    <row r="27" ht="15.75" customHeight="1">
      <c r="A27" s="51" t="s">
        <v>5770</v>
      </c>
      <c r="B27" s="51" t="s">
        <v>5771</v>
      </c>
      <c r="C27" s="101">
        <v>26.0</v>
      </c>
      <c r="D27" s="101">
        <v>82.0</v>
      </c>
      <c r="E27" s="51" t="s">
        <v>5772</v>
      </c>
      <c r="F27" s="51" t="s">
        <v>5640</v>
      </c>
      <c r="G27" s="101">
        <v>5.0</v>
      </c>
      <c r="H27" s="101">
        <v>1.0</v>
      </c>
      <c r="I27" s="101">
        <v>2.0</v>
      </c>
      <c r="J27" s="101">
        <v>5.0</v>
      </c>
      <c r="K27" s="101">
        <v>6.0</v>
      </c>
      <c r="L27" s="101">
        <v>7.0</v>
      </c>
      <c r="M27" s="101">
        <v>500.0</v>
      </c>
      <c r="N27" s="101">
        <v>1000.0</v>
      </c>
      <c r="O27" s="101">
        <v>2000.0</v>
      </c>
      <c r="P27" s="101">
        <v>3000.0</v>
      </c>
      <c r="Q27" s="101">
        <v>5000.0</v>
      </c>
      <c r="R27" s="101">
        <v>0.0</v>
      </c>
      <c r="S27" s="51" t="s">
        <v>53</v>
      </c>
    </row>
    <row r="28" ht="15.75" customHeight="1">
      <c r="A28" s="51" t="s">
        <v>5774</v>
      </c>
      <c r="B28" s="51" t="s">
        <v>5776</v>
      </c>
      <c r="C28" s="101">
        <v>27.0</v>
      </c>
      <c r="D28" s="101">
        <v>40.0</v>
      </c>
      <c r="E28" s="51" t="s">
        <v>5777</v>
      </c>
      <c r="F28" s="51" t="s">
        <v>5640</v>
      </c>
      <c r="G28" s="101">
        <v>1.0</v>
      </c>
      <c r="H28" s="101">
        <v>1.0</v>
      </c>
      <c r="I28" s="101">
        <v>0.0</v>
      </c>
      <c r="J28" s="101">
        <v>0.0</v>
      </c>
      <c r="K28" s="101">
        <v>0.0</v>
      </c>
      <c r="L28" s="101">
        <v>0.0</v>
      </c>
      <c r="M28" s="101">
        <v>1000.0</v>
      </c>
      <c r="N28" s="101">
        <v>500.0</v>
      </c>
      <c r="O28" s="101">
        <v>1000.0</v>
      </c>
      <c r="P28" s="101">
        <v>2000.0</v>
      </c>
      <c r="Q28" s="101">
        <v>3000.0</v>
      </c>
      <c r="R28" s="101">
        <v>0.0</v>
      </c>
      <c r="S28" s="51" t="s">
        <v>53</v>
      </c>
    </row>
    <row r="29" ht="15.75" customHeight="1">
      <c r="A29" s="51" t="s">
        <v>5779</v>
      </c>
      <c r="B29" s="51" t="s">
        <v>5780</v>
      </c>
      <c r="C29" s="101">
        <v>28.0</v>
      </c>
      <c r="D29" s="101">
        <v>78.0</v>
      </c>
      <c r="E29" s="51" t="s">
        <v>5781</v>
      </c>
      <c r="F29" s="51" t="s">
        <v>5640</v>
      </c>
      <c r="G29" s="101">
        <v>5.0</v>
      </c>
      <c r="H29" s="101">
        <v>5.0</v>
      </c>
      <c r="I29" s="101">
        <v>15.0</v>
      </c>
      <c r="J29" s="101">
        <v>30.0</v>
      </c>
      <c r="K29" s="101">
        <v>100.0</v>
      </c>
      <c r="L29" s="101">
        <v>150.0</v>
      </c>
      <c r="M29" s="101">
        <v>300.0</v>
      </c>
      <c r="N29" s="101">
        <v>1000.0</v>
      </c>
      <c r="O29" s="101">
        <v>2000.0</v>
      </c>
      <c r="P29" s="101">
        <v>3000.0</v>
      </c>
      <c r="Q29" s="101">
        <v>5000.0</v>
      </c>
      <c r="R29" s="101">
        <v>0.0</v>
      </c>
      <c r="S29" s="51" t="s">
        <v>53</v>
      </c>
    </row>
    <row r="30" ht="15.75" customHeight="1">
      <c r="A30" s="51" t="s">
        <v>5784</v>
      </c>
      <c r="B30" s="51" t="s">
        <v>5785</v>
      </c>
      <c r="C30" s="101">
        <v>29.0</v>
      </c>
      <c r="D30" s="101">
        <v>77.0</v>
      </c>
      <c r="E30" s="51" t="s">
        <v>5787</v>
      </c>
      <c r="F30" s="51" t="s">
        <v>5640</v>
      </c>
      <c r="G30" s="101">
        <v>5.0</v>
      </c>
      <c r="H30" s="101">
        <v>20.0</v>
      </c>
      <c r="I30" s="101">
        <v>50.0</v>
      </c>
      <c r="J30" s="101">
        <v>100.0</v>
      </c>
      <c r="K30" s="101">
        <v>200.0</v>
      </c>
      <c r="L30" s="101">
        <v>300.0</v>
      </c>
      <c r="M30" s="101">
        <v>300.0</v>
      </c>
      <c r="N30" s="101">
        <v>1000.0</v>
      </c>
      <c r="O30" s="101">
        <v>2000.0</v>
      </c>
      <c r="P30" s="101">
        <v>3000.0</v>
      </c>
      <c r="Q30" s="101">
        <v>5000.0</v>
      </c>
      <c r="R30" s="101">
        <v>0.0</v>
      </c>
      <c r="S30" s="51" t="s">
        <v>53</v>
      </c>
    </row>
    <row r="31" ht="15.75" customHeight="1">
      <c r="A31" s="51" t="s">
        <v>5790</v>
      </c>
      <c r="B31" s="51" t="s">
        <v>5791</v>
      </c>
      <c r="C31" s="101">
        <v>30.0</v>
      </c>
      <c r="D31" s="101">
        <v>81.0</v>
      </c>
      <c r="E31" s="51" t="s">
        <v>5793</v>
      </c>
      <c r="F31" s="51" t="s">
        <v>5640</v>
      </c>
      <c r="G31" s="101">
        <v>3.0</v>
      </c>
      <c r="H31" s="101">
        <v>1.0</v>
      </c>
      <c r="I31" s="101">
        <v>3.0</v>
      </c>
      <c r="J31" s="101">
        <v>5.0</v>
      </c>
      <c r="K31" s="101">
        <v>0.0</v>
      </c>
      <c r="L31" s="101">
        <v>0.0</v>
      </c>
      <c r="M31" s="101">
        <v>500.0</v>
      </c>
      <c r="N31" s="101">
        <v>1000.0</v>
      </c>
      <c r="O31" s="101">
        <v>2000.0</v>
      </c>
      <c r="P31" s="101">
        <v>3000.0</v>
      </c>
      <c r="Q31" s="101">
        <v>5000.0</v>
      </c>
      <c r="R31" s="101">
        <v>0.0</v>
      </c>
      <c r="S31" s="51" t="s">
        <v>53</v>
      </c>
    </row>
    <row r="32" ht="15.75" customHeight="1">
      <c r="A32" s="51" t="s">
        <v>5795</v>
      </c>
      <c r="B32" s="51" t="s">
        <v>5796</v>
      </c>
      <c r="C32" s="101">
        <v>31.0</v>
      </c>
      <c r="D32" s="101">
        <v>59.0</v>
      </c>
      <c r="E32" s="51" t="s">
        <v>5797</v>
      </c>
      <c r="F32" s="51" t="s">
        <v>5655</v>
      </c>
      <c r="G32" s="101">
        <v>5.0</v>
      </c>
      <c r="H32" s="101">
        <v>1.0</v>
      </c>
      <c r="I32" s="101">
        <v>10.0</v>
      </c>
      <c r="J32" s="101">
        <v>50.0</v>
      </c>
      <c r="K32" s="101">
        <v>100.0</v>
      </c>
      <c r="L32" s="101">
        <v>300.0</v>
      </c>
      <c r="M32" s="101">
        <v>300.0</v>
      </c>
      <c r="N32" s="101">
        <v>500.0</v>
      </c>
      <c r="O32" s="101">
        <v>1000.0</v>
      </c>
      <c r="P32" s="101">
        <v>2000.0</v>
      </c>
      <c r="Q32" s="101">
        <v>3000.0</v>
      </c>
      <c r="R32" s="101">
        <v>0.0</v>
      </c>
      <c r="S32" s="51" t="s">
        <v>53</v>
      </c>
    </row>
    <row r="33" ht="15.75" customHeight="1">
      <c r="A33" s="51" t="s">
        <v>5800</v>
      </c>
      <c r="B33" s="51" t="s">
        <v>5801</v>
      </c>
      <c r="C33" s="101">
        <v>32.0</v>
      </c>
      <c r="D33" s="101">
        <v>31.0</v>
      </c>
      <c r="E33" s="51" t="s">
        <v>5802</v>
      </c>
      <c r="F33" s="51" t="s">
        <v>5655</v>
      </c>
      <c r="G33" s="101">
        <v>5.0</v>
      </c>
      <c r="H33" s="101">
        <v>1.0</v>
      </c>
      <c r="I33" s="101">
        <v>10.0</v>
      </c>
      <c r="J33" s="101">
        <v>20.0</v>
      </c>
      <c r="K33" s="101">
        <v>30.0</v>
      </c>
      <c r="L33" s="101">
        <v>42.0</v>
      </c>
      <c r="M33" s="101">
        <v>300.0</v>
      </c>
      <c r="N33" s="101">
        <v>500.0</v>
      </c>
      <c r="O33" s="101">
        <v>1000.0</v>
      </c>
      <c r="P33" s="101">
        <v>2000.0</v>
      </c>
      <c r="Q33" s="101">
        <v>3000.0</v>
      </c>
      <c r="R33" s="101">
        <v>0.0</v>
      </c>
      <c r="S33" s="51" t="s">
        <v>53</v>
      </c>
    </row>
    <row r="34" ht="15.75" customHeight="1">
      <c r="A34" s="51" t="s">
        <v>5806</v>
      </c>
      <c r="B34" s="51" t="s">
        <v>5807</v>
      </c>
      <c r="C34" s="101">
        <v>33.0</v>
      </c>
      <c r="D34" s="101">
        <v>75.0</v>
      </c>
      <c r="E34" s="51" t="s">
        <v>5808</v>
      </c>
      <c r="F34" s="51" t="s">
        <v>5809</v>
      </c>
      <c r="G34" s="101">
        <v>1.0</v>
      </c>
      <c r="H34" s="101">
        <v>1.0</v>
      </c>
      <c r="I34" s="101">
        <v>0.0</v>
      </c>
      <c r="J34" s="101">
        <v>0.0</v>
      </c>
      <c r="K34" s="101">
        <v>0.0</v>
      </c>
      <c r="L34" s="101">
        <v>0.0</v>
      </c>
      <c r="M34" s="101">
        <v>300.0</v>
      </c>
      <c r="N34" s="101">
        <v>500.0</v>
      </c>
      <c r="O34" s="101">
        <v>1000.0</v>
      </c>
      <c r="P34" s="101">
        <v>2000.0</v>
      </c>
      <c r="Q34" s="101">
        <v>3000.0</v>
      </c>
      <c r="R34" s="101">
        <v>0.0</v>
      </c>
      <c r="S34" s="51" t="s">
        <v>53</v>
      </c>
    </row>
    <row r="35" ht="15.75" customHeight="1">
      <c r="A35" s="51" t="s">
        <v>5812</v>
      </c>
      <c r="B35" s="51" t="s">
        <v>5813</v>
      </c>
      <c r="C35" s="101">
        <v>34.0</v>
      </c>
      <c r="D35" s="101">
        <v>87.0</v>
      </c>
      <c r="E35" s="51" t="s">
        <v>5815</v>
      </c>
      <c r="F35" s="51" t="s">
        <v>5809</v>
      </c>
      <c r="G35" s="101">
        <v>1.0</v>
      </c>
      <c r="H35" s="101">
        <v>1.0</v>
      </c>
      <c r="I35" s="101">
        <v>0.0</v>
      </c>
      <c r="J35" s="101">
        <v>0.0</v>
      </c>
      <c r="K35" s="101">
        <v>0.0</v>
      </c>
      <c r="L35" s="101">
        <v>0.0</v>
      </c>
      <c r="M35" s="101">
        <v>300.0</v>
      </c>
      <c r="N35" s="101">
        <v>1000.0</v>
      </c>
      <c r="O35" s="101">
        <v>2000.0</v>
      </c>
      <c r="P35" s="101">
        <v>3000.0</v>
      </c>
      <c r="Q35" s="101">
        <v>5000.0</v>
      </c>
      <c r="R35" s="101">
        <v>0.0</v>
      </c>
      <c r="S35" s="51" t="s">
        <v>53</v>
      </c>
    </row>
    <row r="36" ht="15.75" customHeight="1">
      <c r="A36" s="51" t="s">
        <v>5818</v>
      </c>
      <c r="B36" s="51" t="s">
        <v>5819</v>
      </c>
      <c r="C36" s="101">
        <v>35.0</v>
      </c>
      <c r="D36" s="101">
        <v>76.0</v>
      </c>
      <c r="E36" s="51" t="s">
        <v>5820</v>
      </c>
      <c r="F36" s="51" t="s">
        <v>5809</v>
      </c>
      <c r="G36" s="101">
        <v>1.0</v>
      </c>
      <c r="H36" s="101">
        <v>10.0</v>
      </c>
      <c r="I36" s="101">
        <v>0.0</v>
      </c>
      <c r="J36" s="101">
        <v>0.0</v>
      </c>
      <c r="K36" s="101">
        <v>0.0</v>
      </c>
      <c r="L36" s="101">
        <v>0.0</v>
      </c>
      <c r="M36" s="101">
        <v>300.0</v>
      </c>
      <c r="N36" s="101">
        <v>500.0</v>
      </c>
      <c r="O36" s="101">
        <v>1000.0</v>
      </c>
      <c r="P36" s="101">
        <v>2000.0</v>
      </c>
      <c r="Q36" s="101">
        <v>3000.0</v>
      </c>
      <c r="R36" s="101">
        <v>0.0</v>
      </c>
      <c r="S36" s="51" t="s">
        <v>53</v>
      </c>
    </row>
    <row r="37" ht="15.75" customHeight="1">
      <c r="A37" s="51" t="s">
        <v>5823</v>
      </c>
      <c r="B37" s="51" t="s">
        <v>5824</v>
      </c>
      <c r="C37" s="101">
        <v>36.0</v>
      </c>
      <c r="D37" s="101">
        <v>56.0</v>
      </c>
      <c r="E37" s="51" t="s">
        <v>5826</v>
      </c>
      <c r="F37" s="51" t="s">
        <v>5809</v>
      </c>
      <c r="G37" s="101">
        <v>1.0</v>
      </c>
      <c r="H37" s="101">
        <v>1000.0</v>
      </c>
      <c r="I37" s="101">
        <v>0.0</v>
      </c>
      <c r="J37" s="101">
        <v>0.0</v>
      </c>
      <c r="K37" s="101">
        <v>0.0</v>
      </c>
      <c r="L37" s="101">
        <v>0.0</v>
      </c>
      <c r="M37" s="101">
        <v>1000.0</v>
      </c>
      <c r="N37" s="101">
        <v>500.0</v>
      </c>
      <c r="O37" s="101">
        <v>1000.0</v>
      </c>
      <c r="P37" s="101">
        <v>2000.0</v>
      </c>
      <c r="Q37" s="101">
        <v>3000.0</v>
      </c>
      <c r="R37" s="101">
        <v>0.0</v>
      </c>
      <c r="S37" s="51" t="s">
        <v>53</v>
      </c>
    </row>
    <row r="38" ht="15.75" customHeight="1">
      <c r="A38" s="51" t="s">
        <v>5828</v>
      </c>
      <c r="B38" s="51" t="s">
        <v>5829</v>
      </c>
      <c r="C38" s="101">
        <v>37.0</v>
      </c>
      <c r="D38" s="101">
        <v>16.0</v>
      </c>
      <c r="E38" s="51" t="s">
        <v>5830</v>
      </c>
      <c r="F38" s="51" t="s">
        <v>5809</v>
      </c>
      <c r="G38" s="101">
        <v>5.0</v>
      </c>
      <c r="H38" s="101">
        <v>1.0</v>
      </c>
      <c r="I38" s="101">
        <v>20.0</v>
      </c>
      <c r="J38" s="101">
        <v>50.0</v>
      </c>
      <c r="K38" s="101">
        <v>100.0</v>
      </c>
      <c r="L38" s="101">
        <v>200.0</v>
      </c>
      <c r="M38" s="101">
        <v>300.0</v>
      </c>
      <c r="N38" s="101">
        <v>500.0</v>
      </c>
      <c r="O38" s="101">
        <v>1000.0</v>
      </c>
      <c r="P38" s="101">
        <v>2000.0</v>
      </c>
      <c r="Q38" s="101">
        <v>3000.0</v>
      </c>
      <c r="R38" s="101">
        <v>0.0</v>
      </c>
      <c r="S38" s="51" t="s">
        <v>53</v>
      </c>
    </row>
    <row r="39" ht="15.75" customHeight="1">
      <c r="A39" s="51" t="s">
        <v>5832</v>
      </c>
      <c r="B39" s="51" t="s">
        <v>5833</v>
      </c>
      <c r="C39" s="101">
        <v>38.0</v>
      </c>
      <c r="D39" s="101">
        <v>15.0</v>
      </c>
      <c r="E39" s="51" t="s">
        <v>5835</v>
      </c>
      <c r="F39" s="51" t="s">
        <v>5809</v>
      </c>
      <c r="G39" s="101">
        <v>5.0</v>
      </c>
      <c r="H39" s="101">
        <v>100.0</v>
      </c>
      <c r="I39" s="101">
        <v>200.0</v>
      </c>
      <c r="J39" s="101">
        <v>300.0</v>
      </c>
      <c r="K39" s="101">
        <v>400.0</v>
      </c>
      <c r="L39" s="101">
        <v>500.0</v>
      </c>
      <c r="M39" s="101">
        <v>300.0</v>
      </c>
      <c r="N39" s="101">
        <v>500.0</v>
      </c>
      <c r="O39" s="101">
        <v>1000.0</v>
      </c>
      <c r="P39" s="101">
        <v>2000.0</v>
      </c>
      <c r="Q39" s="101">
        <v>3000.0</v>
      </c>
      <c r="R39" s="101">
        <v>0.0</v>
      </c>
      <c r="S39" s="51" t="s">
        <v>53</v>
      </c>
    </row>
    <row r="40" ht="15.75" customHeight="1">
      <c r="A40" s="51" t="s">
        <v>5837</v>
      </c>
      <c r="B40" s="51" t="s">
        <v>5838</v>
      </c>
      <c r="C40" s="101">
        <v>39.0</v>
      </c>
      <c r="D40" s="101">
        <v>58.0</v>
      </c>
      <c r="E40" s="51" t="s">
        <v>5839</v>
      </c>
      <c r="F40" s="51" t="s">
        <v>5809</v>
      </c>
      <c r="G40" s="101">
        <v>5.0</v>
      </c>
      <c r="H40" s="101">
        <v>5.0</v>
      </c>
      <c r="I40" s="101">
        <v>50.0</v>
      </c>
      <c r="J40" s="101">
        <v>200.0</v>
      </c>
      <c r="K40" s="101">
        <v>1000.0</v>
      </c>
      <c r="L40" s="101">
        <v>3000.0</v>
      </c>
      <c r="M40" s="101">
        <v>300.0</v>
      </c>
      <c r="N40" s="101">
        <v>500.0</v>
      </c>
      <c r="O40" s="101">
        <v>1000.0</v>
      </c>
      <c r="P40" s="101">
        <v>2000.0</v>
      </c>
      <c r="Q40" s="101">
        <v>3000.0</v>
      </c>
      <c r="R40" s="101">
        <v>0.0</v>
      </c>
      <c r="S40" s="51" t="s">
        <v>53</v>
      </c>
    </row>
    <row r="41" ht="15.75" customHeight="1">
      <c r="A41" s="51" t="s">
        <v>5841</v>
      </c>
      <c r="B41" s="51" t="s">
        <v>5842</v>
      </c>
      <c r="C41" s="101">
        <v>40.0</v>
      </c>
      <c r="D41" s="101">
        <v>12.0</v>
      </c>
      <c r="E41" s="51" t="s">
        <v>5844</v>
      </c>
      <c r="F41" s="51" t="s">
        <v>5845</v>
      </c>
      <c r="G41" s="101">
        <v>1.0</v>
      </c>
      <c r="H41" s="101">
        <v>1.0</v>
      </c>
      <c r="I41" s="101">
        <v>0.0</v>
      </c>
      <c r="J41" s="101">
        <v>0.0</v>
      </c>
      <c r="K41" s="101">
        <v>0.0</v>
      </c>
      <c r="L41" s="101">
        <v>0.0</v>
      </c>
      <c r="M41" s="101">
        <v>300.0</v>
      </c>
      <c r="N41" s="101">
        <v>500.0</v>
      </c>
      <c r="O41" s="101">
        <v>1000.0</v>
      </c>
      <c r="P41" s="101">
        <v>2000.0</v>
      </c>
      <c r="Q41" s="101">
        <v>3000.0</v>
      </c>
      <c r="R41" s="101">
        <v>0.0</v>
      </c>
      <c r="S41" s="51" t="s">
        <v>53</v>
      </c>
    </row>
    <row r="42" ht="15.75" customHeight="1">
      <c r="A42" s="51" t="s">
        <v>5847</v>
      </c>
      <c r="B42" s="51" t="s">
        <v>5848</v>
      </c>
      <c r="C42" s="101">
        <v>41.0</v>
      </c>
      <c r="D42" s="101">
        <v>13.0</v>
      </c>
      <c r="E42" s="51" t="s">
        <v>5849</v>
      </c>
      <c r="F42" s="51" t="s">
        <v>5845</v>
      </c>
      <c r="G42" s="101">
        <v>1.0</v>
      </c>
      <c r="H42" s="101">
        <v>1.0</v>
      </c>
      <c r="I42" s="101">
        <v>0.0</v>
      </c>
      <c r="J42" s="101">
        <v>0.0</v>
      </c>
      <c r="K42" s="101">
        <v>0.0</v>
      </c>
      <c r="L42" s="101">
        <v>0.0</v>
      </c>
      <c r="M42" s="101">
        <v>300.0</v>
      </c>
      <c r="N42" s="101">
        <v>500.0</v>
      </c>
      <c r="O42" s="101">
        <v>1000.0</v>
      </c>
      <c r="P42" s="101">
        <v>2000.0</v>
      </c>
      <c r="Q42" s="101">
        <v>3000.0</v>
      </c>
      <c r="R42" s="101">
        <v>0.0</v>
      </c>
      <c r="S42" s="51" t="s">
        <v>53</v>
      </c>
    </row>
    <row r="43" ht="15.75" customHeight="1">
      <c r="A43" s="51" t="s">
        <v>5851</v>
      </c>
      <c r="B43" s="51" t="s">
        <v>5852</v>
      </c>
      <c r="C43" s="101">
        <v>42.0</v>
      </c>
      <c r="D43" s="101">
        <v>33.0</v>
      </c>
      <c r="E43" s="51" t="s">
        <v>5854</v>
      </c>
      <c r="F43" s="51" t="s">
        <v>5845</v>
      </c>
      <c r="G43" s="101">
        <v>1.0</v>
      </c>
      <c r="H43" s="101">
        <v>1.0</v>
      </c>
      <c r="I43" s="101">
        <v>0.0</v>
      </c>
      <c r="J43" s="101">
        <v>0.0</v>
      </c>
      <c r="K43" s="101">
        <v>0.0</v>
      </c>
      <c r="L43" s="101">
        <v>0.0</v>
      </c>
      <c r="M43" s="101">
        <v>500.0</v>
      </c>
      <c r="N43" s="101">
        <v>500.0</v>
      </c>
      <c r="O43" s="101">
        <v>1000.0</v>
      </c>
      <c r="P43" s="101">
        <v>2000.0</v>
      </c>
      <c r="Q43" s="101">
        <v>3000.0</v>
      </c>
      <c r="R43" s="101">
        <v>0.0</v>
      </c>
      <c r="S43" s="51" t="s">
        <v>53</v>
      </c>
    </row>
    <row r="44" ht="15.75" customHeight="1">
      <c r="A44" s="51" t="s">
        <v>5857</v>
      </c>
      <c r="B44" s="51" t="s">
        <v>5858</v>
      </c>
      <c r="C44" s="101">
        <v>43.0</v>
      </c>
      <c r="D44" s="101">
        <v>11.0</v>
      </c>
      <c r="E44" s="51" t="s">
        <v>5860</v>
      </c>
      <c r="F44" s="51" t="s">
        <v>5845</v>
      </c>
      <c r="G44" s="101">
        <v>5.0</v>
      </c>
      <c r="H44" s="101">
        <v>5000.0</v>
      </c>
      <c r="I44" s="101">
        <v>50000.0</v>
      </c>
      <c r="J44" s="101">
        <v>500000.0</v>
      </c>
      <c r="K44" s="101">
        <v>2000000.0</v>
      </c>
      <c r="L44" s="101">
        <v>5000000.0</v>
      </c>
      <c r="M44" s="101">
        <v>300.0</v>
      </c>
      <c r="N44" s="101">
        <v>500.0</v>
      </c>
      <c r="O44" s="101">
        <v>1000.0</v>
      </c>
      <c r="P44" s="101">
        <v>2000.0</v>
      </c>
      <c r="Q44" s="101">
        <v>3000.0</v>
      </c>
      <c r="R44" s="101">
        <v>0.0</v>
      </c>
      <c r="S44" s="51" t="s">
        <v>53</v>
      </c>
    </row>
    <row r="45" ht="15.75" customHeight="1">
      <c r="A45" s="51" t="s">
        <v>5862</v>
      </c>
      <c r="B45" s="51" t="s">
        <v>5863</v>
      </c>
      <c r="C45" s="101">
        <v>44.0</v>
      </c>
      <c r="D45" s="101">
        <v>9.0</v>
      </c>
      <c r="E45" s="51" t="s">
        <v>5864</v>
      </c>
      <c r="F45" s="51" t="s">
        <v>5845</v>
      </c>
      <c r="G45" s="101">
        <v>1.0</v>
      </c>
      <c r="H45" s="101">
        <v>1.0</v>
      </c>
      <c r="I45" s="101">
        <v>0.0</v>
      </c>
      <c r="J45" s="101">
        <v>0.0</v>
      </c>
      <c r="K45" s="101">
        <v>0.0</v>
      </c>
      <c r="L45" s="101">
        <v>0.0</v>
      </c>
      <c r="M45" s="101">
        <v>300.0</v>
      </c>
      <c r="N45" s="101">
        <v>500.0</v>
      </c>
      <c r="O45" s="101">
        <v>1000.0</v>
      </c>
      <c r="P45" s="101">
        <v>2000.0</v>
      </c>
      <c r="Q45" s="101">
        <v>3000.0</v>
      </c>
      <c r="R45" s="101">
        <v>0.0</v>
      </c>
      <c r="S45" s="51" t="s">
        <v>53</v>
      </c>
    </row>
    <row r="46" ht="15.75" customHeight="1">
      <c r="A46" s="51" t="s">
        <v>5866</v>
      </c>
      <c r="B46" s="51" t="s">
        <v>5867</v>
      </c>
      <c r="C46" s="101">
        <v>45.0</v>
      </c>
      <c r="D46" s="101">
        <v>10.0</v>
      </c>
      <c r="E46" s="51" t="s">
        <v>5869</v>
      </c>
      <c r="F46" s="51" t="s">
        <v>5845</v>
      </c>
      <c r="G46" s="101">
        <v>5.0</v>
      </c>
      <c r="H46" s="101">
        <v>1000.0</v>
      </c>
      <c r="I46" s="101">
        <v>10000.0</v>
      </c>
      <c r="J46" s="101">
        <v>100000.0</v>
      </c>
      <c r="K46" s="101">
        <v>1000000.0</v>
      </c>
      <c r="L46" s="101">
        <v>1.0E7</v>
      </c>
      <c r="M46" s="101">
        <v>300.0</v>
      </c>
      <c r="N46" s="101">
        <v>500.0</v>
      </c>
      <c r="O46" s="101">
        <v>1000.0</v>
      </c>
      <c r="P46" s="101">
        <v>2000.0</v>
      </c>
      <c r="Q46" s="101">
        <v>3000.0</v>
      </c>
      <c r="R46" s="101">
        <v>0.0</v>
      </c>
      <c r="S46" s="51" t="s">
        <v>53</v>
      </c>
    </row>
    <row r="47" ht="15.75" customHeight="1">
      <c r="A47" s="51" t="s">
        <v>5871</v>
      </c>
      <c r="B47" s="51" t="s">
        <v>5872</v>
      </c>
      <c r="C47" s="101">
        <v>46.0</v>
      </c>
      <c r="D47" s="101">
        <v>34.0</v>
      </c>
      <c r="E47" s="51" t="s">
        <v>5873</v>
      </c>
      <c r="F47" s="51" t="s">
        <v>5845</v>
      </c>
      <c r="G47" s="101">
        <v>1.0</v>
      </c>
      <c r="H47" s="101">
        <v>1.0</v>
      </c>
      <c r="I47" s="101">
        <v>0.0</v>
      </c>
      <c r="J47" s="101">
        <v>0.0</v>
      </c>
      <c r="K47" s="101">
        <v>0.0</v>
      </c>
      <c r="L47" s="101">
        <v>0.0</v>
      </c>
      <c r="M47" s="101">
        <v>1000.0</v>
      </c>
      <c r="N47" s="101">
        <v>500.0</v>
      </c>
      <c r="O47" s="101">
        <v>1000.0</v>
      </c>
      <c r="P47" s="101">
        <v>2000.0</v>
      </c>
      <c r="Q47" s="101">
        <v>3000.0</v>
      </c>
      <c r="R47" s="101">
        <v>0.0</v>
      </c>
      <c r="S47" s="51" t="s">
        <v>53</v>
      </c>
    </row>
    <row r="48" ht="15.75" customHeight="1">
      <c r="A48" s="51" t="s">
        <v>5875</v>
      </c>
      <c r="B48" s="51" t="s">
        <v>5876</v>
      </c>
      <c r="C48" s="101">
        <v>47.0</v>
      </c>
      <c r="D48" s="101">
        <v>83.0</v>
      </c>
      <c r="E48" s="51" t="s">
        <v>5877</v>
      </c>
      <c r="F48" s="51" t="s">
        <v>5655</v>
      </c>
      <c r="G48" s="101">
        <v>1.0</v>
      </c>
      <c r="H48" s="101">
        <v>1.0</v>
      </c>
      <c r="I48" s="101">
        <v>0.0</v>
      </c>
      <c r="J48" s="101">
        <v>0.0</v>
      </c>
      <c r="K48" s="101">
        <v>0.0</v>
      </c>
      <c r="L48" s="101">
        <v>0.0</v>
      </c>
      <c r="M48" s="101">
        <v>300.0</v>
      </c>
      <c r="N48" s="101">
        <v>1000.0</v>
      </c>
      <c r="O48" s="101">
        <v>2000.0</v>
      </c>
      <c r="P48" s="101">
        <v>3000.0</v>
      </c>
      <c r="Q48" s="101">
        <v>5000.0</v>
      </c>
      <c r="R48" s="101">
        <v>0.0</v>
      </c>
      <c r="S48" s="51" t="s">
        <v>53</v>
      </c>
    </row>
    <row r="49" ht="15.75" customHeight="1">
      <c r="A49" s="51" t="s">
        <v>5878</v>
      </c>
      <c r="B49" s="51" t="s">
        <v>5879</v>
      </c>
      <c r="C49" s="101">
        <v>48.0</v>
      </c>
      <c r="D49" s="101">
        <v>50.0</v>
      </c>
      <c r="E49" s="51" t="s">
        <v>5880</v>
      </c>
      <c r="F49" s="51" t="s">
        <v>5655</v>
      </c>
      <c r="G49" s="101">
        <v>5.0</v>
      </c>
      <c r="H49" s="101">
        <v>5.0</v>
      </c>
      <c r="I49" s="101">
        <v>20.0</v>
      </c>
      <c r="J49" s="101">
        <v>50.0</v>
      </c>
      <c r="K49" s="101">
        <v>100.0</v>
      </c>
      <c r="L49" s="101">
        <v>200.0</v>
      </c>
      <c r="M49" s="101">
        <v>300.0</v>
      </c>
      <c r="N49" s="101">
        <v>500.0</v>
      </c>
      <c r="O49" s="101">
        <v>1000.0</v>
      </c>
      <c r="P49" s="101">
        <v>2000.0</v>
      </c>
      <c r="Q49" s="101">
        <v>3000.0</v>
      </c>
      <c r="R49" s="101">
        <v>0.0</v>
      </c>
      <c r="S49" s="51" t="s">
        <v>53</v>
      </c>
    </row>
    <row r="50" ht="15.75" customHeight="1">
      <c r="A50" s="51" t="s">
        <v>5882</v>
      </c>
      <c r="B50" s="51" t="s">
        <v>5883</v>
      </c>
      <c r="C50" s="101">
        <v>49.0</v>
      </c>
      <c r="D50" s="101">
        <v>26.0</v>
      </c>
      <c r="E50" s="51" t="s">
        <v>5884</v>
      </c>
      <c r="F50" s="51" t="s">
        <v>5662</v>
      </c>
      <c r="G50" s="101">
        <v>3.0</v>
      </c>
      <c r="H50" s="101">
        <v>1.0</v>
      </c>
      <c r="I50" s="101">
        <v>5.0</v>
      </c>
      <c r="J50" s="101">
        <v>10.0</v>
      </c>
      <c r="K50" s="101">
        <v>0.0</v>
      </c>
      <c r="L50" s="101">
        <v>0.0</v>
      </c>
      <c r="M50" s="101">
        <v>300.0</v>
      </c>
      <c r="N50" s="101">
        <v>500.0</v>
      </c>
      <c r="O50" s="101">
        <v>1000.0</v>
      </c>
      <c r="P50" s="101">
        <v>2000.0</v>
      </c>
      <c r="Q50" s="101">
        <v>3000.0</v>
      </c>
      <c r="R50" s="101">
        <v>0.0</v>
      </c>
      <c r="S50" s="51" t="s">
        <v>53</v>
      </c>
    </row>
    <row r="51" ht="15.75" customHeight="1">
      <c r="A51" s="51" t="s">
        <v>5885</v>
      </c>
      <c r="B51" s="51" t="s">
        <v>5886</v>
      </c>
      <c r="C51" s="101">
        <v>50.0</v>
      </c>
      <c r="D51" s="101">
        <v>25.0</v>
      </c>
      <c r="E51" s="51" t="s">
        <v>5887</v>
      </c>
      <c r="F51" s="51" t="s">
        <v>5662</v>
      </c>
      <c r="G51" s="101">
        <v>1.0</v>
      </c>
      <c r="H51" s="101">
        <v>1.0</v>
      </c>
      <c r="I51" s="101">
        <v>0.0</v>
      </c>
      <c r="J51" s="101">
        <v>0.0</v>
      </c>
      <c r="K51" s="101">
        <v>0.0</v>
      </c>
      <c r="L51" s="101">
        <v>0.0</v>
      </c>
      <c r="M51" s="101">
        <v>1000.0</v>
      </c>
      <c r="N51" s="101">
        <v>500.0</v>
      </c>
      <c r="O51" s="101">
        <v>1000.0</v>
      </c>
      <c r="P51" s="101">
        <v>2000.0</v>
      </c>
      <c r="Q51" s="101">
        <v>3000.0</v>
      </c>
      <c r="R51" s="101">
        <v>0.0</v>
      </c>
      <c r="S51" s="51" t="s">
        <v>53</v>
      </c>
    </row>
    <row r="52" ht="15.75" customHeight="1">
      <c r="A52" s="51" t="s">
        <v>5888</v>
      </c>
      <c r="B52" s="51" t="s">
        <v>5889</v>
      </c>
      <c r="C52" s="101">
        <v>51.0</v>
      </c>
      <c r="D52" s="101">
        <v>71.0</v>
      </c>
      <c r="E52" s="51" t="s">
        <v>5890</v>
      </c>
      <c r="F52" s="51" t="s">
        <v>5662</v>
      </c>
      <c r="G52" s="101">
        <v>1.0</v>
      </c>
      <c r="H52" s="101">
        <v>1.0</v>
      </c>
      <c r="I52" s="101">
        <v>0.0</v>
      </c>
      <c r="J52" s="101">
        <v>0.0</v>
      </c>
      <c r="K52" s="101">
        <v>0.0</v>
      </c>
      <c r="L52" s="101">
        <v>0.0</v>
      </c>
      <c r="M52" s="101">
        <v>1000.0</v>
      </c>
      <c r="N52" s="101">
        <v>500.0</v>
      </c>
      <c r="O52" s="101">
        <v>1000.0</v>
      </c>
      <c r="P52" s="101">
        <v>2000.0</v>
      </c>
      <c r="Q52" s="101">
        <v>3000.0</v>
      </c>
      <c r="R52" s="101">
        <v>0.0</v>
      </c>
      <c r="S52" s="51" t="s">
        <v>53</v>
      </c>
    </row>
    <row r="53" ht="15.75" customHeight="1">
      <c r="A53" s="51" t="s">
        <v>5891</v>
      </c>
      <c r="B53" s="51" t="s">
        <v>5892</v>
      </c>
      <c r="C53" s="101">
        <v>52.0</v>
      </c>
      <c r="D53" s="101">
        <v>51.0</v>
      </c>
      <c r="E53" s="51" t="s">
        <v>5893</v>
      </c>
      <c r="F53" s="51" t="s">
        <v>247</v>
      </c>
      <c r="G53" s="101">
        <v>1.0</v>
      </c>
      <c r="H53" s="101">
        <v>1.0</v>
      </c>
      <c r="I53" s="101">
        <v>0.0</v>
      </c>
      <c r="J53" s="101">
        <v>0.0</v>
      </c>
      <c r="K53" s="101">
        <v>0.0</v>
      </c>
      <c r="L53" s="101">
        <v>0.0</v>
      </c>
      <c r="M53" s="101">
        <v>300.0</v>
      </c>
      <c r="N53" s="101">
        <v>500.0</v>
      </c>
      <c r="O53" s="101">
        <v>1000.0</v>
      </c>
      <c r="P53" s="101">
        <v>2000.0</v>
      </c>
      <c r="Q53" s="101">
        <v>3000.0</v>
      </c>
      <c r="R53" s="101">
        <v>0.0</v>
      </c>
      <c r="S53" s="51" t="s">
        <v>53</v>
      </c>
    </row>
    <row r="54" ht="15.75" customHeight="1">
      <c r="A54" s="51" t="s">
        <v>5894</v>
      </c>
      <c r="B54" s="51" t="s">
        <v>5895</v>
      </c>
      <c r="C54" s="101">
        <v>53.0</v>
      </c>
      <c r="D54" s="101">
        <v>24.0</v>
      </c>
      <c r="E54" s="51" t="s">
        <v>5896</v>
      </c>
      <c r="F54" s="51" t="s">
        <v>5897</v>
      </c>
      <c r="G54" s="101">
        <v>1.0</v>
      </c>
      <c r="H54" s="101">
        <v>1.0</v>
      </c>
      <c r="I54" s="101">
        <v>0.0</v>
      </c>
      <c r="J54" s="101">
        <v>0.0</v>
      </c>
      <c r="K54" s="101">
        <v>0.0</v>
      </c>
      <c r="L54" s="101">
        <v>0.0</v>
      </c>
      <c r="M54" s="101">
        <v>300.0</v>
      </c>
      <c r="N54" s="101">
        <v>500.0</v>
      </c>
      <c r="O54" s="101">
        <v>1000.0</v>
      </c>
      <c r="P54" s="101">
        <v>2000.0</v>
      </c>
      <c r="Q54" s="101">
        <v>3000.0</v>
      </c>
      <c r="R54" s="101">
        <v>0.0</v>
      </c>
      <c r="S54" s="51" t="s">
        <v>53</v>
      </c>
    </row>
    <row r="55" ht="15.75" customHeight="1">
      <c r="A55" s="51" t="s">
        <v>5899</v>
      </c>
      <c r="B55" s="51" t="s">
        <v>5900</v>
      </c>
      <c r="C55" s="101">
        <v>54.0</v>
      </c>
      <c r="D55" s="101">
        <v>27.0</v>
      </c>
      <c r="E55" s="51" t="s">
        <v>5901</v>
      </c>
      <c r="F55" s="51" t="s">
        <v>5897</v>
      </c>
      <c r="G55" s="101">
        <v>1.0</v>
      </c>
      <c r="H55" s="101">
        <v>1.0</v>
      </c>
      <c r="I55" s="101">
        <v>0.0</v>
      </c>
      <c r="J55" s="101">
        <v>0.0</v>
      </c>
      <c r="K55" s="101">
        <v>0.0</v>
      </c>
      <c r="L55" s="101">
        <v>0.0</v>
      </c>
      <c r="M55" s="101">
        <v>300.0</v>
      </c>
      <c r="N55" s="101">
        <v>500.0</v>
      </c>
      <c r="O55" s="101">
        <v>1000.0</v>
      </c>
      <c r="P55" s="101">
        <v>2000.0</v>
      </c>
      <c r="Q55" s="101">
        <v>3000.0</v>
      </c>
      <c r="R55" s="101">
        <v>0.0</v>
      </c>
      <c r="S55" s="51" t="s">
        <v>53</v>
      </c>
    </row>
    <row r="56" ht="15.75" customHeight="1">
      <c r="A56" s="51" t="s">
        <v>5902</v>
      </c>
      <c r="B56" s="51" t="s">
        <v>5903</v>
      </c>
      <c r="C56" s="101">
        <v>55.0</v>
      </c>
      <c r="D56" s="101">
        <v>52.0</v>
      </c>
      <c r="E56" s="51" t="s">
        <v>5905</v>
      </c>
      <c r="F56" s="51" t="s">
        <v>5897</v>
      </c>
      <c r="G56" s="101">
        <v>1.0</v>
      </c>
      <c r="H56" s="101">
        <v>1.0</v>
      </c>
      <c r="I56" s="101">
        <v>0.0</v>
      </c>
      <c r="J56" s="101">
        <v>0.0</v>
      </c>
      <c r="K56" s="101">
        <v>0.0</v>
      </c>
      <c r="L56" s="101">
        <v>0.0</v>
      </c>
      <c r="M56" s="101">
        <v>300.0</v>
      </c>
      <c r="N56" s="101">
        <v>500.0</v>
      </c>
      <c r="O56" s="101">
        <v>1000.0</v>
      </c>
      <c r="P56" s="101">
        <v>2000.0</v>
      </c>
      <c r="Q56" s="101">
        <v>3000.0</v>
      </c>
      <c r="R56" s="101">
        <v>0.0</v>
      </c>
      <c r="S56" s="51" t="s">
        <v>53</v>
      </c>
    </row>
    <row r="57" ht="15.75" customHeight="1">
      <c r="A57" s="51" t="s">
        <v>5907</v>
      </c>
      <c r="B57" s="51" t="s">
        <v>5909</v>
      </c>
      <c r="C57" s="101">
        <v>56.0</v>
      </c>
      <c r="D57" s="101">
        <v>80.0</v>
      </c>
      <c r="E57" s="51" t="s">
        <v>5910</v>
      </c>
      <c r="F57" s="51" t="s">
        <v>5897</v>
      </c>
      <c r="G57" s="101">
        <v>1.0</v>
      </c>
      <c r="H57" s="101">
        <v>1.0</v>
      </c>
      <c r="I57" s="101">
        <v>0.0</v>
      </c>
      <c r="J57" s="101">
        <v>0.0</v>
      </c>
      <c r="K57" s="101">
        <v>0.0</v>
      </c>
      <c r="L57" s="101">
        <v>0.0</v>
      </c>
      <c r="M57" s="101">
        <v>500.0</v>
      </c>
      <c r="N57" s="101">
        <v>1000.0</v>
      </c>
      <c r="O57" s="101">
        <v>2000.0</v>
      </c>
      <c r="P57" s="101">
        <v>3000.0</v>
      </c>
      <c r="Q57" s="101">
        <v>5000.0</v>
      </c>
      <c r="R57" s="101">
        <v>0.0</v>
      </c>
      <c r="S57" s="51" t="s">
        <v>53</v>
      </c>
    </row>
    <row r="58" ht="15.75" customHeight="1">
      <c r="A58" s="51" t="s">
        <v>5913</v>
      </c>
      <c r="B58" s="51" t="s">
        <v>5914</v>
      </c>
      <c r="C58" s="101">
        <v>57.0</v>
      </c>
      <c r="D58" s="101">
        <v>5.0</v>
      </c>
      <c r="E58" s="51" t="s">
        <v>5915</v>
      </c>
      <c r="F58" s="51" t="s">
        <v>5917</v>
      </c>
      <c r="G58" s="101">
        <v>5.0</v>
      </c>
      <c r="H58" s="101">
        <v>5.0</v>
      </c>
      <c r="I58" s="101">
        <v>20.0</v>
      </c>
      <c r="J58" s="101">
        <v>50.0</v>
      </c>
      <c r="K58" s="101">
        <v>100.0</v>
      </c>
      <c r="L58" s="101">
        <v>300.0</v>
      </c>
      <c r="M58" s="101">
        <v>300.0</v>
      </c>
      <c r="N58" s="101">
        <v>500.0</v>
      </c>
      <c r="O58" s="101">
        <v>1000.0</v>
      </c>
      <c r="P58" s="101">
        <v>2000.0</v>
      </c>
      <c r="Q58" s="101">
        <v>3000.0</v>
      </c>
      <c r="R58" s="101">
        <v>0.0</v>
      </c>
      <c r="S58" s="51" t="s">
        <v>53</v>
      </c>
    </row>
    <row r="59" ht="15.75" customHeight="1">
      <c r="A59" s="51" t="s">
        <v>5921</v>
      </c>
      <c r="B59" s="51" t="s">
        <v>5922</v>
      </c>
      <c r="C59" s="101">
        <v>58.0</v>
      </c>
      <c r="D59" s="101">
        <v>89.0</v>
      </c>
      <c r="E59" s="51" t="s">
        <v>5923</v>
      </c>
      <c r="F59" s="51" t="s">
        <v>5917</v>
      </c>
      <c r="G59" s="101">
        <v>1.0</v>
      </c>
      <c r="H59" s="101">
        <v>20.0</v>
      </c>
      <c r="I59" s="101">
        <v>0.0</v>
      </c>
      <c r="J59" s="101">
        <v>0.0</v>
      </c>
      <c r="K59" s="101">
        <v>0.0</v>
      </c>
      <c r="L59" s="101">
        <v>0.0</v>
      </c>
      <c r="M59" s="101">
        <v>500.0</v>
      </c>
      <c r="N59" s="101">
        <v>1000.0</v>
      </c>
      <c r="O59" s="101">
        <v>2000.0</v>
      </c>
      <c r="P59" s="101">
        <v>3000.0</v>
      </c>
      <c r="Q59" s="101">
        <v>5000.0</v>
      </c>
      <c r="R59" s="101">
        <v>0.0</v>
      </c>
      <c r="S59" s="51" t="s">
        <v>53</v>
      </c>
    </row>
    <row r="60" ht="15.75" customHeight="1">
      <c r="A60" s="51" t="s">
        <v>5926</v>
      </c>
      <c r="B60" s="51" t="s">
        <v>5928</v>
      </c>
      <c r="C60" s="101">
        <v>59.0</v>
      </c>
      <c r="D60" s="101">
        <v>45.0</v>
      </c>
      <c r="E60" s="51" t="s">
        <v>5930</v>
      </c>
      <c r="F60" s="51" t="s">
        <v>5917</v>
      </c>
      <c r="G60" s="101">
        <v>3.0</v>
      </c>
      <c r="H60" s="101">
        <v>1.0</v>
      </c>
      <c r="I60" s="101">
        <v>10.0</v>
      </c>
      <c r="J60" s="101">
        <v>20.0</v>
      </c>
      <c r="K60" s="101">
        <v>0.0</v>
      </c>
      <c r="L60" s="101">
        <v>0.0</v>
      </c>
      <c r="M60" s="101">
        <v>300.0</v>
      </c>
      <c r="N60" s="101">
        <v>500.0</v>
      </c>
      <c r="O60" s="101">
        <v>1000.0</v>
      </c>
      <c r="P60" s="101">
        <v>2000.0</v>
      </c>
      <c r="Q60" s="101">
        <v>3000.0</v>
      </c>
      <c r="R60" s="101">
        <v>0.0</v>
      </c>
      <c r="S60" s="51" t="s">
        <v>53</v>
      </c>
    </row>
    <row r="61" ht="15.75" customHeight="1">
      <c r="A61" s="51" t="s">
        <v>5933</v>
      </c>
      <c r="B61" s="51" t="s">
        <v>5935</v>
      </c>
      <c r="C61" s="101">
        <v>60.0</v>
      </c>
      <c r="D61" s="101">
        <v>85.0</v>
      </c>
      <c r="E61" s="51" t="s">
        <v>5938</v>
      </c>
      <c r="F61" s="51" t="s">
        <v>5917</v>
      </c>
      <c r="G61" s="101">
        <v>3.0</v>
      </c>
      <c r="H61" s="101">
        <v>1.0</v>
      </c>
      <c r="I61" s="101">
        <v>30.0</v>
      </c>
      <c r="J61" s="101">
        <v>200.0</v>
      </c>
      <c r="K61" s="101">
        <v>0.0</v>
      </c>
      <c r="L61" s="101">
        <v>0.0</v>
      </c>
      <c r="M61" s="101">
        <v>300.0</v>
      </c>
      <c r="N61" s="101">
        <v>1000.0</v>
      </c>
      <c r="O61" s="101">
        <v>2000.0</v>
      </c>
      <c r="P61" s="101">
        <v>3000.0</v>
      </c>
      <c r="Q61" s="101">
        <v>5000.0</v>
      </c>
      <c r="R61" s="101">
        <v>0.0</v>
      </c>
      <c r="S61" s="51" t="s">
        <v>53</v>
      </c>
    </row>
    <row r="62" ht="15.75" customHeight="1">
      <c r="A62" s="51" t="s">
        <v>5942</v>
      </c>
      <c r="B62" s="51" t="s">
        <v>5943</v>
      </c>
      <c r="C62" s="101">
        <v>61.0</v>
      </c>
      <c r="D62" s="101">
        <v>64.0</v>
      </c>
      <c r="E62" s="51" t="s">
        <v>5944</v>
      </c>
      <c r="F62" s="51" t="s">
        <v>5917</v>
      </c>
      <c r="G62" s="101">
        <v>1.0</v>
      </c>
      <c r="H62" s="101">
        <v>10.0</v>
      </c>
      <c r="I62" s="101">
        <v>0.0</v>
      </c>
      <c r="J62" s="101">
        <v>0.0</v>
      </c>
      <c r="K62" s="101">
        <v>0.0</v>
      </c>
      <c r="L62" s="101">
        <v>0.0</v>
      </c>
      <c r="M62" s="101">
        <v>300.0</v>
      </c>
      <c r="N62" s="101">
        <v>500.0</v>
      </c>
      <c r="O62" s="101">
        <v>1000.0</v>
      </c>
      <c r="P62" s="101">
        <v>2000.0</v>
      </c>
      <c r="Q62" s="101">
        <v>3000.0</v>
      </c>
      <c r="R62" s="101">
        <v>0.0</v>
      </c>
      <c r="S62" s="51" t="s">
        <v>53</v>
      </c>
    </row>
    <row r="63" ht="15.75" customHeight="1">
      <c r="A63" s="51" t="s">
        <v>5947</v>
      </c>
      <c r="B63" s="51" t="s">
        <v>5948</v>
      </c>
      <c r="C63" s="101">
        <v>62.0</v>
      </c>
      <c r="D63" s="101">
        <v>86.0</v>
      </c>
      <c r="E63" s="51" t="s">
        <v>5949</v>
      </c>
      <c r="F63" s="51" t="s">
        <v>5917</v>
      </c>
      <c r="G63" s="101">
        <v>2.0</v>
      </c>
      <c r="H63" s="101">
        <v>0.0</v>
      </c>
      <c r="I63" s="101">
        <v>0.0</v>
      </c>
      <c r="J63" s="101">
        <v>0.0</v>
      </c>
      <c r="K63" s="101">
        <v>0.0</v>
      </c>
      <c r="L63" s="101">
        <v>0.0</v>
      </c>
      <c r="M63" s="101">
        <v>500.0</v>
      </c>
      <c r="N63" s="101">
        <v>500.0</v>
      </c>
      <c r="O63" s="101">
        <v>2000.0</v>
      </c>
      <c r="P63" s="101">
        <v>3000.0</v>
      </c>
      <c r="Q63" s="101">
        <v>5000.0</v>
      </c>
      <c r="R63" s="101">
        <v>0.0</v>
      </c>
      <c r="S63" s="51" t="s">
        <v>40</v>
      </c>
    </row>
    <row r="64" ht="15.75" customHeight="1">
      <c r="A64" s="51" t="s">
        <v>5951</v>
      </c>
      <c r="B64" s="51" t="s">
        <v>5952</v>
      </c>
      <c r="C64" s="101">
        <v>63.0</v>
      </c>
      <c r="D64" s="101">
        <v>88.0</v>
      </c>
      <c r="E64" s="51" t="s">
        <v>5953</v>
      </c>
      <c r="F64" s="51" t="s">
        <v>5917</v>
      </c>
      <c r="G64" s="101">
        <v>3.0</v>
      </c>
      <c r="H64" s="101">
        <v>0.0</v>
      </c>
      <c r="I64" s="101">
        <v>0.0</v>
      </c>
      <c r="J64" s="101">
        <v>0.0</v>
      </c>
      <c r="K64" s="101">
        <v>0.0</v>
      </c>
      <c r="L64" s="101">
        <v>0.0</v>
      </c>
      <c r="M64" s="101">
        <v>500.0</v>
      </c>
      <c r="N64" s="101">
        <v>1000.0</v>
      </c>
      <c r="O64" s="101">
        <v>1000.0</v>
      </c>
      <c r="P64" s="101">
        <v>3000.0</v>
      </c>
      <c r="Q64" s="101">
        <v>5000.0</v>
      </c>
      <c r="R64" s="101">
        <v>0.0</v>
      </c>
      <c r="S64" s="51" t="s">
        <v>40</v>
      </c>
    </row>
    <row r="65" ht="15.75" customHeight="1">
      <c r="A65" s="51" t="s">
        <v>5956</v>
      </c>
      <c r="B65" s="51" t="s">
        <v>5957</v>
      </c>
      <c r="C65" s="101">
        <v>64.0</v>
      </c>
      <c r="D65" s="101">
        <v>44.0</v>
      </c>
      <c r="E65" s="51" t="s">
        <v>5958</v>
      </c>
      <c r="F65" s="51" t="s">
        <v>5655</v>
      </c>
      <c r="G65" s="101">
        <v>3.0</v>
      </c>
      <c r="H65" s="101">
        <v>1.0</v>
      </c>
      <c r="I65" s="101">
        <v>10.0</v>
      </c>
      <c r="J65" s="101">
        <v>20.0</v>
      </c>
      <c r="K65" s="101">
        <v>0.0</v>
      </c>
      <c r="L65" s="101">
        <v>0.0</v>
      </c>
      <c r="M65" s="101">
        <v>300.0</v>
      </c>
      <c r="N65" s="101">
        <v>500.0</v>
      </c>
      <c r="O65" s="101">
        <v>1000.0</v>
      </c>
      <c r="P65" s="101">
        <v>2000.0</v>
      </c>
      <c r="Q65" s="101">
        <v>3000.0</v>
      </c>
      <c r="R65" s="101">
        <v>0.0</v>
      </c>
      <c r="S65" s="51" t="s">
        <v>53</v>
      </c>
    </row>
    <row r="66" ht="15.75" customHeight="1">
      <c r="A66" s="51" t="s">
        <v>5962</v>
      </c>
      <c r="B66" s="51" t="s">
        <v>5963</v>
      </c>
      <c r="C66" s="101">
        <v>65.0</v>
      </c>
      <c r="D66" s="101">
        <v>43.0</v>
      </c>
      <c r="E66" s="51" t="s">
        <v>5964</v>
      </c>
      <c r="F66" s="51" t="s">
        <v>5655</v>
      </c>
      <c r="G66" s="101">
        <v>3.0</v>
      </c>
      <c r="H66" s="101">
        <v>1.0</v>
      </c>
      <c r="I66" s="101">
        <v>10.0</v>
      </c>
      <c r="J66" s="101">
        <v>20.0</v>
      </c>
      <c r="K66" s="101">
        <v>0.0</v>
      </c>
      <c r="L66" s="101">
        <v>0.0</v>
      </c>
      <c r="M66" s="101">
        <v>300.0</v>
      </c>
      <c r="N66" s="101">
        <v>500.0</v>
      </c>
      <c r="O66" s="101">
        <v>1000.0</v>
      </c>
      <c r="P66" s="101">
        <v>2000.0</v>
      </c>
      <c r="Q66" s="101">
        <v>3000.0</v>
      </c>
      <c r="R66" s="101">
        <v>0.0</v>
      </c>
      <c r="S66" s="51" t="s">
        <v>53</v>
      </c>
    </row>
    <row r="67" ht="15.75" customHeight="1">
      <c r="A67" s="51" t="s">
        <v>5969</v>
      </c>
      <c r="B67" s="51" t="s">
        <v>5971</v>
      </c>
      <c r="C67" s="101">
        <v>66.0</v>
      </c>
      <c r="D67" s="101">
        <v>17.0</v>
      </c>
      <c r="E67" s="51" t="s">
        <v>5972</v>
      </c>
      <c r="F67" s="51" t="s">
        <v>5655</v>
      </c>
      <c r="G67" s="101">
        <v>5.0</v>
      </c>
      <c r="H67" s="101">
        <v>1.0</v>
      </c>
      <c r="I67" s="101">
        <v>10.0</v>
      </c>
      <c r="J67" s="101">
        <v>30.0</v>
      </c>
      <c r="K67" s="101">
        <v>60.0</v>
      </c>
      <c r="L67" s="101">
        <v>100.0</v>
      </c>
      <c r="M67" s="101">
        <v>300.0</v>
      </c>
      <c r="N67" s="101">
        <v>500.0</v>
      </c>
      <c r="O67" s="101">
        <v>1000.0</v>
      </c>
      <c r="P67" s="101">
        <v>2000.0</v>
      </c>
      <c r="Q67" s="101">
        <v>3000.0</v>
      </c>
      <c r="R67" s="101">
        <v>0.0</v>
      </c>
      <c r="S67" s="51" t="s">
        <v>53</v>
      </c>
    </row>
    <row r="68" ht="15.75" customHeight="1">
      <c r="A68" s="51" t="s">
        <v>5975</v>
      </c>
      <c r="B68" s="51" t="s">
        <v>5976</v>
      </c>
      <c r="C68" s="101">
        <v>67.0</v>
      </c>
      <c r="D68" s="101">
        <v>54.0</v>
      </c>
      <c r="E68" s="51" t="s">
        <v>5977</v>
      </c>
      <c r="F68" s="51" t="s">
        <v>5655</v>
      </c>
      <c r="G68" s="101">
        <v>3.0</v>
      </c>
      <c r="H68" s="101">
        <v>1.0</v>
      </c>
      <c r="I68" s="101">
        <v>2.0</v>
      </c>
      <c r="J68" s="101">
        <v>3.0</v>
      </c>
      <c r="K68" s="101">
        <v>0.0</v>
      </c>
      <c r="L68" s="101">
        <v>0.0</v>
      </c>
      <c r="M68" s="101">
        <v>300.0</v>
      </c>
      <c r="N68" s="101">
        <v>500.0</v>
      </c>
      <c r="O68" s="101">
        <v>1000.0</v>
      </c>
      <c r="P68" s="101">
        <v>2000.0</v>
      </c>
      <c r="Q68" s="101">
        <v>3000.0</v>
      </c>
      <c r="R68" s="101">
        <v>0.0</v>
      </c>
      <c r="S68" s="51" t="s">
        <v>53</v>
      </c>
    </row>
    <row r="69" ht="15.75" customHeight="1">
      <c r="A69" s="51" t="s">
        <v>5980</v>
      </c>
      <c r="B69" s="51" t="s">
        <v>5981</v>
      </c>
      <c r="C69" s="101">
        <v>68.0</v>
      </c>
      <c r="D69" s="101">
        <v>47.0</v>
      </c>
      <c r="E69" s="51" t="s">
        <v>5984</v>
      </c>
      <c r="F69" s="51" t="s">
        <v>5655</v>
      </c>
      <c r="G69" s="101">
        <v>3.0</v>
      </c>
      <c r="H69" s="101">
        <v>1.0</v>
      </c>
      <c r="I69" s="101">
        <v>10.0</v>
      </c>
      <c r="J69" s="101">
        <v>20.0</v>
      </c>
      <c r="K69" s="101">
        <v>0.0</v>
      </c>
      <c r="L69" s="101">
        <v>0.0</v>
      </c>
      <c r="M69" s="101">
        <v>300.0</v>
      </c>
      <c r="N69" s="101">
        <v>500.0</v>
      </c>
      <c r="O69" s="101">
        <v>1000.0</v>
      </c>
      <c r="P69" s="101">
        <v>2000.0</v>
      </c>
      <c r="Q69" s="101">
        <v>3000.0</v>
      </c>
      <c r="R69" s="101">
        <v>0.0</v>
      </c>
      <c r="S69" s="51" t="s">
        <v>53</v>
      </c>
    </row>
    <row r="70" ht="15.75" customHeight="1">
      <c r="A70" s="51" t="s">
        <v>5987</v>
      </c>
      <c r="B70" s="51" t="s">
        <v>5988</v>
      </c>
      <c r="C70" s="101">
        <v>69.0</v>
      </c>
      <c r="D70" s="101">
        <v>46.0</v>
      </c>
      <c r="E70" s="51" t="s">
        <v>5989</v>
      </c>
      <c r="F70" s="51" t="s">
        <v>5640</v>
      </c>
      <c r="G70" s="101">
        <v>1.0</v>
      </c>
      <c r="H70" s="101">
        <v>1.0</v>
      </c>
      <c r="I70" s="101">
        <v>0.0</v>
      </c>
      <c r="J70" s="101">
        <v>0.0</v>
      </c>
      <c r="K70" s="101">
        <v>0.0</v>
      </c>
      <c r="L70" s="101">
        <v>0.0</v>
      </c>
      <c r="M70" s="101">
        <v>2000.0</v>
      </c>
      <c r="N70" s="101">
        <v>500.0</v>
      </c>
      <c r="O70" s="101">
        <v>1000.0</v>
      </c>
      <c r="P70" s="101">
        <v>2000.0</v>
      </c>
      <c r="Q70" s="101">
        <v>3000.0</v>
      </c>
      <c r="R70" s="101">
        <v>0.0</v>
      </c>
      <c r="S70" s="51" t="s">
        <v>53</v>
      </c>
    </row>
    <row r="71" ht="15.75" customHeight="1">
      <c r="A71" s="51" t="s">
        <v>5992</v>
      </c>
      <c r="B71" s="51" t="s">
        <v>5993</v>
      </c>
      <c r="C71" s="101">
        <v>70.0</v>
      </c>
      <c r="D71" s="101">
        <v>41.0</v>
      </c>
      <c r="E71" s="51" t="s">
        <v>5994</v>
      </c>
      <c r="F71" s="51" t="s">
        <v>311</v>
      </c>
      <c r="G71" s="101">
        <v>4.0</v>
      </c>
      <c r="H71" s="101">
        <v>0.0</v>
      </c>
      <c r="I71" s="101">
        <v>0.0</v>
      </c>
      <c r="J71" s="101">
        <v>0.0</v>
      </c>
      <c r="K71" s="101">
        <v>0.0</v>
      </c>
      <c r="L71" s="101">
        <v>0.0</v>
      </c>
      <c r="M71" s="101">
        <v>300.0</v>
      </c>
      <c r="N71" s="101">
        <v>500.0</v>
      </c>
      <c r="O71" s="101">
        <v>1000.0</v>
      </c>
      <c r="P71" s="101">
        <v>2000.0</v>
      </c>
      <c r="Q71" s="101">
        <v>3000.0</v>
      </c>
      <c r="R71" s="101">
        <v>5000.0</v>
      </c>
      <c r="S71" s="51" t="s">
        <v>40</v>
      </c>
    </row>
    <row r="72" ht="15.75" customHeight="1">
      <c r="A72" s="51" t="s">
        <v>5998</v>
      </c>
      <c r="B72" s="51" t="s">
        <v>6000</v>
      </c>
      <c r="C72" s="101">
        <v>71.0</v>
      </c>
      <c r="D72" s="101">
        <v>42.0</v>
      </c>
      <c r="E72" s="51" t="s">
        <v>6002</v>
      </c>
      <c r="F72" s="51" t="s">
        <v>5662</v>
      </c>
      <c r="G72" s="101">
        <v>4.0</v>
      </c>
      <c r="H72" s="101">
        <v>0.0</v>
      </c>
      <c r="I72" s="101">
        <v>0.0</v>
      </c>
      <c r="J72" s="101">
        <v>0.0</v>
      </c>
      <c r="K72" s="101">
        <v>0.0</v>
      </c>
      <c r="L72" s="101">
        <v>0.0</v>
      </c>
      <c r="M72" s="101">
        <v>300.0</v>
      </c>
      <c r="N72" s="101">
        <v>500.0</v>
      </c>
      <c r="O72" s="101">
        <v>1000.0</v>
      </c>
      <c r="P72" s="101">
        <v>2000.0</v>
      </c>
      <c r="Q72" s="101">
        <v>3000.0</v>
      </c>
      <c r="R72" s="101">
        <v>5000.0</v>
      </c>
      <c r="S72" s="51" t="s">
        <v>40</v>
      </c>
    </row>
    <row r="73" ht="15.75" customHeight="1">
      <c r="A73" s="51" t="s">
        <v>6007</v>
      </c>
      <c r="B73" s="51" t="s">
        <v>6008</v>
      </c>
      <c r="C73" s="101">
        <v>72.0</v>
      </c>
      <c r="D73" s="101">
        <v>48.0</v>
      </c>
      <c r="E73" s="51" t="s">
        <v>6009</v>
      </c>
      <c r="F73" s="51" t="s">
        <v>5640</v>
      </c>
      <c r="G73" s="101">
        <v>1.0</v>
      </c>
      <c r="H73" s="101">
        <v>1.0</v>
      </c>
      <c r="I73" s="101">
        <v>0.0</v>
      </c>
      <c r="J73" s="101">
        <v>0.0</v>
      </c>
      <c r="K73" s="101">
        <v>0.0</v>
      </c>
      <c r="L73" s="101">
        <v>0.0</v>
      </c>
      <c r="M73" s="101">
        <v>1000.0</v>
      </c>
      <c r="N73" s="101">
        <v>500.0</v>
      </c>
      <c r="O73" s="101">
        <v>1000.0</v>
      </c>
      <c r="P73" s="101">
        <v>2000.0</v>
      </c>
      <c r="Q73" s="101">
        <v>3000.0</v>
      </c>
      <c r="R73" s="101">
        <v>0.0</v>
      </c>
      <c r="S73" s="51" t="s">
        <v>53</v>
      </c>
    </row>
    <row r="74" ht="15.75" customHeight="1">
      <c r="A74" s="51" t="s">
        <v>6012</v>
      </c>
      <c r="B74" s="51" t="s">
        <v>6014</v>
      </c>
      <c r="C74" s="101">
        <v>73.0</v>
      </c>
      <c r="D74" s="101">
        <v>84.0</v>
      </c>
      <c r="E74" s="51" t="s">
        <v>6015</v>
      </c>
      <c r="F74" s="51" t="s">
        <v>6016</v>
      </c>
      <c r="G74" s="101">
        <v>1.0</v>
      </c>
      <c r="H74" s="101">
        <v>1.0</v>
      </c>
      <c r="I74" s="101">
        <v>0.0</v>
      </c>
      <c r="J74" s="101">
        <v>0.0</v>
      </c>
      <c r="K74" s="101">
        <v>0.0</v>
      </c>
      <c r="L74" s="101">
        <v>0.0</v>
      </c>
      <c r="M74" s="101">
        <v>500.0</v>
      </c>
      <c r="N74" s="101">
        <v>1000.0</v>
      </c>
      <c r="O74" s="101">
        <v>2000.0</v>
      </c>
      <c r="P74" s="101">
        <v>3000.0</v>
      </c>
      <c r="Q74" s="101">
        <v>5000.0</v>
      </c>
      <c r="R74" s="101">
        <v>0.0</v>
      </c>
      <c r="S74" s="51" t="s">
        <v>53</v>
      </c>
    </row>
    <row r="75" ht="15.75" customHeight="1">
      <c r="A75" s="51" t="s">
        <v>6017</v>
      </c>
      <c r="B75" s="51" t="s">
        <v>6018</v>
      </c>
      <c r="C75" s="101">
        <v>74.0</v>
      </c>
      <c r="D75" s="101">
        <v>35.0</v>
      </c>
      <c r="E75" s="51" t="s">
        <v>6019</v>
      </c>
      <c r="F75" s="51" t="s">
        <v>6016</v>
      </c>
      <c r="G75" s="101">
        <v>1.0</v>
      </c>
      <c r="H75" s="101">
        <v>1.0</v>
      </c>
      <c r="I75" s="101">
        <v>0.0</v>
      </c>
      <c r="J75" s="101">
        <v>0.0</v>
      </c>
      <c r="K75" s="101">
        <v>0.0</v>
      </c>
      <c r="L75" s="101">
        <v>0.0</v>
      </c>
      <c r="M75" s="101">
        <v>500.0</v>
      </c>
      <c r="N75" s="101">
        <v>500.0</v>
      </c>
      <c r="O75" s="101">
        <v>1000.0</v>
      </c>
      <c r="P75" s="101">
        <v>2000.0</v>
      </c>
      <c r="Q75" s="101">
        <v>3000.0</v>
      </c>
      <c r="R75" s="101">
        <v>0.0</v>
      </c>
      <c r="S75" s="51" t="s">
        <v>53</v>
      </c>
    </row>
    <row r="76" ht="15.75" customHeight="1">
      <c r="A76" s="51" t="s">
        <v>6022</v>
      </c>
      <c r="B76" s="51" t="s">
        <v>6024</v>
      </c>
      <c r="C76" s="101">
        <v>75.0</v>
      </c>
      <c r="D76" s="101">
        <v>36.0</v>
      </c>
      <c r="E76" s="51" t="s">
        <v>6026</v>
      </c>
      <c r="F76" s="51" t="s">
        <v>6016</v>
      </c>
      <c r="G76" s="101">
        <v>1.0</v>
      </c>
      <c r="H76" s="101">
        <v>1.0</v>
      </c>
      <c r="I76" s="101">
        <v>0.0</v>
      </c>
      <c r="J76" s="101">
        <v>0.0</v>
      </c>
      <c r="K76" s="101">
        <v>0.0</v>
      </c>
      <c r="L76" s="101">
        <v>0.0</v>
      </c>
      <c r="M76" s="101">
        <v>300.0</v>
      </c>
      <c r="N76" s="101">
        <v>500.0</v>
      </c>
      <c r="O76" s="101">
        <v>1000.0</v>
      </c>
      <c r="P76" s="101">
        <v>2000.0</v>
      </c>
      <c r="Q76" s="101">
        <v>3000.0</v>
      </c>
      <c r="R76" s="101">
        <v>0.0</v>
      </c>
      <c r="S76" s="51" t="s">
        <v>53</v>
      </c>
    </row>
    <row r="77" ht="15.75" customHeight="1">
      <c r="A77" s="51" t="s">
        <v>6029</v>
      </c>
      <c r="B77" s="51" t="s">
        <v>6030</v>
      </c>
      <c r="C77" s="101">
        <v>76.0</v>
      </c>
      <c r="D77" s="101">
        <v>60.0</v>
      </c>
      <c r="E77" s="51" t="s">
        <v>6031</v>
      </c>
      <c r="F77" s="51" t="s">
        <v>5845</v>
      </c>
      <c r="G77" s="101">
        <v>1.0</v>
      </c>
      <c r="H77" s="101">
        <v>1.0</v>
      </c>
      <c r="I77" s="101">
        <v>0.0</v>
      </c>
      <c r="J77" s="101">
        <v>0.0</v>
      </c>
      <c r="K77" s="101">
        <v>0.0</v>
      </c>
      <c r="L77" s="101">
        <v>0.0</v>
      </c>
      <c r="M77" s="101">
        <v>300.0</v>
      </c>
      <c r="N77" s="101">
        <v>500.0</v>
      </c>
      <c r="O77" s="101">
        <v>1000.0</v>
      </c>
      <c r="P77" s="101">
        <v>2000.0</v>
      </c>
      <c r="Q77" s="101">
        <v>3000.0</v>
      </c>
      <c r="R77" s="101">
        <v>0.0</v>
      </c>
      <c r="S77" s="51" t="s">
        <v>53</v>
      </c>
    </row>
    <row r="78" ht="15.75" customHeight="1">
      <c r="A78" s="51" t="s">
        <v>6036</v>
      </c>
      <c r="B78" s="51" t="s">
        <v>6037</v>
      </c>
      <c r="C78" s="101">
        <v>77.0</v>
      </c>
      <c r="D78" s="101">
        <v>79.0</v>
      </c>
      <c r="E78" s="51" t="s">
        <v>6038</v>
      </c>
      <c r="F78" s="51" t="s">
        <v>5720</v>
      </c>
      <c r="G78" s="101">
        <v>5.0</v>
      </c>
      <c r="H78" s="101">
        <v>1.0</v>
      </c>
      <c r="I78" s="101">
        <v>10.0</v>
      </c>
      <c r="J78" s="101">
        <v>20.0</v>
      </c>
      <c r="K78" s="101">
        <v>50.0</v>
      </c>
      <c r="L78" s="101">
        <v>100.0</v>
      </c>
      <c r="M78" s="101">
        <v>300.0</v>
      </c>
      <c r="N78" s="101">
        <v>1000.0</v>
      </c>
      <c r="O78" s="101">
        <v>2000.0</v>
      </c>
      <c r="P78" s="101">
        <v>3000.0</v>
      </c>
      <c r="Q78" s="101">
        <v>5000.0</v>
      </c>
      <c r="R78" s="101">
        <v>0.0</v>
      </c>
      <c r="S78" s="51" t="s">
        <v>53</v>
      </c>
    </row>
    <row r="79" ht="15.75" customHeight="1">
      <c r="A79" s="51" t="s">
        <v>6040</v>
      </c>
      <c r="B79" s="51" t="s">
        <v>6042</v>
      </c>
      <c r="C79" s="101">
        <v>78.0</v>
      </c>
      <c r="D79" s="101">
        <v>39.0</v>
      </c>
      <c r="E79" s="51" t="s">
        <v>6044</v>
      </c>
      <c r="F79" s="51" t="s">
        <v>247</v>
      </c>
      <c r="G79" s="101">
        <v>6.0</v>
      </c>
      <c r="H79" s="101">
        <v>0.0</v>
      </c>
      <c r="I79" s="101">
        <v>0.0</v>
      </c>
      <c r="J79" s="101">
        <v>0.0</v>
      </c>
      <c r="K79" s="101">
        <v>0.0</v>
      </c>
      <c r="L79" s="101">
        <v>0.0</v>
      </c>
      <c r="M79" s="101">
        <v>300.0</v>
      </c>
      <c r="N79" s="101">
        <v>500.0</v>
      </c>
      <c r="O79" s="101">
        <v>1000.0</v>
      </c>
      <c r="P79" s="101">
        <v>2000.0</v>
      </c>
      <c r="Q79" s="101">
        <v>3000.0</v>
      </c>
      <c r="R79" s="101">
        <v>5000.0</v>
      </c>
      <c r="S79" s="51" t="s">
        <v>40</v>
      </c>
    </row>
    <row r="80" ht="15.75" customHeight="1">
      <c r="A80" s="51" t="s">
        <v>6049</v>
      </c>
      <c r="B80" s="51" t="s">
        <v>6050</v>
      </c>
      <c r="C80" s="101">
        <v>79.0</v>
      </c>
      <c r="D80" s="101">
        <v>18.0</v>
      </c>
      <c r="E80" s="51" t="s">
        <v>6051</v>
      </c>
      <c r="F80" s="51" t="s">
        <v>5655</v>
      </c>
      <c r="G80" s="101">
        <v>3.0</v>
      </c>
      <c r="H80" s="101">
        <v>1.0</v>
      </c>
      <c r="I80" s="101">
        <v>5.0</v>
      </c>
      <c r="J80" s="101">
        <v>10.0</v>
      </c>
      <c r="K80" s="101">
        <v>0.0</v>
      </c>
      <c r="L80" s="101">
        <v>0.0</v>
      </c>
      <c r="M80" s="101">
        <v>300.0</v>
      </c>
      <c r="N80" s="101">
        <v>500.0</v>
      </c>
      <c r="O80" s="101">
        <v>1000.0</v>
      </c>
      <c r="P80" s="101">
        <v>2000.0</v>
      </c>
      <c r="Q80" s="101">
        <v>3000.0</v>
      </c>
      <c r="R80" s="101">
        <v>0.0</v>
      </c>
      <c r="S80" s="51" t="s">
        <v>53</v>
      </c>
    </row>
    <row r="81" ht="15.75" customHeight="1">
      <c r="A81" s="51" t="s">
        <v>6056</v>
      </c>
      <c r="B81" s="51" t="s">
        <v>6057</v>
      </c>
      <c r="C81" s="101">
        <v>80.0</v>
      </c>
      <c r="D81" s="101">
        <v>19.0</v>
      </c>
      <c r="E81" s="51" t="s">
        <v>6059</v>
      </c>
      <c r="F81" s="51" t="s">
        <v>5655</v>
      </c>
      <c r="G81" s="101">
        <v>3.0</v>
      </c>
      <c r="H81" s="101">
        <v>1.0</v>
      </c>
      <c r="I81" s="101">
        <v>5.0</v>
      </c>
      <c r="J81" s="101">
        <v>10.0</v>
      </c>
      <c r="K81" s="101">
        <v>0.0</v>
      </c>
      <c r="L81" s="101">
        <v>0.0</v>
      </c>
      <c r="M81" s="101">
        <v>300.0</v>
      </c>
      <c r="N81" s="101">
        <v>500.0</v>
      </c>
      <c r="O81" s="101">
        <v>1000.0</v>
      </c>
      <c r="P81" s="101">
        <v>2000.0</v>
      </c>
      <c r="Q81" s="101">
        <v>3000.0</v>
      </c>
      <c r="R81" s="101">
        <v>0.0</v>
      </c>
      <c r="S81" s="51" t="s">
        <v>53</v>
      </c>
    </row>
    <row r="82" ht="15.75" customHeight="1">
      <c r="A82" s="51" t="s">
        <v>6063</v>
      </c>
      <c r="B82" s="51" t="s">
        <v>6064</v>
      </c>
      <c r="C82" s="101">
        <v>81.0</v>
      </c>
      <c r="D82" s="101">
        <v>21.0</v>
      </c>
      <c r="E82" s="51" t="s">
        <v>6065</v>
      </c>
      <c r="F82" s="51" t="s">
        <v>5640</v>
      </c>
      <c r="G82" s="101">
        <v>5.0</v>
      </c>
      <c r="H82" s="101">
        <v>3.0</v>
      </c>
      <c r="I82" s="101">
        <v>20.0</v>
      </c>
      <c r="J82" s="101">
        <v>50.0</v>
      </c>
      <c r="K82" s="101">
        <v>100.0</v>
      </c>
      <c r="L82" s="101">
        <v>300.0</v>
      </c>
      <c r="M82" s="101">
        <v>300.0</v>
      </c>
      <c r="N82" s="101">
        <v>500.0</v>
      </c>
      <c r="O82" s="101">
        <v>1000.0</v>
      </c>
      <c r="P82" s="101">
        <v>2000.0</v>
      </c>
      <c r="Q82" s="101">
        <v>3000.0</v>
      </c>
      <c r="R82" s="101">
        <v>0.0</v>
      </c>
      <c r="S82" s="51" t="s">
        <v>53</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4.57"/>
    <col customWidth="1" min="2" max="2" width="10.86"/>
    <col customWidth="1" min="3" max="3" width="7.14"/>
    <col customWidth="1" min="4" max="4" width="6.14"/>
    <col customWidth="1" min="5" max="5" width="48.14"/>
  </cols>
  <sheetData>
    <row r="1" ht="15.75" customHeight="1">
      <c r="A1" s="47" t="s">
        <v>0</v>
      </c>
      <c r="B1" s="3" t="s">
        <v>1</v>
      </c>
      <c r="C1" s="3" t="s">
        <v>6</v>
      </c>
      <c r="D1" s="3" t="s">
        <v>7</v>
      </c>
      <c r="E1" s="98" t="s">
        <v>2286</v>
      </c>
    </row>
    <row r="2" ht="56.25" customHeight="1">
      <c r="A2" s="23" t="s">
        <v>5904</v>
      </c>
      <c r="B2" s="15" t="str">
        <f>image("https://i.imgur.com/f9nEIe7.png")</f>
        <v/>
      </c>
      <c r="C2" s="25" t="s">
        <v>51</v>
      </c>
      <c r="D2" s="15">
        <v>200.0</v>
      </c>
      <c r="E2" s="24" t="s">
        <v>5906</v>
      </c>
    </row>
    <row r="3" ht="56.25" customHeight="1">
      <c r="A3" s="23" t="s">
        <v>5908</v>
      </c>
      <c r="B3" s="15" t="str">
        <f>image("https://i.imgur.com/fstDHzt.png")</f>
        <v/>
      </c>
      <c r="C3" s="15">
        <v>400.0</v>
      </c>
      <c r="D3" s="15">
        <v>500.0</v>
      </c>
      <c r="E3" s="94" t="s">
        <v>5911</v>
      </c>
    </row>
    <row r="4" ht="56.25" customHeight="1">
      <c r="A4" s="23" t="s">
        <v>5912</v>
      </c>
      <c r="B4" s="15" t="str">
        <f>image("https://i.imgur.com/wPqEPiw.png")</f>
        <v/>
      </c>
      <c r="C4" s="25" t="s">
        <v>51</v>
      </c>
      <c r="D4" s="15">
        <v>300.0</v>
      </c>
      <c r="E4" s="94" t="s">
        <v>5916</v>
      </c>
    </row>
    <row r="5" ht="56.25" customHeight="1">
      <c r="A5" s="23" t="s">
        <v>5918</v>
      </c>
      <c r="B5" s="15" t="str">
        <f>image("https://i.imgur.com/ggmxALf.png")</f>
        <v/>
      </c>
      <c r="C5" s="25" t="s">
        <v>51</v>
      </c>
      <c r="D5" s="15">
        <v>500.0</v>
      </c>
      <c r="E5" s="94" t="s">
        <v>5919</v>
      </c>
    </row>
    <row r="6" ht="56.25" customHeight="1">
      <c r="A6" s="23" t="s">
        <v>5920</v>
      </c>
      <c r="B6" s="15" t="str">
        <f>image("https://i.imgur.com/qmKuH1o.png")</f>
        <v/>
      </c>
      <c r="C6" s="25" t="s">
        <v>51</v>
      </c>
      <c r="D6" s="15">
        <v>500.0</v>
      </c>
      <c r="E6" s="52" t="s">
        <v>5924</v>
      </c>
    </row>
    <row r="7" ht="56.25" customHeight="1">
      <c r="A7" s="23" t="s">
        <v>5925</v>
      </c>
      <c r="B7" s="15" t="str">
        <f>image("https://i.imgur.com/dgDbGMe.png")</f>
        <v/>
      </c>
      <c r="C7" s="25" t="s">
        <v>51</v>
      </c>
      <c r="D7" s="15">
        <v>80.0</v>
      </c>
      <c r="E7" s="94" t="s">
        <v>5927</v>
      </c>
    </row>
    <row r="8" ht="56.25" customHeight="1">
      <c r="A8" s="23" t="s">
        <v>5929</v>
      </c>
      <c r="B8" s="15" t="str">
        <f>image("https://i.imgur.com/vjn4yzr.png")</f>
        <v/>
      </c>
      <c r="C8" s="25" t="s">
        <v>51</v>
      </c>
      <c r="D8" s="15">
        <v>250.0</v>
      </c>
      <c r="E8" s="94" t="s">
        <v>5931</v>
      </c>
    </row>
    <row r="9" ht="56.25" customHeight="1">
      <c r="A9" s="23" t="s">
        <v>5932</v>
      </c>
      <c r="B9" s="15" t="str">
        <f>image("https://i.imgur.com/QuH88YZ.png")</f>
        <v/>
      </c>
      <c r="C9" s="25" t="s">
        <v>51</v>
      </c>
      <c r="D9" s="15">
        <v>1500.0</v>
      </c>
      <c r="E9" s="94" t="s">
        <v>5936</v>
      </c>
    </row>
    <row r="10" ht="56.25" customHeight="1">
      <c r="A10" s="23" t="s">
        <v>5937</v>
      </c>
      <c r="B10" s="15" t="str">
        <f>image("https://i.imgur.com/e4r261z.png")</f>
        <v/>
      </c>
      <c r="C10" s="25" t="s">
        <v>51</v>
      </c>
      <c r="D10" s="25" t="s">
        <v>83</v>
      </c>
      <c r="E10" s="94" t="s">
        <v>5939</v>
      </c>
    </row>
    <row r="11" ht="56.25" customHeight="1">
      <c r="A11" s="23" t="s">
        <v>5940</v>
      </c>
      <c r="B11" s="15" t="str">
        <f>image("https://i.imgur.com/OfPTej2.png")</f>
        <v/>
      </c>
      <c r="C11" s="25" t="s">
        <v>51</v>
      </c>
      <c r="D11" s="15">
        <v>200.0</v>
      </c>
      <c r="E11" s="24" t="s">
        <v>220</v>
      </c>
    </row>
    <row r="12" ht="56.25" customHeight="1">
      <c r="A12" s="23" t="s">
        <v>5941</v>
      </c>
      <c r="B12" s="15" t="str">
        <f>image("https://i.imgur.com/2H0v0p0.png")</f>
        <v/>
      </c>
      <c r="C12" s="25" t="s">
        <v>51</v>
      </c>
      <c r="D12" s="15">
        <v>240.0</v>
      </c>
      <c r="E12" s="24" t="s">
        <v>5945</v>
      </c>
    </row>
    <row r="13" ht="56.25" customHeight="1">
      <c r="A13" s="23" t="s">
        <v>5946</v>
      </c>
      <c r="B13" s="15" t="str">
        <f>image("https://i.imgur.com/ldnO3gL.png")</f>
        <v/>
      </c>
      <c r="C13" s="25" t="s">
        <v>51</v>
      </c>
      <c r="D13" s="15">
        <v>80.0</v>
      </c>
      <c r="E13" s="24" t="s">
        <v>5945</v>
      </c>
    </row>
    <row r="14" ht="56.25" customHeight="1">
      <c r="A14" s="23" t="s">
        <v>5950</v>
      </c>
      <c r="B14" s="15" t="str">
        <f>image("https://i.imgur.com/QHdEktI.png")</f>
        <v/>
      </c>
      <c r="C14" s="25" t="s">
        <v>51</v>
      </c>
      <c r="D14" s="15">
        <v>240.0</v>
      </c>
      <c r="E14" s="24" t="s">
        <v>5945</v>
      </c>
    </row>
    <row r="15" ht="56.25" customHeight="1">
      <c r="A15" s="23" t="s">
        <v>5954</v>
      </c>
      <c r="B15" s="15" t="str">
        <f>image("https://i.imgur.com/Wxs55UL.png")</f>
        <v/>
      </c>
      <c r="C15" s="25" t="s">
        <v>51</v>
      </c>
      <c r="D15" s="15">
        <v>80.0</v>
      </c>
      <c r="E15" s="24" t="s">
        <v>5945</v>
      </c>
    </row>
    <row r="16" ht="56.25" customHeight="1">
      <c r="A16" s="23" t="s">
        <v>5955</v>
      </c>
      <c r="B16" s="15" t="str">
        <f>image("https://i.imgur.com/FOsCebM.png")</f>
        <v/>
      </c>
      <c r="C16" s="25">
        <v>160.0</v>
      </c>
      <c r="D16" s="15">
        <v>40.0</v>
      </c>
      <c r="E16" s="24" t="s">
        <v>44</v>
      </c>
    </row>
    <row r="17" ht="56.25" customHeight="1">
      <c r="A17" s="23" t="s">
        <v>5959</v>
      </c>
      <c r="B17" s="15" t="str">
        <f>image("https://i.imgur.com/FHppj6Z.png")</f>
        <v/>
      </c>
      <c r="C17" s="25" t="s">
        <v>51</v>
      </c>
      <c r="D17" s="15">
        <v>240.0</v>
      </c>
      <c r="E17" s="94" t="s">
        <v>5960</v>
      </c>
    </row>
    <row r="18" ht="56.25" customHeight="1">
      <c r="A18" s="23" t="s">
        <v>5961</v>
      </c>
      <c r="B18" s="15" t="str">
        <f>image("https://i.imgur.com/3YBcBum.png")</f>
        <v/>
      </c>
      <c r="C18" s="25" t="s">
        <v>51</v>
      </c>
      <c r="D18" s="15">
        <v>80.0</v>
      </c>
      <c r="E18" s="94" t="s">
        <v>5965</v>
      </c>
    </row>
    <row r="19" ht="56.25" customHeight="1">
      <c r="A19" s="23" t="s">
        <v>5966</v>
      </c>
      <c r="B19" s="15" t="str">
        <f>image("https://i.imgur.com/YnAFSip.png")</f>
        <v/>
      </c>
      <c r="C19" s="25" t="s">
        <v>51</v>
      </c>
      <c r="D19" s="15">
        <v>240.0</v>
      </c>
      <c r="E19" s="94" t="s">
        <v>5968</v>
      </c>
    </row>
    <row r="20" ht="56.25" customHeight="1">
      <c r="A20" s="23" t="s">
        <v>5970</v>
      </c>
      <c r="B20" s="15" t="str">
        <f>image("https://i.imgur.com/swxLB2t.png")</f>
        <v/>
      </c>
      <c r="C20" s="25" t="s">
        <v>51</v>
      </c>
      <c r="D20" s="15">
        <v>80.0</v>
      </c>
      <c r="E20" s="94" t="s">
        <v>5973</v>
      </c>
    </row>
    <row r="21" ht="56.25" customHeight="1">
      <c r="A21" s="23" t="s">
        <v>5974</v>
      </c>
      <c r="B21" s="15" t="str">
        <f>image("https://i.imgur.com/ez3A70z.png")</f>
        <v/>
      </c>
      <c r="C21" s="25" t="s">
        <v>51</v>
      </c>
      <c r="D21" s="25" t="s">
        <v>83</v>
      </c>
      <c r="E21" s="94" t="s">
        <v>4513</v>
      </c>
    </row>
    <row r="22" ht="56.25" customHeight="1">
      <c r="A22" s="23" t="s">
        <v>5978</v>
      </c>
      <c r="B22" s="15" t="str">
        <f>image("https://i.imgur.com/zrRsmZF.png")</f>
        <v/>
      </c>
      <c r="C22" s="25" t="s">
        <v>51</v>
      </c>
      <c r="D22" s="15">
        <v>80.0</v>
      </c>
      <c r="E22" s="24" t="s">
        <v>5945</v>
      </c>
    </row>
    <row r="23" ht="56.25" customHeight="1">
      <c r="A23" s="23" t="s">
        <v>5979</v>
      </c>
      <c r="B23" s="15" t="str">
        <f>image("https://i.imgur.com/foceb2g.png")</f>
        <v/>
      </c>
      <c r="C23" s="25" t="s">
        <v>51</v>
      </c>
      <c r="D23" s="15">
        <v>50.0</v>
      </c>
      <c r="E23" s="24" t="s">
        <v>5982</v>
      </c>
    </row>
    <row r="24" ht="56.25" customHeight="1">
      <c r="A24" s="23" t="s">
        <v>5983</v>
      </c>
      <c r="B24" s="15" t="str">
        <f>image("https://i.imgur.com/s5EThFO.png")</f>
        <v/>
      </c>
      <c r="C24" s="25" t="s">
        <v>51</v>
      </c>
      <c r="D24" s="15">
        <v>80.0</v>
      </c>
      <c r="E24" s="24" t="s">
        <v>5945</v>
      </c>
    </row>
    <row r="25" ht="56.25" customHeight="1">
      <c r="A25" s="23" t="s">
        <v>5985</v>
      </c>
      <c r="B25" s="15" t="str">
        <f>image("https://i.imgur.com/jrOz6Qf.png")</f>
        <v/>
      </c>
      <c r="C25" s="25" t="s">
        <v>51</v>
      </c>
      <c r="D25" s="15">
        <v>1000.0</v>
      </c>
      <c r="E25" s="24" t="s">
        <v>5945</v>
      </c>
    </row>
    <row r="26" ht="56.25" customHeight="1">
      <c r="A26" s="23" t="s">
        <v>5986</v>
      </c>
      <c r="B26" s="15" t="str">
        <f>image("https://i.imgur.com/F5W0X0b.png")</f>
        <v/>
      </c>
      <c r="C26" s="25" t="s">
        <v>51</v>
      </c>
      <c r="D26" s="15">
        <v>80.0</v>
      </c>
      <c r="E26" s="24" t="s">
        <v>5945</v>
      </c>
    </row>
    <row r="27" ht="56.25" customHeight="1">
      <c r="A27" s="23" t="s">
        <v>5990</v>
      </c>
      <c r="B27" s="15" t="str">
        <f>image("https://i.imgur.com/H9JMzyN.png")</f>
        <v/>
      </c>
      <c r="C27" s="25">
        <v>160.0</v>
      </c>
      <c r="D27" s="15">
        <v>40.0</v>
      </c>
      <c r="E27" s="24" t="s">
        <v>44</v>
      </c>
    </row>
    <row r="28" ht="56.25" customHeight="1">
      <c r="A28" s="23" t="s">
        <v>5991</v>
      </c>
      <c r="B28" s="15" t="str">
        <f>image("https://i.imgur.com/hAMbFoT.png")</f>
        <v/>
      </c>
      <c r="C28" s="25" t="s">
        <v>51</v>
      </c>
      <c r="D28" s="15">
        <v>80.0</v>
      </c>
      <c r="E28" s="94" t="s">
        <v>5995</v>
      </c>
    </row>
    <row r="29" ht="56.25" customHeight="1">
      <c r="A29" s="23" t="s">
        <v>5996</v>
      </c>
      <c r="B29" s="15" t="str">
        <f>image("https://i.imgur.com/qstosOC.png")</f>
        <v/>
      </c>
      <c r="C29" s="25" t="s">
        <v>51</v>
      </c>
      <c r="D29" s="15">
        <v>80.0</v>
      </c>
      <c r="E29" s="94" t="s">
        <v>5997</v>
      </c>
    </row>
    <row r="30" ht="56.25" customHeight="1">
      <c r="A30" s="23" t="s">
        <v>5999</v>
      </c>
      <c r="B30" s="15" t="str">
        <f>image("https://i.imgur.com/ShPNLUc.png")</f>
        <v/>
      </c>
      <c r="C30" s="25" t="s">
        <v>51</v>
      </c>
      <c r="D30" s="15">
        <v>1000.0</v>
      </c>
      <c r="E30" s="94" t="s">
        <v>6003</v>
      </c>
    </row>
    <row r="31" ht="56.25" customHeight="1">
      <c r="A31" s="23" t="s">
        <v>6004</v>
      </c>
      <c r="B31" s="15" t="str">
        <f>image("https://i.imgur.com/enSgApS.png")</f>
        <v/>
      </c>
      <c r="C31" s="25" t="s">
        <v>51</v>
      </c>
      <c r="D31" s="15">
        <v>80.0</v>
      </c>
      <c r="E31" s="94" t="s">
        <v>6005</v>
      </c>
    </row>
    <row r="32" ht="56.25" customHeight="1">
      <c r="A32" s="23" t="s">
        <v>6006</v>
      </c>
      <c r="B32" s="15" t="str">
        <f>image("https://i.imgur.com/d8YTLgJ.png")</f>
        <v/>
      </c>
      <c r="C32" s="15">
        <v>40.0</v>
      </c>
      <c r="D32" s="15">
        <v>10.0</v>
      </c>
      <c r="E32" s="94" t="s">
        <v>6010</v>
      </c>
    </row>
    <row r="33" ht="56.25" customHeight="1">
      <c r="A33" s="23" t="s">
        <v>4604</v>
      </c>
      <c r="B33" s="15" t="str">
        <f t="shared" ref="B33:B34" si="1">image("https://i.imgur.com/ez3A70z.png")</f>
        <v/>
      </c>
      <c r="C33" s="25" t="s">
        <v>51</v>
      </c>
      <c r="D33" s="25" t="s">
        <v>83</v>
      </c>
      <c r="E33" s="94" t="s">
        <v>4513</v>
      </c>
    </row>
    <row r="34" ht="56.25" customHeight="1">
      <c r="A34" s="23" t="s">
        <v>6011</v>
      </c>
      <c r="B34" s="15" t="str">
        <f t="shared" si="1"/>
        <v/>
      </c>
      <c r="C34" s="25" t="s">
        <v>51</v>
      </c>
      <c r="D34" s="25" t="s">
        <v>83</v>
      </c>
      <c r="E34" s="94" t="s">
        <v>4513</v>
      </c>
    </row>
    <row r="35" ht="56.25" customHeight="1">
      <c r="A35" s="23" t="s">
        <v>6013</v>
      </c>
      <c r="B35" s="15" t="str">
        <f>image("https://i.imgur.com/TW7EhOM.png")</f>
        <v/>
      </c>
      <c r="C35" s="15">
        <v>160.0</v>
      </c>
      <c r="D35" s="15">
        <v>40.0</v>
      </c>
      <c r="E35" s="24" t="s">
        <v>44</v>
      </c>
    </row>
    <row r="36" ht="56.25" customHeight="1">
      <c r="A36" s="23" t="s">
        <v>4659</v>
      </c>
      <c r="B36" s="15" t="str">
        <f t="shared" ref="B36:B37" si="2">image("https://i.imgur.com/ez3A70z.png")</f>
        <v/>
      </c>
      <c r="C36" s="25" t="s">
        <v>51</v>
      </c>
      <c r="D36" s="25" t="s">
        <v>83</v>
      </c>
      <c r="E36" s="94" t="s">
        <v>4513</v>
      </c>
    </row>
    <row r="37" ht="56.25" customHeight="1">
      <c r="A37" s="23" t="s">
        <v>6020</v>
      </c>
      <c r="B37" s="15" t="str">
        <f t="shared" si="2"/>
        <v/>
      </c>
      <c r="C37" s="25" t="s">
        <v>51</v>
      </c>
      <c r="D37" s="25" t="s">
        <v>83</v>
      </c>
      <c r="E37" s="94" t="s">
        <v>4513</v>
      </c>
    </row>
    <row r="38" ht="56.25" customHeight="1">
      <c r="A38" s="23" t="s">
        <v>6021</v>
      </c>
      <c r="B38" s="15" t="str">
        <f>image("https://i.imgur.com/B9tPfZb.png")</f>
        <v/>
      </c>
      <c r="C38" s="25" t="s">
        <v>51</v>
      </c>
      <c r="D38" s="15">
        <v>500.0</v>
      </c>
      <c r="E38" s="94" t="s">
        <v>6023</v>
      </c>
    </row>
    <row r="39" ht="56.25" customHeight="1">
      <c r="A39" s="23" t="s">
        <v>6025</v>
      </c>
      <c r="B39" s="15" t="str">
        <f>image("https://i.imgur.com/Y5QrOfU.png")</f>
        <v/>
      </c>
      <c r="C39" s="25" t="s">
        <v>51</v>
      </c>
      <c r="D39" s="15">
        <v>500.0</v>
      </c>
      <c r="E39" s="94" t="s">
        <v>6027</v>
      </c>
    </row>
    <row r="40" ht="56.25" customHeight="1">
      <c r="A40" s="23" t="s">
        <v>6028</v>
      </c>
      <c r="B40" s="15" t="str">
        <f>image("https://i.imgur.com/pocQL07.png")</f>
        <v/>
      </c>
      <c r="C40" s="15">
        <v>640.0</v>
      </c>
      <c r="D40" s="15">
        <v>160.0</v>
      </c>
      <c r="E40" s="94" t="s">
        <v>44</v>
      </c>
    </row>
    <row r="41" ht="56.25" customHeight="1">
      <c r="A41" s="23" t="s">
        <v>6032</v>
      </c>
      <c r="B41" s="15" t="str">
        <f>image("https://i.imgur.com/R1xuKWv.png")</f>
        <v/>
      </c>
      <c r="C41" s="25" t="s">
        <v>51</v>
      </c>
      <c r="D41" s="15">
        <v>240.0</v>
      </c>
      <c r="E41" s="94" t="s">
        <v>6033</v>
      </c>
    </row>
    <row r="42" ht="56.25" customHeight="1">
      <c r="A42" s="23" t="s">
        <v>6034</v>
      </c>
      <c r="B42" s="15" t="str">
        <f>image("https://i.imgur.com/Zz9MIAA.png")</f>
        <v/>
      </c>
      <c r="C42" s="15">
        <v>160.0</v>
      </c>
      <c r="D42" s="15">
        <v>40.0</v>
      </c>
      <c r="E42" s="24" t="s">
        <v>44</v>
      </c>
    </row>
    <row r="43" ht="56.25" customHeight="1">
      <c r="A43" s="23" t="s">
        <v>6039</v>
      </c>
      <c r="B43" s="15" t="str">
        <f>image("https://i.imgur.com/St1IgeC.png")</f>
        <v/>
      </c>
      <c r="C43" s="15">
        <v>400.0</v>
      </c>
      <c r="D43" s="15">
        <v>500.0</v>
      </c>
      <c r="E43" s="94" t="s">
        <v>6041</v>
      </c>
    </row>
    <row r="44" ht="56.25" customHeight="1">
      <c r="A44" s="23" t="s">
        <v>6043</v>
      </c>
      <c r="B44" s="15" t="str">
        <f>image("https://i.imgur.com/ZWDeggN.png")</f>
        <v/>
      </c>
      <c r="C44" s="25" t="s">
        <v>51</v>
      </c>
      <c r="D44" s="15">
        <v>300.0</v>
      </c>
      <c r="E44" s="94" t="s">
        <v>6045</v>
      </c>
    </row>
    <row r="45" ht="56.25" customHeight="1">
      <c r="A45" s="23" t="s">
        <v>6046</v>
      </c>
      <c r="B45" s="15" t="str">
        <f>image("https://i.imgur.com/FonJhT7.png")</f>
        <v/>
      </c>
      <c r="C45" s="25" t="s">
        <v>51</v>
      </c>
      <c r="D45" s="25" t="s">
        <v>83</v>
      </c>
      <c r="E45" s="24" t="s">
        <v>6047</v>
      </c>
    </row>
    <row r="46" ht="56.25" customHeight="1">
      <c r="A46" s="23" t="s">
        <v>6048</v>
      </c>
      <c r="B46" s="15" t="str">
        <f>image("https://i.imgur.com/fp8fQPw.png")</f>
        <v/>
      </c>
      <c r="C46" s="25" t="s">
        <v>51</v>
      </c>
      <c r="D46" s="15">
        <v>100.0</v>
      </c>
      <c r="E46" s="24" t="s">
        <v>6052</v>
      </c>
    </row>
    <row r="47" ht="56.25" customHeight="1">
      <c r="A47" s="23" t="s">
        <v>6053</v>
      </c>
      <c r="B47" s="15" t="str">
        <f>image("https://i.imgur.com/DYUKmQy.png")</f>
        <v/>
      </c>
      <c r="C47" s="25" t="s">
        <v>51</v>
      </c>
      <c r="D47" s="15">
        <v>10.0</v>
      </c>
      <c r="E47" s="94" t="s">
        <v>6054</v>
      </c>
    </row>
    <row r="48" ht="56.25" customHeight="1">
      <c r="A48" s="23" t="s">
        <v>6055</v>
      </c>
      <c r="B48" s="15" t="str">
        <f>image("https://i.imgur.com/NSE7rVl.png")</f>
        <v/>
      </c>
      <c r="C48" s="25" t="s">
        <v>51</v>
      </c>
      <c r="D48" s="15">
        <v>250.0</v>
      </c>
      <c r="E48" s="94" t="s">
        <v>6058</v>
      </c>
    </row>
    <row r="49" ht="56.25" customHeight="1">
      <c r="A49" s="23" t="s">
        <v>6060</v>
      </c>
      <c r="B49" s="15" t="str">
        <f>image("https://i.imgur.com/BbYFmIl.png")</f>
        <v/>
      </c>
      <c r="C49" s="25" t="s">
        <v>51</v>
      </c>
      <c r="D49" s="15">
        <v>500.0</v>
      </c>
      <c r="E49" s="94" t="s">
        <v>6061</v>
      </c>
    </row>
    <row r="50" ht="56.25" customHeight="1">
      <c r="A50" s="23" t="s">
        <v>6062</v>
      </c>
      <c r="B50" s="15" t="str">
        <f>image("https://i.imgur.com/cBpcB17.png")</f>
        <v/>
      </c>
      <c r="C50" s="25" t="s">
        <v>51</v>
      </c>
      <c r="D50" s="15">
        <v>0.0</v>
      </c>
      <c r="E50" s="94" t="s">
        <v>6066</v>
      </c>
    </row>
    <row r="51" ht="56.25" customHeight="1">
      <c r="A51" s="23" t="s">
        <v>6067</v>
      </c>
      <c r="B51" s="15" t="str">
        <f>image("https://i.imgur.com/ydnajJ9.png")</f>
        <v/>
      </c>
      <c r="C51" s="25" t="s">
        <v>51</v>
      </c>
      <c r="D51" s="15">
        <v>20.0</v>
      </c>
      <c r="E51" s="24" t="s">
        <v>6068</v>
      </c>
    </row>
    <row r="52" ht="56.25" customHeight="1">
      <c r="A52" s="23" t="s">
        <v>6069</v>
      </c>
      <c r="B52" s="15" t="str">
        <f>image("https://i.imgur.com/r0XnH5n.png")</f>
        <v/>
      </c>
      <c r="C52" s="25" t="s">
        <v>51</v>
      </c>
      <c r="D52" s="15">
        <v>700.0</v>
      </c>
      <c r="E52" s="13" t="s">
        <v>6070</v>
      </c>
    </row>
    <row r="53" ht="56.25" customHeight="1">
      <c r="A53" s="23" t="s">
        <v>6071</v>
      </c>
      <c r="B53" s="15" t="str">
        <f>image("https://i.imgur.com/3ScSH1h.png")</f>
        <v/>
      </c>
      <c r="C53" s="25" t="s">
        <v>51</v>
      </c>
      <c r="D53" s="15">
        <v>500.0</v>
      </c>
      <c r="E53" s="13" t="s">
        <v>6070</v>
      </c>
    </row>
    <row r="54" ht="56.25" customHeight="1">
      <c r="A54" s="23" t="s">
        <v>6073</v>
      </c>
      <c r="B54" s="15" t="str">
        <f>image("https://i.imgur.com/9dCTQPa.png")</f>
        <v/>
      </c>
      <c r="C54" s="25" t="s">
        <v>51</v>
      </c>
      <c r="D54" s="15">
        <v>60.0</v>
      </c>
      <c r="E54" s="24" t="s">
        <v>6070</v>
      </c>
    </row>
    <row r="55" ht="56.25" customHeight="1">
      <c r="A55" s="23" t="s">
        <v>6074</v>
      </c>
      <c r="B55" s="15" t="str">
        <f>image("https://i.imgur.com/FPyJyud.png")</f>
        <v/>
      </c>
      <c r="C55" s="15">
        <v>600.0</v>
      </c>
      <c r="D55" s="15">
        <v>150.0</v>
      </c>
      <c r="E55" s="24" t="s">
        <v>44</v>
      </c>
    </row>
    <row r="56" ht="56.25" customHeight="1">
      <c r="A56" s="23" t="s">
        <v>6075</v>
      </c>
      <c r="B56" s="15" t="str">
        <f>image("https://i.imgur.com/8BKJeBU.png")</f>
        <v/>
      </c>
      <c r="C56" s="25" t="s">
        <v>51</v>
      </c>
      <c r="D56" s="15">
        <v>222.0</v>
      </c>
      <c r="E56" s="94" t="s">
        <v>6076</v>
      </c>
    </row>
    <row r="57" ht="56.25" customHeight="1">
      <c r="A57" s="23" t="s">
        <v>6077</v>
      </c>
      <c r="B57" s="15" t="str">
        <f>image("https://i.imgur.com/pJEisfT.png")</f>
        <v/>
      </c>
      <c r="C57" s="25" t="s">
        <v>51</v>
      </c>
      <c r="D57" s="25" t="s">
        <v>83</v>
      </c>
      <c r="E57" s="94" t="s">
        <v>6078</v>
      </c>
    </row>
    <row r="58" ht="56.25" customHeight="1">
      <c r="A58" s="23" t="s">
        <v>6079</v>
      </c>
      <c r="B58" s="15" t="str">
        <f>image("https://i.imgur.com/ma78edH.png")</f>
        <v/>
      </c>
      <c r="C58" s="25">
        <v>480.0</v>
      </c>
      <c r="D58" s="25" t="s">
        <v>83</v>
      </c>
      <c r="E58" s="94" t="s">
        <v>44</v>
      </c>
    </row>
    <row r="59" ht="56.25" customHeight="1">
      <c r="A59" s="23" t="s">
        <v>6080</v>
      </c>
      <c r="B59" s="15" t="str">
        <f>image("https://i.imgur.com/giH1ZLB.png")</f>
        <v/>
      </c>
      <c r="C59" s="25" t="s">
        <v>51</v>
      </c>
      <c r="D59" s="25">
        <v>200.0</v>
      </c>
      <c r="E59" s="24" t="s">
        <v>6081</v>
      </c>
    </row>
    <row r="60" ht="56.25" customHeight="1">
      <c r="A60" s="37" t="s">
        <v>6082</v>
      </c>
      <c r="B60" s="15" t="str">
        <f>image("https://i.imgur.com/ECcqXHr.png")</f>
        <v/>
      </c>
      <c r="C60" s="25" t="s">
        <v>51</v>
      </c>
      <c r="D60" s="25" t="s">
        <v>83</v>
      </c>
      <c r="E60" s="24" t="s">
        <v>6083</v>
      </c>
    </row>
    <row r="61" ht="56.25" customHeight="1">
      <c r="A61" s="23" t="s">
        <v>6084</v>
      </c>
      <c r="B61" s="15" t="str">
        <f>image("https://i.imgur.com/fiWcMxL.png")</f>
        <v/>
      </c>
      <c r="C61" s="25" t="s">
        <v>51</v>
      </c>
      <c r="D61" s="15">
        <v>10000.0</v>
      </c>
      <c r="E61" s="24" t="s">
        <v>6085</v>
      </c>
    </row>
    <row r="62" ht="56.25" customHeight="1">
      <c r="A62" s="23" t="s">
        <v>6086</v>
      </c>
      <c r="B62" s="15" t="str">
        <f>image("https://i.imgur.com/eziidR4.png")</f>
        <v/>
      </c>
      <c r="C62" s="25" t="s">
        <v>51</v>
      </c>
      <c r="D62" s="15">
        <v>10.0</v>
      </c>
      <c r="E62" s="94" t="s">
        <v>6010</v>
      </c>
    </row>
    <row r="63" ht="56.25" customHeight="1">
      <c r="A63" s="23" t="s">
        <v>4803</v>
      </c>
      <c r="B63" s="15" t="str">
        <f>image("https://i.imgur.com/NRvmMdq.png")</f>
        <v/>
      </c>
      <c r="C63" s="25" t="s">
        <v>51</v>
      </c>
      <c r="D63" s="15">
        <v>200.0</v>
      </c>
      <c r="E63" s="13" t="s">
        <v>6088</v>
      </c>
    </row>
    <row r="64" ht="56.25" customHeight="1">
      <c r="A64" s="23" t="s">
        <v>6089</v>
      </c>
      <c r="B64" s="15" t="str">
        <f>image("https://i.imgur.com/e7DxdWd.png")</f>
        <v/>
      </c>
      <c r="C64" s="25" t="s">
        <v>51</v>
      </c>
      <c r="D64" s="15">
        <v>200.0</v>
      </c>
      <c r="E64" s="24" t="s">
        <v>6085</v>
      </c>
    </row>
    <row r="65" ht="56.25" customHeight="1">
      <c r="A65" s="23" t="s">
        <v>6090</v>
      </c>
      <c r="B65" s="15" t="str">
        <f t="shared" ref="B65:B67" si="3">image("https://i.imgur.com/lvYeO4f.png")</f>
        <v/>
      </c>
      <c r="C65" s="15"/>
      <c r="D65" s="25">
        <v>200.0</v>
      </c>
      <c r="E65" s="94" t="s">
        <v>44</v>
      </c>
    </row>
    <row r="66" ht="56.25" customHeight="1">
      <c r="A66" s="23" t="s">
        <v>6091</v>
      </c>
      <c r="B66" s="15" t="str">
        <f t="shared" si="3"/>
        <v/>
      </c>
      <c r="C66" s="15"/>
      <c r="D66" s="25">
        <v>200.0</v>
      </c>
      <c r="E66" s="94" t="s">
        <v>44</v>
      </c>
    </row>
    <row r="67" ht="56.25" customHeight="1">
      <c r="A67" s="23" t="s">
        <v>6092</v>
      </c>
      <c r="B67" s="15" t="str">
        <f t="shared" si="3"/>
        <v/>
      </c>
      <c r="C67" s="25">
        <v>280.0</v>
      </c>
      <c r="D67" s="25">
        <v>200.0</v>
      </c>
      <c r="E67" s="94" t="s">
        <v>44</v>
      </c>
    </row>
    <row r="68" ht="56.25" customHeight="1">
      <c r="A68" s="23" t="s">
        <v>6093</v>
      </c>
      <c r="B68" s="15" t="str">
        <f>image("https://i.imgur.com/x7XmnrW.png")</f>
        <v/>
      </c>
      <c r="C68" s="25" t="s">
        <v>51</v>
      </c>
      <c r="D68" s="15">
        <v>100.0</v>
      </c>
      <c r="E68" s="24" t="s">
        <v>6094</v>
      </c>
    </row>
    <row r="69" ht="56.25" customHeight="1">
      <c r="A69" s="23" t="s">
        <v>6095</v>
      </c>
      <c r="B69" s="15" t="str">
        <f>image("https://i.imgur.com/DbhSCY1.png")</f>
        <v/>
      </c>
      <c r="C69" s="25" t="s">
        <v>51</v>
      </c>
      <c r="D69" s="15">
        <v>500.0</v>
      </c>
      <c r="E69" s="94" t="s">
        <v>6096</v>
      </c>
    </row>
    <row r="70" ht="56.25" customHeight="1">
      <c r="A70" s="23" t="s">
        <v>6097</v>
      </c>
      <c r="B70" s="15" t="str">
        <f>image("https://i.imgur.com/f5An1aS.png")</f>
        <v/>
      </c>
      <c r="C70" s="25" t="s">
        <v>51</v>
      </c>
      <c r="D70" s="15">
        <v>900.0</v>
      </c>
      <c r="E70" s="94" t="s">
        <v>6070</v>
      </c>
    </row>
    <row r="71" ht="56.25" customHeight="1">
      <c r="A71" s="23" t="s">
        <v>6098</v>
      </c>
      <c r="B71" s="15" t="str">
        <f>image("https://i.imgur.com/j0XlDdy.png")</f>
        <v/>
      </c>
      <c r="C71" s="25" t="s">
        <v>51</v>
      </c>
      <c r="D71" s="15">
        <v>10000.0</v>
      </c>
      <c r="E71" s="24" t="s">
        <v>6052</v>
      </c>
    </row>
    <row r="72" ht="56.25" customHeight="1">
      <c r="A72" s="23" t="s">
        <v>6099</v>
      </c>
      <c r="B72" s="15" t="str">
        <f>image("https://i.imgur.com/0bTvZwp.png")</f>
        <v/>
      </c>
      <c r="C72" s="25" t="s">
        <v>51</v>
      </c>
      <c r="D72" s="15">
        <v>50.0</v>
      </c>
      <c r="E72" s="24" t="s">
        <v>5982</v>
      </c>
    </row>
    <row r="73" ht="56.25" customHeight="1">
      <c r="A73" s="23" t="s">
        <v>6100</v>
      </c>
      <c r="B73" s="15" t="str">
        <f>image("https://i.imgur.com/rEtO9IJ.png")</f>
        <v/>
      </c>
      <c r="C73" s="25" t="s">
        <v>51</v>
      </c>
      <c r="D73" s="15">
        <v>1000.0</v>
      </c>
      <c r="E73" s="24" t="s">
        <v>5945</v>
      </c>
    </row>
    <row r="74" ht="56.25" customHeight="1">
      <c r="A74" s="23" t="s">
        <v>6102</v>
      </c>
      <c r="B74" s="15" t="str">
        <f>image("https://i.imgur.com/w9JBgZ5.png")</f>
        <v/>
      </c>
      <c r="C74" s="15">
        <v>160.0</v>
      </c>
      <c r="D74" s="15">
        <v>40.0</v>
      </c>
      <c r="E74" s="24" t="s">
        <v>44</v>
      </c>
    </row>
    <row r="75" ht="56.25" customHeight="1">
      <c r="A75" s="23" t="s">
        <v>6103</v>
      </c>
      <c r="B75" s="15" t="str">
        <f>image("https://i.imgur.com/NLZRZoG.png")</f>
        <v/>
      </c>
      <c r="C75" s="25" t="s">
        <v>51</v>
      </c>
      <c r="D75" s="15">
        <v>1000.0</v>
      </c>
      <c r="E75" s="94" t="s">
        <v>6104</v>
      </c>
    </row>
    <row r="76" ht="56.25" customHeight="1">
      <c r="A76" s="23" t="s">
        <v>6105</v>
      </c>
      <c r="B76" s="15" t="str">
        <f>image("https://i.imgur.com/I15Ugcz.png")</f>
        <v/>
      </c>
      <c r="C76" s="15">
        <v>160.0</v>
      </c>
      <c r="D76" s="15">
        <v>40.0</v>
      </c>
      <c r="E76" s="24" t="s">
        <v>44</v>
      </c>
    </row>
    <row r="77" ht="56.25" customHeight="1">
      <c r="A77" s="23" t="s">
        <v>6106</v>
      </c>
      <c r="B77" s="15" t="str">
        <f>image("https://i.imgur.com/mGutnhP.png")</f>
        <v/>
      </c>
      <c r="C77" s="25" t="s">
        <v>51</v>
      </c>
      <c r="D77" s="15">
        <v>240.0</v>
      </c>
      <c r="E77" s="24" t="s">
        <v>5945</v>
      </c>
    </row>
    <row r="78" ht="56.25" customHeight="1">
      <c r="A78" s="23" t="s">
        <v>6107</v>
      </c>
      <c r="B78" s="15" t="str">
        <f>image("https://i.imgur.com/Ysonzrm.png")</f>
        <v/>
      </c>
      <c r="C78" s="25">
        <v>160.0</v>
      </c>
      <c r="D78" s="15">
        <v>40.0</v>
      </c>
      <c r="E78" s="24" t="s">
        <v>44</v>
      </c>
    </row>
    <row r="79" ht="56.25" customHeight="1">
      <c r="A79" s="23" t="s">
        <v>6108</v>
      </c>
      <c r="B79" s="15" t="str">
        <f>image("https://i.imgur.com/a9V82Ao.png")</f>
        <v/>
      </c>
      <c r="C79" s="25" t="s">
        <v>51</v>
      </c>
      <c r="D79" s="15">
        <v>240.0</v>
      </c>
      <c r="E79" s="94" t="s">
        <v>6110</v>
      </c>
    </row>
    <row r="80" ht="56.25" customHeight="1">
      <c r="A80" s="23" t="s">
        <v>6111</v>
      </c>
      <c r="B80" s="15" t="str">
        <f>image("https://i.imgur.com/iaO7IKa.png")</f>
        <v/>
      </c>
      <c r="C80" s="25" t="s">
        <v>51</v>
      </c>
      <c r="D80" s="15">
        <v>60.0</v>
      </c>
      <c r="E80" s="24" t="s">
        <v>6112</v>
      </c>
    </row>
    <row r="81" ht="56.25" customHeight="1">
      <c r="A81" s="23" t="s">
        <v>6113</v>
      </c>
      <c r="B81" s="15" t="str">
        <f>image("https://i.imgur.com/4L8JujC.png")</f>
        <v/>
      </c>
      <c r="C81" s="25" t="s">
        <v>51</v>
      </c>
      <c r="D81" s="25">
        <v>240.0</v>
      </c>
      <c r="E81" s="94" t="s">
        <v>6114</v>
      </c>
    </row>
    <row r="82" ht="56.25" customHeight="1">
      <c r="A82" s="23" t="s">
        <v>6115</v>
      </c>
      <c r="B82" s="15" t="str">
        <f t="shared" ref="B82:B83" si="4">image("https://i.imgur.com/ez3A70z.png")</f>
        <v/>
      </c>
      <c r="C82" s="25" t="s">
        <v>51</v>
      </c>
      <c r="D82" s="25" t="s">
        <v>83</v>
      </c>
      <c r="E82" s="94" t="s">
        <v>4513</v>
      </c>
    </row>
    <row r="83" ht="56.25" customHeight="1">
      <c r="A83" s="23" t="s">
        <v>6116</v>
      </c>
      <c r="B83" s="15" t="str">
        <f t="shared" si="4"/>
        <v/>
      </c>
      <c r="C83" s="25" t="s">
        <v>51</v>
      </c>
      <c r="D83" s="25" t="s">
        <v>83</v>
      </c>
      <c r="E83" s="94" t="s">
        <v>4513</v>
      </c>
    </row>
    <row r="84" ht="56.25" customHeight="1">
      <c r="A84" s="37" t="s">
        <v>6117</v>
      </c>
      <c r="B84" s="15" t="str">
        <f>image("https://i.imgur.com/AhlYSoB.png")</f>
        <v/>
      </c>
      <c r="C84" s="25" t="s">
        <v>51</v>
      </c>
      <c r="D84" s="15">
        <v>375.0</v>
      </c>
      <c r="E84" s="24" t="s">
        <v>6052</v>
      </c>
    </row>
    <row r="85" ht="56.25" customHeight="1">
      <c r="A85" s="23" t="s">
        <v>6118</v>
      </c>
      <c r="B85" s="15" t="str">
        <f>image("https://i.imgur.com/lvYeO4f.png")</f>
        <v/>
      </c>
      <c r="C85" s="15"/>
      <c r="D85" s="25">
        <v>200.0</v>
      </c>
      <c r="E85" s="94" t="s">
        <v>44</v>
      </c>
    </row>
    <row r="86" ht="56.25" customHeight="1">
      <c r="A86" s="23" t="s">
        <v>6119</v>
      </c>
      <c r="B86" s="15" t="str">
        <f>image("https://i.imgur.com/NCiEjpS.png")</f>
        <v/>
      </c>
      <c r="C86" s="25" t="s">
        <v>51</v>
      </c>
      <c r="D86" s="25" t="s">
        <v>83</v>
      </c>
      <c r="E86" s="24" t="s">
        <v>6120</v>
      </c>
    </row>
    <row r="87" ht="56.25" customHeight="1">
      <c r="A87" s="23" t="s">
        <v>6121</v>
      </c>
      <c r="B87" s="15" t="str">
        <f>image("https://i.imgur.com/jj8BYHW.png")</f>
        <v/>
      </c>
      <c r="C87" s="25" t="s">
        <v>51</v>
      </c>
      <c r="D87" s="15">
        <v>2500.0</v>
      </c>
      <c r="E87" s="94" t="s">
        <v>6122</v>
      </c>
    </row>
    <row r="88" ht="56.25" customHeight="1">
      <c r="A88" s="23" t="s">
        <v>6123</v>
      </c>
      <c r="B88" s="15" t="str">
        <f>image("https://i.imgur.com/kO5jIUK.png")</f>
        <v/>
      </c>
      <c r="C88" s="25" t="s">
        <v>51</v>
      </c>
      <c r="D88" s="25">
        <v>200.0</v>
      </c>
      <c r="E88" s="24" t="s">
        <v>6124</v>
      </c>
    </row>
    <row r="89" ht="56.25" customHeight="1">
      <c r="A89" s="23" t="s">
        <v>6125</v>
      </c>
      <c r="B89" s="15" t="str">
        <f>image("https://i.imgur.com/fL2b434.png")</f>
        <v/>
      </c>
      <c r="C89" s="25" t="s">
        <v>51</v>
      </c>
      <c r="D89" s="15">
        <v>500.0</v>
      </c>
      <c r="E89" s="94" t="s">
        <v>6126</v>
      </c>
    </row>
    <row r="90" ht="56.25" customHeight="1">
      <c r="A90" s="23" t="s">
        <v>6127</v>
      </c>
      <c r="B90" s="15" t="str">
        <f>image("https://i.imgur.com/HOzIZ9O.png")</f>
        <v/>
      </c>
      <c r="C90" s="25" t="s">
        <v>51</v>
      </c>
      <c r="D90" s="15">
        <v>500.0</v>
      </c>
      <c r="E90" s="94" t="s">
        <v>6128</v>
      </c>
    </row>
    <row r="91" ht="56.25" customHeight="1">
      <c r="A91" s="23" t="s">
        <v>6129</v>
      </c>
      <c r="B91" s="15" t="str">
        <f>image("https://i.imgur.com/DAcLWLR.png")</f>
        <v/>
      </c>
      <c r="C91" s="15">
        <v>160.0</v>
      </c>
      <c r="D91" s="15">
        <v>40.0</v>
      </c>
      <c r="E91" s="24" t="s">
        <v>44</v>
      </c>
    </row>
    <row r="92" ht="56.25" customHeight="1">
      <c r="A92" s="37" t="s">
        <v>6131</v>
      </c>
      <c r="B92" s="15" t="str">
        <f>image("https://i.imgur.com/aaryZWB.png")</f>
        <v/>
      </c>
      <c r="C92" s="25" t="s">
        <v>51</v>
      </c>
      <c r="D92" s="15">
        <v>222.0</v>
      </c>
      <c r="E92" s="24" t="s">
        <v>6132</v>
      </c>
    </row>
    <row r="93" ht="56.25" customHeight="1">
      <c r="A93" s="37" t="s">
        <v>6133</v>
      </c>
      <c r="B93" s="15" t="str">
        <f>image("https://i.imgur.com/AVX7kNT.png")</f>
        <v/>
      </c>
      <c r="C93" s="25" t="s">
        <v>51</v>
      </c>
      <c r="D93" s="25" t="s">
        <v>83</v>
      </c>
      <c r="E93" s="94" t="s">
        <v>6054</v>
      </c>
    </row>
    <row r="94" ht="56.25" customHeight="1">
      <c r="A94" s="37" t="s">
        <v>6133</v>
      </c>
      <c r="B94" s="15" t="str">
        <f>image("https://i.imgur.com/iwRqfEI.png")</f>
        <v/>
      </c>
      <c r="C94" s="25" t="s">
        <v>51</v>
      </c>
      <c r="D94" s="25" t="s">
        <v>83</v>
      </c>
      <c r="E94" s="94" t="s">
        <v>6054</v>
      </c>
    </row>
    <row r="95" ht="56.25" customHeight="1">
      <c r="A95" s="37" t="s">
        <v>6133</v>
      </c>
      <c r="B95" s="15" t="str">
        <f>image("https://i.imgur.com/gPiohLc.png")</f>
        <v/>
      </c>
      <c r="C95" s="25" t="s">
        <v>51</v>
      </c>
      <c r="D95" s="25" t="s">
        <v>83</v>
      </c>
      <c r="E95" s="94" t="s">
        <v>6054</v>
      </c>
    </row>
    <row r="96" ht="56.25" customHeight="1">
      <c r="A96" s="23" t="s">
        <v>6134</v>
      </c>
      <c r="B96" s="15" t="str">
        <f>image("https://i.imgur.com/Mwwsts5.png")</f>
        <v/>
      </c>
      <c r="C96" s="25" t="s">
        <v>51</v>
      </c>
      <c r="D96" s="15">
        <v>100.0</v>
      </c>
      <c r="E96" s="94" t="s">
        <v>4805</v>
      </c>
    </row>
    <row r="97" ht="56.25" customHeight="1">
      <c r="A97" s="23" t="s">
        <v>6135</v>
      </c>
      <c r="B97" s="15" t="str">
        <f>image("https://i.imgur.com/zyhAQH2.png")</f>
        <v/>
      </c>
      <c r="C97" s="25" t="s">
        <v>51</v>
      </c>
      <c r="D97" s="25" t="s">
        <v>83</v>
      </c>
      <c r="E97" s="24" t="s">
        <v>6136</v>
      </c>
    </row>
    <row r="98" ht="56.25" customHeight="1">
      <c r="A98" s="23" t="s">
        <v>5009</v>
      </c>
      <c r="B98" s="15" t="str">
        <f>image("https://i.imgur.com/1r4eY2X.png")</f>
        <v/>
      </c>
      <c r="C98" s="15">
        <v>400.0</v>
      </c>
      <c r="D98" s="15">
        <v>100.0</v>
      </c>
      <c r="E98" s="24" t="s">
        <v>44</v>
      </c>
    </row>
    <row r="99" ht="56.25" customHeight="1">
      <c r="A99" s="23" t="s">
        <v>6137</v>
      </c>
      <c r="B99" s="15" t="str">
        <f>image("https://i.imgur.com/tmHzr6u.png")</f>
        <v/>
      </c>
      <c r="C99" s="25" t="s">
        <v>51</v>
      </c>
      <c r="D99" s="25" t="s">
        <v>83</v>
      </c>
      <c r="E99" s="24" t="s">
        <v>6070</v>
      </c>
    </row>
    <row r="100" ht="56.25" customHeight="1">
      <c r="A100" s="23" t="s">
        <v>6138</v>
      </c>
      <c r="B100" s="15" t="str">
        <f>image("https://i.imgur.com/dFmCP28.png")</f>
        <v/>
      </c>
      <c r="C100" s="25">
        <v>160.0</v>
      </c>
      <c r="D100" s="15">
        <v>40.0</v>
      </c>
      <c r="E100" s="24" t="s">
        <v>44</v>
      </c>
    </row>
    <row r="101" ht="56.25" customHeight="1">
      <c r="A101" s="23" t="s">
        <v>6140</v>
      </c>
      <c r="B101" s="15" t="str">
        <f>image("https://i.imgur.com/QNDCUID.png")</f>
        <v/>
      </c>
      <c r="C101" s="25" t="s">
        <v>51</v>
      </c>
      <c r="D101" s="15">
        <v>240.0</v>
      </c>
      <c r="E101" s="94" t="s">
        <v>6141</v>
      </c>
    </row>
    <row r="102" ht="56.25" customHeight="1">
      <c r="A102" s="23" t="s">
        <v>6142</v>
      </c>
      <c r="B102" s="15" t="str">
        <f t="shared" ref="B102:B103" si="5">image("https://i.imgur.com/ez3A70z.png")</f>
        <v/>
      </c>
      <c r="C102" s="25" t="s">
        <v>51</v>
      </c>
      <c r="D102" s="25" t="s">
        <v>83</v>
      </c>
      <c r="E102" s="94" t="s">
        <v>4513</v>
      </c>
    </row>
    <row r="103" ht="56.25" customHeight="1">
      <c r="A103" s="23" t="s">
        <v>6143</v>
      </c>
      <c r="B103" s="15" t="str">
        <f t="shared" si="5"/>
        <v/>
      </c>
      <c r="C103" s="25" t="s">
        <v>51</v>
      </c>
      <c r="D103" s="25" t="s">
        <v>83</v>
      </c>
      <c r="E103" s="94" t="s">
        <v>4513</v>
      </c>
    </row>
    <row r="104" ht="56.25" customHeight="1">
      <c r="A104" s="23" t="s">
        <v>6144</v>
      </c>
      <c r="B104" s="15" t="str">
        <f>image("https://i.imgur.com/UsRkUGc.png")</f>
        <v/>
      </c>
      <c r="C104" s="25">
        <v>160.0</v>
      </c>
      <c r="D104" s="15">
        <v>40.0</v>
      </c>
      <c r="E104" s="24" t="s">
        <v>44</v>
      </c>
    </row>
    <row r="105" ht="56.25" customHeight="1">
      <c r="A105" s="23" t="s">
        <v>6145</v>
      </c>
      <c r="B105" s="15" t="str">
        <f>image("https://i.imgur.com/eDRbO9w.png")</f>
        <v/>
      </c>
      <c r="C105" s="25" t="s">
        <v>51</v>
      </c>
      <c r="D105" s="15">
        <v>10.0</v>
      </c>
      <c r="E105" s="94" t="s">
        <v>6010</v>
      </c>
    </row>
    <row r="106" ht="56.25" customHeight="1">
      <c r="A106" s="23" t="s">
        <v>6146</v>
      </c>
      <c r="B106" s="15" t="str">
        <f>image("https://i.imgur.com/oo4ppSA.png")</f>
        <v/>
      </c>
      <c r="C106" s="15">
        <v>400.0</v>
      </c>
      <c r="D106" s="15">
        <v>500.0</v>
      </c>
      <c r="E106" s="24" t="s">
        <v>6147</v>
      </c>
    </row>
    <row r="107" ht="56.25" customHeight="1">
      <c r="A107" s="23" t="s">
        <v>6148</v>
      </c>
      <c r="B107" s="15" t="str">
        <f>image("https://i.imgur.com/VtM1KEs.png")</f>
        <v/>
      </c>
      <c r="C107" s="25" t="s">
        <v>51</v>
      </c>
      <c r="D107" s="15">
        <v>80.0</v>
      </c>
      <c r="E107" s="24" t="s">
        <v>5945</v>
      </c>
    </row>
    <row r="108" ht="56.25" customHeight="1">
      <c r="A108" s="23" t="s">
        <v>6149</v>
      </c>
      <c r="B108" s="15" t="str">
        <f>image("https://i.imgur.com/gwuZi33.png")</f>
        <v/>
      </c>
      <c r="C108" s="25" t="s">
        <v>51</v>
      </c>
      <c r="D108" s="15">
        <v>80.0</v>
      </c>
      <c r="E108" s="24" t="s">
        <v>5945</v>
      </c>
    </row>
    <row r="109" ht="56.25" customHeight="1">
      <c r="A109" s="23" t="s">
        <v>6150</v>
      </c>
      <c r="B109" s="15" t="str">
        <f>image("https://i.imgur.com/3PI1H4o.png")</f>
        <v/>
      </c>
      <c r="C109" s="25" t="s">
        <v>51</v>
      </c>
      <c r="D109" s="15">
        <v>80.0</v>
      </c>
      <c r="E109" s="24" t="s">
        <v>5945</v>
      </c>
    </row>
    <row r="110" ht="56.25" customHeight="1">
      <c r="A110" s="23" t="s">
        <v>6152</v>
      </c>
      <c r="B110" s="15" t="str">
        <f>image("https://i.imgur.com/mCRISFh.png")</f>
        <v/>
      </c>
      <c r="C110" s="25" t="s">
        <v>51</v>
      </c>
      <c r="D110" s="15">
        <v>80.0</v>
      </c>
      <c r="E110" s="24" t="s">
        <v>5945</v>
      </c>
    </row>
    <row r="111" ht="56.25" customHeight="1">
      <c r="A111" s="23" t="s">
        <v>6153</v>
      </c>
      <c r="B111" s="15" t="str">
        <f>image("https://i.imgur.com/aC8JNZF.png")</f>
        <v/>
      </c>
      <c r="C111" s="25" t="s">
        <v>51</v>
      </c>
      <c r="D111" s="15">
        <v>80.0</v>
      </c>
      <c r="E111" s="24" t="s">
        <v>5945</v>
      </c>
    </row>
    <row r="112" ht="56.25" customHeight="1">
      <c r="A112" s="23" t="s">
        <v>6154</v>
      </c>
      <c r="B112" s="15" t="str">
        <f>image("https://i.imgur.com/PBuH98Q.png")</f>
        <v/>
      </c>
      <c r="C112" s="25" t="s">
        <v>51</v>
      </c>
      <c r="D112" s="15">
        <v>300.0</v>
      </c>
      <c r="E112" s="94" t="s">
        <v>6155</v>
      </c>
    </row>
    <row r="113" ht="56.25" customHeight="1">
      <c r="A113" s="23" t="s">
        <v>6156</v>
      </c>
      <c r="B113" s="15" t="str">
        <f>image("https://i.imgur.com/thcvlGW.png")</f>
        <v/>
      </c>
      <c r="C113" s="25" t="s">
        <v>51</v>
      </c>
      <c r="D113" s="15">
        <v>80.0</v>
      </c>
      <c r="E113" s="24" t="s">
        <v>5945</v>
      </c>
    </row>
    <row r="114" ht="56.25" customHeight="1">
      <c r="A114" s="23" t="s">
        <v>6157</v>
      </c>
      <c r="B114" s="15" t="str">
        <f>image("https://i.imgur.com/iraeQHv.png")</f>
        <v/>
      </c>
      <c r="C114" s="25" t="s">
        <v>51</v>
      </c>
      <c r="D114" s="15">
        <v>40.0</v>
      </c>
      <c r="E114" s="24" t="s">
        <v>5945</v>
      </c>
    </row>
    <row r="115" ht="56.25" customHeight="1">
      <c r="A115" s="23" t="s">
        <v>6158</v>
      </c>
      <c r="B115" s="15" t="str">
        <f>image("https://i.imgur.com/T4nz2Wf.png")</f>
        <v/>
      </c>
      <c r="C115" s="15">
        <v>160.0</v>
      </c>
      <c r="D115" s="15">
        <v>40.0</v>
      </c>
      <c r="E115" s="24" t="s">
        <v>44</v>
      </c>
    </row>
    <row r="116" ht="56.25" customHeight="1">
      <c r="A116" s="23" t="s">
        <v>6159</v>
      </c>
      <c r="B116" s="15" t="str">
        <f>image("https://i.imgur.com/bQLcOFo.png")</f>
        <v/>
      </c>
      <c r="C116" s="25" t="s">
        <v>51</v>
      </c>
      <c r="D116" s="15">
        <v>80.0</v>
      </c>
      <c r="E116" s="94" t="s">
        <v>6160</v>
      </c>
    </row>
    <row r="117" ht="56.25" customHeight="1">
      <c r="A117" s="23" t="s">
        <v>6161</v>
      </c>
      <c r="B117" s="15" t="str">
        <f>image("https://i.imgur.com/S8l1iXY.png")</f>
        <v/>
      </c>
      <c r="C117" s="25" t="s">
        <v>51</v>
      </c>
      <c r="D117" s="15">
        <v>80.0</v>
      </c>
      <c r="E117" s="94" t="s">
        <v>6162</v>
      </c>
    </row>
    <row r="118" ht="56.25" customHeight="1">
      <c r="A118" s="23" t="s">
        <v>6163</v>
      </c>
      <c r="B118" s="15" t="str">
        <f>image("https://i.imgur.com/rWQgZX0.png")</f>
        <v/>
      </c>
      <c r="C118" s="25" t="s">
        <v>51</v>
      </c>
      <c r="D118" s="15">
        <v>80.0</v>
      </c>
      <c r="E118" s="94" t="s">
        <v>6165</v>
      </c>
    </row>
    <row r="119" ht="56.25" customHeight="1">
      <c r="A119" s="23" t="s">
        <v>6166</v>
      </c>
      <c r="B119" s="15" t="str">
        <f>image("https://i.imgur.com/pql7Ur4.png")</f>
        <v/>
      </c>
      <c r="C119" s="25" t="s">
        <v>51</v>
      </c>
      <c r="D119" s="15">
        <v>80.0</v>
      </c>
      <c r="E119" s="94" t="s">
        <v>6167</v>
      </c>
    </row>
    <row r="120" ht="56.25" customHeight="1">
      <c r="A120" s="23" t="s">
        <v>6168</v>
      </c>
      <c r="B120" s="15" t="str">
        <f>image("https://i.imgur.com/AY4AS3v.png")</f>
        <v/>
      </c>
      <c r="C120" s="25" t="s">
        <v>51</v>
      </c>
      <c r="D120" s="15">
        <v>80.0</v>
      </c>
      <c r="E120" s="94" t="s">
        <v>6169</v>
      </c>
    </row>
    <row r="121" ht="56.25" customHeight="1">
      <c r="A121" s="23" t="s">
        <v>6170</v>
      </c>
      <c r="B121" s="15" t="str">
        <f>image("https://i.imgur.com/Qe1zJRf.png")</f>
        <v/>
      </c>
      <c r="C121" s="25" t="s">
        <v>51</v>
      </c>
      <c r="D121" s="15">
        <v>80.0</v>
      </c>
      <c r="E121" s="94" t="s">
        <v>6171</v>
      </c>
    </row>
    <row r="122" ht="56.25" customHeight="1">
      <c r="A122" s="23" t="s">
        <v>6172</v>
      </c>
      <c r="B122" s="15" t="str">
        <f>image("https://i.imgur.com/JdkIqxg.png")</f>
        <v/>
      </c>
      <c r="C122" s="15">
        <v>240.0</v>
      </c>
      <c r="D122" s="15">
        <v>60.0</v>
      </c>
      <c r="E122" s="94" t="s">
        <v>44</v>
      </c>
    </row>
    <row r="123" ht="56.25" customHeight="1">
      <c r="A123" s="23" t="s">
        <v>6173</v>
      </c>
      <c r="B123" s="15" t="str">
        <f>image("https://i.imgur.com/x6NVTdz.png")</f>
        <v/>
      </c>
      <c r="C123" s="25" t="s">
        <v>51</v>
      </c>
      <c r="D123" s="15">
        <v>40.0</v>
      </c>
      <c r="E123" s="94" t="s">
        <v>6174</v>
      </c>
    </row>
    <row r="124" ht="56.25" customHeight="1">
      <c r="A124" s="23" t="s">
        <v>6175</v>
      </c>
      <c r="B124" s="15" t="str">
        <f>image("https://i.imgur.com/RzQsUS2.png")</f>
        <v/>
      </c>
      <c r="C124" s="15">
        <v>400.0</v>
      </c>
      <c r="D124" s="15">
        <v>500.0</v>
      </c>
      <c r="E124" s="24" t="s">
        <v>6176</v>
      </c>
    </row>
    <row r="125" ht="56.25" customHeight="1">
      <c r="A125" s="23" t="s">
        <v>6177</v>
      </c>
      <c r="B125" s="15" t="str">
        <f>image("https://i.imgur.com/LwOBExI.png")</f>
        <v/>
      </c>
      <c r="C125" s="25" t="s">
        <v>51</v>
      </c>
      <c r="D125" s="15">
        <v>300.0</v>
      </c>
      <c r="E125" s="94" t="s">
        <v>6178</v>
      </c>
    </row>
    <row r="126" ht="56.25" customHeight="1">
      <c r="A126" s="23" t="s">
        <v>6179</v>
      </c>
      <c r="B126" s="15" t="str">
        <f>image("https://i.imgur.com/IEHnwiy.png")</f>
        <v/>
      </c>
      <c r="C126" s="15">
        <v>400.0</v>
      </c>
      <c r="D126" s="15">
        <v>500.0</v>
      </c>
      <c r="E126" s="24" t="s">
        <v>6180</v>
      </c>
    </row>
    <row r="127" ht="56.25" customHeight="1">
      <c r="A127" s="23" t="s">
        <v>6181</v>
      </c>
      <c r="B127" s="15" t="str">
        <f>image("https://i.imgur.com/07W1X4u.png")</f>
        <v/>
      </c>
      <c r="C127" s="25" t="s">
        <v>51</v>
      </c>
      <c r="D127" s="15">
        <v>300.0</v>
      </c>
      <c r="E127" s="94" t="s">
        <v>6182</v>
      </c>
    </row>
    <row r="128" ht="56.25" customHeight="1">
      <c r="A128" s="23" t="s">
        <v>6183</v>
      </c>
      <c r="B128" s="15" t="str">
        <f>image("https://i.imgur.com/qsJ9shT.png")</f>
        <v/>
      </c>
      <c r="C128" s="25" t="s">
        <v>51</v>
      </c>
      <c r="D128" s="15">
        <v>200.0</v>
      </c>
      <c r="E128" s="24" t="s">
        <v>6185</v>
      </c>
    </row>
    <row r="129" ht="56.25" customHeight="1">
      <c r="A129" s="23" t="s">
        <v>6186</v>
      </c>
      <c r="B129" s="15" t="str">
        <f>image("https://i.imgur.com/TnyQbNI.png")</f>
        <v/>
      </c>
      <c r="C129" s="25" t="s">
        <v>51</v>
      </c>
      <c r="D129" s="15">
        <v>80.0</v>
      </c>
      <c r="E129" s="24" t="s">
        <v>5945</v>
      </c>
    </row>
    <row r="130" ht="56.25" customHeight="1">
      <c r="A130" s="23" t="s">
        <v>6187</v>
      </c>
      <c r="B130" s="15" t="str">
        <f>image("https://i.imgur.com/7sjQNTL.png")</f>
        <v/>
      </c>
      <c r="C130" s="25" t="s">
        <v>51</v>
      </c>
      <c r="D130" s="15">
        <v>80.0</v>
      </c>
      <c r="E130" s="24" t="s">
        <v>5945</v>
      </c>
    </row>
    <row r="131" ht="56.25" customHeight="1">
      <c r="A131" s="23" t="s">
        <v>6188</v>
      </c>
      <c r="B131" s="15" t="str">
        <f>image("https://i.imgur.com/yTvtAF1.png")</f>
        <v/>
      </c>
      <c r="C131" s="25" t="s">
        <v>51</v>
      </c>
      <c r="D131" s="15">
        <v>80.0</v>
      </c>
      <c r="E131" s="24" t="s">
        <v>5945</v>
      </c>
    </row>
    <row r="132" ht="56.25" customHeight="1">
      <c r="A132" s="23" t="s">
        <v>6189</v>
      </c>
      <c r="B132" s="15" t="str">
        <f>image("https://i.imgur.com/1pEDSOd.png")</f>
        <v/>
      </c>
      <c r="C132" s="25" t="s">
        <v>51</v>
      </c>
      <c r="D132" s="15">
        <v>80.0</v>
      </c>
      <c r="E132" s="24" t="s">
        <v>5945</v>
      </c>
    </row>
    <row r="133" ht="56.25" customHeight="1">
      <c r="A133" s="23" t="s">
        <v>6190</v>
      </c>
      <c r="B133" s="15" t="str">
        <f>image("https://i.imgur.com/CVj2dku.png")</f>
        <v/>
      </c>
      <c r="C133" s="25" t="s">
        <v>51</v>
      </c>
      <c r="D133" s="15">
        <v>80.0</v>
      </c>
      <c r="E133" s="24" t="s">
        <v>5945</v>
      </c>
    </row>
    <row r="134" ht="56.25" customHeight="1">
      <c r="A134" s="23" t="s">
        <v>6191</v>
      </c>
      <c r="B134" s="15" t="str">
        <f>image("https://i.imgur.com/TVJziSB.png")</f>
        <v/>
      </c>
      <c r="C134" s="25" t="s">
        <v>51</v>
      </c>
      <c r="D134" s="15">
        <v>80.0</v>
      </c>
      <c r="E134" s="24" t="s">
        <v>5945</v>
      </c>
    </row>
    <row r="135" ht="56.25" customHeight="1">
      <c r="A135" s="23" t="s">
        <v>6192</v>
      </c>
      <c r="B135" s="15" t="str">
        <f>image("https://i.imgur.com/0KiHi1e.png")</f>
        <v/>
      </c>
      <c r="C135" s="25" t="s">
        <v>51</v>
      </c>
      <c r="D135" s="15">
        <v>80.0</v>
      </c>
      <c r="E135" s="24" t="s">
        <v>5945</v>
      </c>
    </row>
    <row r="136" ht="56.25" customHeight="1">
      <c r="A136" s="23" t="s">
        <v>6193</v>
      </c>
      <c r="B136" s="15" t="str">
        <f>image("https://i.imgur.com/JkVIxpQ.png")</f>
        <v/>
      </c>
      <c r="C136" s="15">
        <v>160.0</v>
      </c>
      <c r="D136" s="15">
        <v>40.0</v>
      </c>
      <c r="E136" s="24" t="s">
        <v>44</v>
      </c>
    </row>
    <row r="137" ht="56.25" customHeight="1">
      <c r="A137" s="23" t="s">
        <v>6194</v>
      </c>
      <c r="B137" s="15" t="str">
        <f>image("https://i.imgur.com/hNIl1Mu.png")</f>
        <v/>
      </c>
      <c r="C137" s="25" t="s">
        <v>51</v>
      </c>
      <c r="D137" s="15">
        <v>80.0</v>
      </c>
      <c r="E137" s="94" t="s">
        <v>6195</v>
      </c>
    </row>
    <row r="138" ht="56.25" customHeight="1">
      <c r="A138" s="23" t="s">
        <v>6196</v>
      </c>
      <c r="B138" s="15" t="str">
        <f>image("https://i.imgur.com/HbIWR5v.png")</f>
        <v/>
      </c>
      <c r="C138" s="25" t="s">
        <v>51</v>
      </c>
      <c r="D138" s="15">
        <v>80.0</v>
      </c>
      <c r="E138" s="94" t="s">
        <v>6197</v>
      </c>
    </row>
    <row r="139" ht="56.25" customHeight="1">
      <c r="A139" s="23" t="s">
        <v>6198</v>
      </c>
      <c r="B139" s="15" t="str">
        <f>image("https://i.imgur.com/jfQO7hl.png")</f>
        <v/>
      </c>
      <c r="C139" s="25" t="s">
        <v>51</v>
      </c>
      <c r="D139" s="15">
        <v>80.0</v>
      </c>
      <c r="E139" s="94" t="s">
        <v>6199</v>
      </c>
    </row>
    <row r="140" ht="56.25" customHeight="1">
      <c r="A140" s="23" t="s">
        <v>6201</v>
      </c>
      <c r="B140" s="15" t="str">
        <f>image("https://i.imgur.com/vbu5rmI.png")</f>
        <v/>
      </c>
      <c r="C140" s="25" t="s">
        <v>51</v>
      </c>
      <c r="D140" s="15">
        <v>80.0</v>
      </c>
      <c r="E140" s="94" t="s">
        <v>6202</v>
      </c>
    </row>
    <row r="141" ht="56.25" customHeight="1">
      <c r="A141" s="23" t="s">
        <v>6203</v>
      </c>
      <c r="B141" s="15" t="str">
        <f>image("https://i.imgur.com/vtLJ18p.png")</f>
        <v/>
      </c>
      <c r="C141" s="25" t="s">
        <v>51</v>
      </c>
      <c r="D141" s="15">
        <v>80.0</v>
      </c>
      <c r="E141" s="94" t="s">
        <v>6204</v>
      </c>
    </row>
    <row r="142" ht="56.25" customHeight="1">
      <c r="A142" s="23" t="s">
        <v>6205</v>
      </c>
      <c r="B142" s="15" t="str">
        <f>image("https://i.imgur.com/BcQPAVM.png")</f>
        <v/>
      </c>
      <c r="C142" s="25" t="s">
        <v>51</v>
      </c>
      <c r="D142" s="15">
        <v>80.0</v>
      </c>
      <c r="E142" s="94" t="s">
        <v>6206</v>
      </c>
    </row>
    <row r="143" ht="56.25" customHeight="1">
      <c r="A143" s="23" t="s">
        <v>6207</v>
      </c>
      <c r="B143" s="15" t="str">
        <f>image("https://i.imgur.com/sM4KZfQ.png")</f>
        <v/>
      </c>
      <c r="C143" s="25" t="s">
        <v>51</v>
      </c>
      <c r="D143" s="15">
        <v>80.0</v>
      </c>
      <c r="E143" s="94" t="s">
        <v>6208</v>
      </c>
    </row>
    <row r="144" ht="56.25" customHeight="1">
      <c r="A144" s="23" t="s">
        <v>6209</v>
      </c>
      <c r="B144" s="15" t="str">
        <f>image("https://i.imgur.com/SE4lus6.png")</f>
        <v/>
      </c>
      <c r="C144" s="25" t="s">
        <v>51</v>
      </c>
      <c r="D144" s="15">
        <v>500.0</v>
      </c>
      <c r="E144" s="94" t="s">
        <v>6210</v>
      </c>
    </row>
    <row r="145" ht="56.25" customHeight="1">
      <c r="A145" s="23" t="s">
        <v>5069</v>
      </c>
      <c r="B145" s="15" t="str">
        <f>image("https://i.imgur.com/GPaaOAD.png")</f>
        <v/>
      </c>
      <c r="C145" s="25" t="s">
        <v>51</v>
      </c>
      <c r="D145" s="15">
        <v>140.0</v>
      </c>
      <c r="E145" s="24" t="s">
        <v>55</v>
      </c>
    </row>
    <row r="146" ht="56.25" customHeight="1">
      <c r="A146" s="23" t="s">
        <v>6211</v>
      </c>
      <c r="B146" s="15" t="str">
        <f t="shared" ref="B146:B148" si="6">image("https://i.imgur.com/ez3A70z.png")</f>
        <v/>
      </c>
      <c r="C146" s="25" t="s">
        <v>51</v>
      </c>
      <c r="D146" s="25" t="s">
        <v>83</v>
      </c>
      <c r="E146" s="94" t="s">
        <v>4513</v>
      </c>
    </row>
    <row r="147" ht="56.25" customHeight="1">
      <c r="A147" s="23" t="s">
        <v>6212</v>
      </c>
      <c r="B147" s="15" t="str">
        <f t="shared" si="6"/>
        <v/>
      </c>
      <c r="C147" s="25" t="s">
        <v>51</v>
      </c>
      <c r="D147" s="25" t="s">
        <v>83</v>
      </c>
      <c r="E147" s="94" t="s">
        <v>4513</v>
      </c>
    </row>
    <row r="148" ht="56.25" customHeight="1">
      <c r="A148" s="23" t="s">
        <v>6213</v>
      </c>
      <c r="B148" s="15" t="str">
        <f t="shared" si="6"/>
        <v/>
      </c>
      <c r="C148" s="25" t="s">
        <v>51</v>
      </c>
      <c r="D148" s="25" t="s">
        <v>83</v>
      </c>
      <c r="E148" s="94" t="s">
        <v>4513</v>
      </c>
    </row>
    <row r="149" ht="56.25" customHeight="1">
      <c r="A149" s="23" t="s">
        <v>6214</v>
      </c>
      <c r="B149" s="15" t="str">
        <f>image("https://i.imgur.com/eMdO5A9.png")</f>
        <v/>
      </c>
      <c r="C149" s="25" t="s">
        <v>51</v>
      </c>
      <c r="D149" s="15">
        <v>222.0</v>
      </c>
      <c r="E149" s="94" t="s">
        <v>6215</v>
      </c>
    </row>
    <row r="150" ht="56.25" customHeight="1">
      <c r="A150" s="23" t="s">
        <v>6216</v>
      </c>
      <c r="B150" s="15" t="str">
        <f>image("https://i.imgur.com/RtaEdXn.png")</f>
        <v/>
      </c>
      <c r="C150" s="25" t="s">
        <v>51</v>
      </c>
      <c r="D150" s="25" t="s">
        <v>83</v>
      </c>
      <c r="E150" s="94" t="s">
        <v>6217</v>
      </c>
    </row>
    <row r="151" ht="56.25" customHeight="1">
      <c r="A151" s="23" t="s">
        <v>6218</v>
      </c>
      <c r="B151" s="15" t="str">
        <f>image("https://i.imgur.com/yt4bCpO.png")</f>
        <v/>
      </c>
      <c r="C151" s="25" t="s">
        <v>51</v>
      </c>
      <c r="D151" s="25" t="s">
        <v>83</v>
      </c>
      <c r="E151" s="94" t="s">
        <v>6217</v>
      </c>
    </row>
    <row r="152" ht="56.25" customHeight="1">
      <c r="A152" s="23" t="s">
        <v>6219</v>
      </c>
      <c r="B152" s="15" t="str">
        <f>image("https://i.imgur.com/QYaGizh.png")</f>
        <v/>
      </c>
      <c r="C152" s="25" t="s">
        <v>51</v>
      </c>
      <c r="D152" s="25" t="s">
        <v>83</v>
      </c>
      <c r="E152" s="94" t="s">
        <v>6217</v>
      </c>
    </row>
    <row r="153" ht="56.25" customHeight="1">
      <c r="A153" s="23" t="s">
        <v>6220</v>
      </c>
      <c r="B153" s="15" t="str">
        <f>image("https://i.imgur.com/U61WFkq.png")</f>
        <v/>
      </c>
      <c r="C153" s="25" t="s">
        <v>51</v>
      </c>
      <c r="D153" s="25" t="s">
        <v>83</v>
      </c>
      <c r="E153" s="94" t="s">
        <v>6217</v>
      </c>
    </row>
    <row r="154" ht="56.25" customHeight="1">
      <c r="A154" s="23" t="s">
        <v>6222</v>
      </c>
      <c r="B154" s="15" t="str">
        <f>image("https://i.imgur.com/b3pz9Z6.png")</f>
        <v/>
      </c>
      <c r="C154" s="25" t="s">
        <v>51</v>
      </c>
      <c r="D154" s="25" t="s">
        <v>83</v>
      </c>
      <c r="E154" s="94" t="s">
        <v>6217</v>
      </c>
    </row>
    <row r="155" ht="56.25" customHeight="1">
      <c r="A155" s="23" t="s">
        <v>6223</v>
      </c>
      <c r="B155" s="15" t="str">
        <f>image("https://i.imgur.com/EiIU9iU.png")</f>
        <v/>
      </c>
      <c r="C155" s="25" t="s">
        <v>51</v>
      </c>
      <c r="D155" s="25" t="s">
        <v>83</v>
      </c>
      <c r="E155" s="94" t="s">
        <v>6217</v>
      </c>
    </row>
    <row r="156" ht="56.25" customHeight="1">
      <c r="A156" s="23" t="s">
        <v>6224</v>
      </c>
      <c r="B156" s="15" t="str">
        <f>image("https://i.imgur.com/HoRDwx2.png")</f>
        <v/>
      </c>
      <c r="C156" s="25" t="s">
        <v>51</v>
      </c>
      <c r="D156" s="25" t="s">
        <v>83</v>
      </c>
      <c r="E156" s="94" t="s">
        <v>6217</v>
      </c>
    </row>
    <row r="157" ht="56.25" customHeight="1">
      <c r="A157" s="23" t="s">
        <v>6225</v>
      </c>
      <c r="B157" s="15" t="str">
        <f>image("https://i.imgur.com/49iyxnO.png")</f>
        <v/>
      </c>
      <c r="C157" s="25" t="s">
        <v>51</v>
      </c>
      <c r="D157" s="25" t="s">
        <v>83</v>
      </c>
      <c r="E157" s="94" t="s">
        <v>6217</v>
      </c>
    </row>
    <row r="158" ht="56.25" customHeight="1">
      <c r="A158" s="23" t="s">
        <v>6226</v>
      </c>
      <c r="B158" s="15" t="str">
        <f>image("https://i.imgur.com/LXEk0k6.png")</f>
        <v/>
      </c>
      <c r="C158" s="25" t="s">
        <v>51</v>
      </c>
      <c r="D158" s="25" t="s">
        <v>83</v>
      </c>
      <c r="E158" s="94" t="s">
        <v>6217</v>
      </c>
    </row>
    <row r="159" ht="56.25" customHeight="1">
      <c r="A159" s="23" t="s">
        <v>6227</v>
      </c>
      <c r="B159" s="15" t="str">
        <f>image("https://i.imgur.com/QFnDYnu.png")</f>
        <v/>
      </c>
      <c r="C159" s="25" t="s">
        <v>51</v>
      </c>
      <c r="D159" s="25" t="s">
        <v>83</v>
      </c>
      <c r="E159" s="94" t="s">
        <v>6217</v>
      </c>
    </row>
    <row r="160" ht="56.25" customHeight="1">
      <c r="A160" s="23" t="s">
        <v>6228</v>
      </c>
      <c r="B160" s="15" t="str">
        <f>image("https://i.imgur.com/U1FVhzh.png")</f>
        <v/>
      </c>
      <c r="C160" s="25" t="s">
        <v>51</v>
      </c>
      <c r="D160" s="25" t="s">
        <v>83</v>
      </c>
      <c r="E160" s="94" t="s">
        <v>6217</v>
      </c>
    </row>
    <row r="161" ht="56.25" customHeight="1">
      <c r="A161" s="23" t="s">
        <v>6229</v>
      </c>
      <c r="B161" s="15" t="str">
        <f>image("https://i.imgur.com/lLM0PHx.png")</f>
        <v/>
      </c>
      <c r="C161" s="25" t="s">
        <v>51</v>
      </c>
      <c r="D161" s="25" t="s">
        <v>83</v>
      </c>
      <c r="E161" s="94" t="s">
        <v>6217</v>
      </c>
    </row>
    <row r="162" ht="56.25" customHeight="1">
      <c r="A162" s="23" t="s">
        <v>6230</v>
      </c>
      <c r="B162" s="15" t="str">
        <f>image("https://i.imgur.com/Evtdku2.png")</f>
        <v/>
      </c>
      <c r="C162" s="25" t="s">
        <v>51</v>
      </c>
      <c r="D162" s="25" t="s">
        <v>83</v>
      </c>
      <c r="E162" s="94" t="s">
        <v>6217</v>
      </c>
    </row>
    <row r="163" ht="56.25" customHeight="1">
      <c r="A163" s="23" t="s">
        <v>6231</v>
      </c>
      <c r="B163" s="15" t="str">
        <f>image("https://i.imgur.com/QJgSvKP.png")</f>
        <v/>
      </c>
      <c r="C163" s="25" t="s">
        <v>51</v>
      </c>
      <c r="D163" s="25" t="s">
        <v>83</v>
      </c>
      <c r="E163" s="94" t="s">
        <v>6217</v>
      </c>
    </row>
    <row r="164" ht="56.25" customHeight="1">
      <c r="A164" s="23" t="s">
        <v>6233</v>
      </c>
      <c r="B164" s="15" t="str">
        <f>image("https://i.imgur.com/lh5MDNv.png")</f>
        <v/>
      </c>
      <c r="C164" s="25" t="s">
        <v>51</v>
      </c>
      <c r="D164" s="25" t="s">
        <v>83</v>
      </c>
      <c r="E164" s="94" t="s">
        <v>6217</v>
      </c>
    </row>
    <row r="165" ht="56.25" customHeight="1">
      <c r="A165" s="23" t="s">
        <v>6234</v>
      </c>
      <c r="B165" s="15" t="str">
        <f>image("https://i.imgur.com/BVZrZvm.png")</f>
        <v/>
      </c>
      <c r="C165" s="25" t="s">
        <v>51</v>
      </c>
      <c r="D165" s="25" t="s">
        <v>83</v>
      </c>
      <c r="E165" s="94" t="s">
        <v>6217</v>
      </c>
    </row>
    <row r="166" ht="56.25" customHeight="1">
      <c r="A166" s="23" t="s">
        <v>6235</v>
      </c>
      <c r="B166" s="15" t="str">
        <f>image("https://i.imgur.com/7CyGi0s.png")</f>
        <v/>
      </c>
      <c r="C166" s="25" t="s">
        <v>51</v>
      </c>
      <c r="D166" s="15">
        <v>240.0</v>
      </c>
      <c r="E166" s="24" t="s">
        <v>5945</v>
      </c>
    </row>
    <row r="167" ht="56.25" customHeight="1">
      <c r="A167" s="23" t="s">
        <v>6236</v>
      </c>
      <c r="B167" s="15" t="str">
        <f>image("https://i.imgur.com/Rdyu8LW.png")</f>
        <v/>
      </c>
      <c r="C167" s="25" t="s">
        <v>51</v>
      </c>
      <c r="D167" s="15">
        <v>80.0</v>
      </c>
      <c r="E167" s="24" t="s">
        <v>5945</v>
      </c>
    </row>
    <row r="168" ht="56.25" customHeight="1">
      <c r="A168" s="23" t="s">
        <v>6237</v>
      </c>
      <c r="B168" s="15" t="str">
        <f>image("https://i.imgur.com/7mRuDsR.png")</f>
        <v/>
      </c>
      <c r="C168" s="25" t="s">
        <v>51</v>
      </c>
      <c r="D168" s="15">
        <v>240.0</v>
      </c>
      <c r="E168" s="24" t="s">
        <v>5945</v>
      </c>
    </row>
    <row r="169" ht="56.25" customHeight="1">
      <c r="A169" s="23" t="s">
        <v>6238</v>
      </c>
      <c r="B169" s="15" t="str">
        <f>image("https://i.imgur.com/TU5GVIF.png")</f>
        <v/>
      </c>
      <c r="C169" s="25" t="s">
        <v>51</v>
      </c>
      <c r="D169" s="15">
        <v>240.0</v>
      </c>
      <c r="E169" s="24" t="s">
        <v>5945</v>
      </c>
    </row>
    <row r="170" ht="56.25" customHeight="1">
      <c r="A170" s="23" t="s">
        <v>6239</v>
      </c>
      <c r="B170" s="15" t="str">
        <f>image("https://i.imgur.com/2BRUNUR.png")</f>
        <v/>
      </c>
      <c r="C170" s="25" t="s">
        <v>51</v>
      </c>
      <c r="D170" s="15">
        <v>240.0</v>
      </c>
      <c r="E170" s="24" t="s">
        <v>5945</v>
      </c>
    </row>
    <row r="171" ht="56.25" customHeight="1">
      <c r="A171" s="23" t="s">
        <v>6240</v>
      </c>
      <c r="B171" s="15" t="str">
        <f>image("https://i.imgur.com/lxv3v8f.png")</f>
        <v/>
      </c>
      <c r="C171" s="25" t="s">
        <v>51</v>
      </c>
      <c r="D171" s="15">
        <v>240.0</v>
      </c>
      <c r="E171" s="24" t="s">
        <v>5945</v>
      </c>
    </row>
    <row r="172" ht="56.25" customHeight="1">
      <c r="A172" s="23" t="s">
        <v>6241</v>
      </c>
      <c r="B172" s="15" t="str">
        <f>image("https://i.imgur.com/rxploZu.png")</f>
        <v/>
      </c>
      <c r="C172" s="15">
        <v>160.0</v>
      </c>
      <c r="D172" s="15">
        <v>40.0</v>
      </c>
      <c r="E172" s="24" t="s">
        <v>44</v>
      </c>
    </row>
    <row r="173" ht="56.25" customHeight="1">
      <c r="A173" s="23" t="s">
        <v>6242</v>
      </c>
      <c r="B173" s="15" t="str">
        <f>image("https://i.imgur.com/JWy8MxJ.png")</f>
        <v/>
      </c>
      <c r="C173" s="25" t="s">
        <v>51</v>
      </c>
      <c r="D173" s="15">
        <v>240.0</v>
      </c>
      <c r="E173" s="94" t="s">
        <v>6243</v>
      </c>
    </row>
    <row r="174" ht="56.25" customHeight="1">
      <c r="A174" s="23" t="s">
        <v>6244</v>
      </c>
      <c r="B174" s="15" t="str">
        <f>image("https://i.imgur.com/C3s80Mc.png")</f>
        <v/>
      </c>
      <c r="C174" s="25" t="s">
        <v>51</v>
      </c>
      <c r="D174" s="15">
        <v>80.0</v>
      </c>
      <c r="E174" s="94" t="s">
        <v>6246</v>
      </c>
    </row>
    <row r="175" ht="56.25" customHeight="1">
      <c r="A175" s="23" t="s">
        <v>6247</v>
      </c>
      <c r="B175" s="15" t="str">
        <f>image("https://i.imgur.com/apel9uO.png")</f>
        <v/>
      </c>
      <c r="C175" s="25" t="s">
        <v>51</v>
      </c>
      <c r="D175" s="15">
        <v>240.0</v>
      </c>
      <c r="E175" s="94" t="s">
        <v>6248</v>
      </c>
    </row>
    <row r="176" ht="56.25" customHeight="1">
      <c r="A176" s="23" t="s">
        <v>6249</v>
      </c>
      <c r="B176" s="15" t="str">
        <f>image("https://i.imgur.com/HRDqqUF.png")</f>
        <v/>
      </c>
      <c r="C176" s="25" t="s">
        <v>51</v>
      </c>
      <c r="D176" s="15">
        <v>240.0</v>
      </c>
      <c r="E176" s="94" t="s">
        <v>6250</v>
      </c>
    </row>
    <row r="177" ht="56.25" customHeight="1">
      <c r="A177" s="23" t="s">
        <v>6251</v>
      </c>
      <c r="B177" s="15" t="str">
        <f>image("https://i.imgur.com/2Nn2I32.png")</f>
        <v/>
      </c>
      <c r="C177" s="25" t="s">
        <v>51</v>
      </c>
      <c r="D177" s="15">
        <v>240.0</v>
      </c>
      <c r="E177" s="94" t="s">
        <v>6252</v>
      </c>
    </row>
    <row r="178" ht="56.25" customHeight="1">
      <c r="A178" s="23" t="s">
        <v>6253</v>
      </c>
      <c r="B178" s="15" t="str">
        <f>image("https://i.imgur.com/QjSnAoQ.png")</f>
        <v/>
      </c>
      <c r="C178" s="25" t="s">
        <v>51</v>
      </c>
      <c r="D178" s="15">
        <v>240.0</v>
      </c>
      <c r="E178" s="94" t="s">
        <v>6254</v>
      </c>
    </row>
    <row r="179" ht="56.25" customHeight="1">
      <c r="A179" s="23" t="s">
        <v>6255</v>
      </c>
      <c r="B179" s="15" t="str">
        <f>image("https://i.imgur.com/00vvpcg.png")</f>
        <v/>
      </c>
      <c r="C179" s="25" t="s">
        <v>51</v>
      </c>
      <c r="D179" s="15">
        <v>16000.0</v>
      </c>
      <c r="E179" s="24" t="s">
        <v>6085</v>
      </c>
    </row>
    <row r="180" ht="56.25" customHeight="1">
      <c r="A180" s="23" t="s">
        <v>6256</v>
      </c>
      <c r="B180" s="15" t="str">
        <f>image("https://i.imgur.com/VU26QTF.png")</f>
        <v/>
      </c>
      <c r="C180" s="25" t="s">
        <v>51</v>
      </c>
      <c r="D180" s="15">
        <v>40.0</v>
      </c>
      <c r="E180" s="24" t="s">
        <v>5945</v>
      </c>
    </row>
    <row r="181" ht="56.25" customHeight="1">
      <c r="A181" s="23" t="s">
        <v>6257</v>
      </c>
      <c r="B181" s="15" t="str">
        <f>image("https://i.imgur.com/wNLTOgq.png")</f>
        <v/>
      </c>
      <c r="C181" s="25" t="s">
        <v>51</v>
      </c>
      <c r="D181" s="15">
        <v>40.0</v>
      </c>
      <c r="E181" s="24" t="s">
        <v>5945</v>
      </c>
    </row>
    <row r="182" ht="56.25" customHeight="1">
      <c r="A182" s="23" t="s">
        <v>6258</v>
      </c>
      <c r="B182" s="15" t="str">
        <f>image("https://i.imgur.com/SLa3CcH.png")</f>
        <v/>
      </c>
      <c r="C182" s="25" t="s">
        <v>51</v>
      </c>
      <c r="D182" s="15">
        <v>40.0</v>
      </c>
      <c r="E182" s="24" t="s">
        <v>5945</v>
      </c>
    </row>
    <row r="183" ht="56.25" customHeight="1">
      <c r="A183" s="23" t="s">
        <v>6260</v>
      </c>
      <c r="B183" s="15" t="str">
        <f>image("https://i.imgur.com/qDz2Bi9.png")</f>
        <v/>
      </c>
      <c r="C183" s="25" t="s">
        <v>51</v>
      </c>
      <c r="D183" s="15">
        <v>40.0</v>
      </c>
      <c r="E183" s="24" t="s">
        <v>5945</v>
      </c>
    </row>
    <row r="184" ht="56.25" customHeight="1">
      <c r="A184" s="23" t="s">
        <v>6261</v>
      </c>
      <c r="B184" s="15" t="str">
        <f>image("https://i.imgur.com/sNbYIeR.png")</f>
        <v/>
      </c>
      <c r="C184" s="25" t="s">
        <v>51</v>
      </c>
      <c r="D184" s="15">
        <v>50.0</v>
      </c>
      <c r="E184" s="24" t="s">
        <v>5982</v>
      </c>
    </row>
    <row r="185" ht="56.25" customHeight="1">
      <c r="A185" s="23" t="s">
        <v>6262</v>
      </c>
      <c r="B185" s="15" t="str">
        <f>image("https://i.imgur.com/P4mp0C3.png")</f>
        <v/>
      </c>
      <c r="C185" s="25" t="s">
        <v>51</v>
      </c>
      <c r="D185" s="15">
        <v>40.0</v>
      </c>
      <c r="E185" s="24" t="s">
        <v>5945</v>
      </c>
    </row>
    <row r="186" ht="56.25" customHeight="1">
      <c r="A186" s="23" t="s">
        <v>6263</v>
      </c>
      <c r="B186" s="15" t="str">
        <f>image("https://i.imgur.com/SrCuuhe.png")</f>
        <v/>
      </c>
      <c r="C186" s="25" t="s">
        <v>51</v>
      </c>
      <c r="D186" s="15">
        <v>40.0</v>
      </c>
      <c r="E186" s="24" t="s">
        <v>5945</v>
      </c>
    </row>
    <row r="187" ht="56.25" customHeight="1">
      <c r="A187" s="23" t="s">
        <v>6264</v>
      </c>
      <c r="B187" s="15" t="str">
        <f>image("https://i.imgur.com/zcyYTlK.png")</f>
        <v/>
      </c>
      <c r="C187" s="25" t="s">
        <v>51</v>
      </c>
      <c r="D187" s="15">
        <v>40.0</v>
      </c>
      <c r="E187" s="24" t="s">
        <v>5945</v>
      </c>
    </row>
    <row r="188" ht="56.25" customHeight="1">
      <c r="A188" s="23" t="s">
        <v>6265</v>
      </c>
      <c r="B188" s="15" t="str">
        <f>image("https://i.imgur.com/GhAZwA3.png")</f>
        <v/>
      </c>
      <c r="C188" s="25" t="s">
        <v>51</v>
      </c>
      <c r="D188" s="15">
        <v>40.0</v>
      </c>
      <c r="E188" s="24" t="s">
        <v>5945</v>
      </c>
    </row>
    <row r="189" ht="56.25" customHeight="1">
      <c r="A189" s="23" t="s">
        <v>6266</v>
      </c>
      <c r="B189" s="15" t="str">
        <f>image("https://i.imgur.com/YGq3wMi.png")</f>
        <v/>
      </c>
      <c r="C189" s="15">
        <v>160.0</v>
      </c>
      <c r="D189" s="15">
        <v>40.0</v>
      </c>
      <c r="E189" s="24" t="s">
        <v>44</v>
      </c>
    </row>
    <row r="190" ht="56.25" customHeight="1">
      <c r="A190" s="23" t="s">
        <v>6268</v>
      </c>
      <c r="B190" s="15" t="str">
        <f>image("https://i.imgur.com/DtXcYti.png")</f>
        <v/>
      </c>
      <c r="C190" s="15">
        <v>240.0</v>
      </c>
      <c r="D190" s="15">
        <v>60.0</v>
      </c>
      <c r="E190" s="94" t="s">
        <v>44</v>
      </c>
    </row>
    <row r="191" ht="56.25" customHeight="1">
      <c r="A191" s="23" t="s">
        <v>6269</v>
      </c>
      <c r="B191" s="15" t="str">
        <f>image("https://i.imgur.com/bZOJNuX.png")</f>
        <v/>
      </c>
      <c r="C191" s="25" t="s">
        <v>51</v>
      </c>
      <c r="D191" s="15">
        <v>40.0</v>
      </c>
      <c r="E191" s="94" t="s">
        <v>6174</v>
      </c>
    </row>
    <row r="192" ht="56.25" customHeight="1">
      <c r="A192" s="23" t="s">
        <v>6270</v>
      </c>
      <c r="B192" s="15" t="str">
        <f>image("https://i.imgur.com/DtXcYti.png")</f>
        <v/>
      </c>
      <c r="C192" s="15">
        <v>240.0</v>
      </c>
      <c r="D192" s="15">
        <v>60.0</v>
      </c>
      <c r="E192" s="94" t="s">
        <v>44</v>
      </c>
    </row>
    <row r="193" ht="56.25" customHeight="1">
      <c r="A193" s="23" t="s">
        <v>6271</v>
      </c>
      <c r="B193" s="15" t="str">
        <f>image("https://i.imgur.com/z4Slfi6.png")</f>
        <v/>
      </c>
      <c r="C193" s="25" t="s">
        <v>51</v>
      </c>
      <c r="D193" s="15">
        <v>40.0</v>
      </c>
      <c r="E193" s="94" t="s">
        <v>6174</v>
      </c>
    </row>
    <row r="194" ht="56.25" customHeight="1">
      <c r="A194" s="23" t="s">
        <v>6272</v>
      </c>
      <c r="B194" s="15" t="str">
        <f>image("https://i.imgur.com/DtXcYti.png")</f>
        <v/>
      </c>
      <c r="C194" s="15">
        <v>240.0</v>
      </c>
      <c r="D194" s="15">
        <v>60.0</v>
      </c>
      <c r="E194" s="94" t="s">
        <v>44</v>
      </c>
    </row>
    <row r="195" ht="56.25" customHeight="1">
      <c r="A195" s="23" t="s">
        <v>6273</v>
      </c>
      <c r="B195" s="15" t="str">
        <f>image("https://i.imgur.com/FKRfD2m.png")</f>
        <v/>
      </c>
      <c r="C195" s="25" t="s">
        <v>51</v>
      </c>
      <c r="D195" s="15">
        <v>40.0</v>
      </c>
      <c r="E195" s="94" t="s">
        <v>6174</v>
      </c>
    </row>
    <row r="196" ht="56.25" customHeight="1">
      <c r="A196" s="23" t="s">
        <v>6275</v>
      </c>
      <c r="B196" s="15" t="str">
        <f>image("https://i.imgur.com/DtXcYti.png")</f>
        <v/>
      </c>
      <c r="C196" s="15">
        <v>240.0</v>
      </c>
      <c r="D196" s="15">
        <v>60.0</v>
      </c>
      <c r="E196" s="94" t="s">
        <v>44</v>
      </c>
    </row>
    <row r="197" ht="56.25" customHeight="1">
      <c r="A197" s="23" t="s">
        <v>6276</v>
      </c>
      <c r="B197" s="15" t="str">
        <f>image("https://i.imgur.com/3MOgmO5.png")</f>
        <v/>
      </c>
      <c r="C197" s="25" t="s">
        <v>51</v>
      </c>
      <c r="D197" s="15">
        <v>40.0</v>
      </c>
      <c r="E197" s="94" t="s">
        <v>6174</v>
      </c>
    </row>
    <row r="198" ht="56.25" customHeight="1">
      <c r="A198" s="23" t="s">
        <v>6277</v>
      </c>
      <c r="B198" s="15" t="str">
        <f>image("https://i.imgur.com/DtXcYti.png")</f>
        <v/>
      </c>
      <c r="C198" s="15">
        <v>240.0</v>
      </c>
      <c r="D198" s="15">
        <v>60.0</v>
      </c>
      <c r="E198" s="94" t="s">
        <v>44</v>
      </c>
    </row>
    <row r="199" ht="56.25" customHeight="1">
      <c r="A199" s="23" t="s">
        <v>6278</v>
      </c>
      <c r="B199" s="15" t="str">
        <f>image("https://i.imgur.com/P87wzUX.png")</f>
        <v/>
      </c>
      <c r="C199" s="25" t="s">
        <v>51</v>
      </c>
      <c r="D199" s="15">
        <v>40.0</v>
      </c>
      <c r="E199" s="94" t="s">
        <v>6174</v>
      </c>
    </row>
    <row r="200" ht="56.25" customHeight="1">
      <c r="A200" s="23" t="s">
        <v>6279</v>
      </c>
      <c r="B200" s="15" t="str">
        <f>image("https://i.imgur.com/DtXcYti.png")</f>
        <v/>
      </c>
      <c r="C200" s="15">
        <v>240.0</v>
      </c>
      <c r="D200" s="15">
        <v>60.0</v>
      </c>
      <c r="E200" s="94" t="s">
        <v>44</v>
      </c>
    </row>
    <row r="201" ht="56.25" customHeight="1">
      <c r="A201" s="23" t="s">
        <v>6280</v>
      </c>
      <c r="B201" s="15" t="str">
        <f>image("https://i.imgur.com/WNw4bsy.png")</f>
        <v/>
      </c>
      <c r="C201" s="25" t="s">
        <v>51</v>
      </c>
      <c r="D201" s="15">
        <v>40.0</v>
      </c>
      <c r="E201" s="94" t="s">
        <v>6174</v>
      </c>
    </row>
    <row r="202" ht="56.25" customHeight="1">
      <c r="A202" s="23" t="s">
        <v>6281</v>
      </c>
      <c r="B202" s="15" t="str">
        <f>image("https://i.imgur.com/DtXcYti.png")</f>
        <v/>
      </c>
      <c r="C202" s="15">
        <v>240.0</v>
      </c>
      <c r="D202" s="15">
        <v>60.0</v>
      </c>
      <c r="E202" s="94" t="s">
        <v>44</v>
      </c>
    </row>
    <row r="203" ht="56.25" customHeight="1">
      <c r="A203" s="23" t="s">
        <v>6282</v>
      </c>
      <c r="B203" s="15" t="str">
        <f>image("https://i.imgur.com/FocWneF.png")</f>
        <v/>
      </c>
      <c r="C203" s="25" t="s">
        <v>51</v>
      </c>
      <c r="D203" s="15">
        <v>40.0</v>
      </c>
      <c r="E203" s="94" t="s">
        <v>6174</v>
      </c>
    </row>
    <row r="204" ht="56.25" customHeight="1">
      <c r="A204" s="23" t="s">
        <v>6283</v>
      </c>
      <c r="B204" s="15" t="str">
        <f>image("https://i.imgur.com/DtXcYti.png")</f>
        <v/>
      </c>
      <c r="C204" s="15">
        <v>240.0</v>
      </c>
      <c r="D204" s="15">
        <v>60.0</v>
      </c>
      <c r="E204" s="94" t="s">
        <v>44</v>
      </c>
    </row>
    <row r="205" ht="56.25" customHeight="1">
      <c r="A205" s="23" t="s">
        <v>6285</v>
      </c>
      <c r="B205" s="15" t="str">
        <f>image("https://i.imgur.com/ZEV3HiA.png")</f>
        <v/>
      </c>
      <c r="C205" s="25" t="s">
        <v>51</v>
      </c>
      <c r="D205" s="15">
        <v>40.0</v>
      </c>
      <c r="E205" s="94" t="s">
        <v>6174</v>
      </c>
    </row>
    <row r="206" ht="56.25" customHeight="1">
      <c r="A206" s="23" t="s">
        <v>6286</v>
      </c>
      <c r="B206" s="15" t="str">
        <f>image("https://i.imgur.com/Uwdumjw.png")</f>
        <v/>
      </c>
      <c r="C206" s="25" t="s">
        <v>51</v>
      </c>
      <c r="D206" s="15">
        <v>200.0</v>
      </c>
      <c r="E206" s="24" t="s">
        <v>6085</v>
      </c>
    </row>
    <row r="207" ht="56.25" customHeight="1">
      <c r="A207" s="23" t="s">
        <v>6287</v>
      </c>
      <c r="B207" s="15" t="str">
        <f>image("https://i.imgur.com/PSFMWy3.png")</f>
        <v/>
      </c>
      <c r="C207" s="25" t="s">
        <v>51</v>
      </c>
      <c r="D207" s="15">
        <v>10.0</v>
      </c>
      <c r="E207" s="24" t="s">
        <v>6288</v>
      </c>
    </row>
    <row r="208" ht="56.25" customHeight="1">
      <c r="A208" s="23" t="s">
        <v>6289</v>
      </c>
      <c r="B208" s="15" t="str">
        <f>image("https://i.imgur.com/vXn3xeQ.png")</f>
        <v/>
      </c>
      <c r="C208" s="25" t="s">
        <v>51</v>
      </c>
      <c r="D208" s="15">
        <v>500.0</v>
      </c>
      <c r="E208" s="94" t="s">
        <v>6290</v>
      </c>
    </row>
    <row r="209" ht="56.25" customHeight="1">
      <c r="A209" s="23" t="s">
        <v>6291</v>
      </c>
      <c r="B209" s="15" t="str">
        <f>image("https://i.imgur.com/DRMzKah.png")</f>
        <v/>
      </c>
      <c r="C209" s="25" t="s">
        <v>51</v>
      </c>
      <c r="D209" s="15">
        <v>100.0</v>
      </c>
      <c r="E209" s="24" t="s">
        <v>1609</v>
      </c>
    </row>
    <row r="210" ht="56.25" customHeight="1">
      <c r="A210" s="23" t="s">
        <v>6292</v>
      </c>
      <c r="B210" s="15" t="str">
        <f>image("https://i.imgur.com/ufh1oyZ.png")</f>
        <v/>
      </c>
      <c r="C210" s="25" t="s">
        <v>51</v>
      </c>
      <c r="D210" s="15">
        <v>120.0</v>
      </c>
      <c r="E210" s="24" t="s">
        <v>6070</v>
      </c>
    </row>
    <row r="211" ht="56.25" customHeight="1">
      <c r="A211" s="23" t="s">
        <v>6293</v>
      </c>
      <c r="B211" s="15" t="str">
        <f>image("https://i.imgur.com/QhEt8IU.png")</f>
        <v/>
      </c>
      <c r="C211" s="15">
        <v>640.0</v>
      </c>
      <c r="D211" s="15">
        <v>160.0</v>
      </c>
      <c r="E211" s="24" t="s">
        <v>44</v>
      </c>
    </row>
    <row r="212" ht="56.25" customHeight="1">
      <c r="A212" s="23" t="s">
        <v>6294</v>
      </c>
      <c r="B212" s="15" t="str">
        <f>image("https://i.imgur.com/HIUGhJ4.png")</f>
        <v/>
      </c>
      <c r="C212" s="25" t="s">
        <v>51</v>
      </c>
      <c r="D212" s="15"/>
      <c r="E212" s="94" t="s">
        <v>6295</v>
      </c>
    </row>
    <row r="213" ht="56.25" customHeight="1">
      <c r="A213" s="23" t="s">
        <v>6296</v>
      </c>
      <c r="B213" s="15" t="str">
        <f>image("https://i.imgur.com/kr42iLP.png")</f>
        <v/>
      </c>
      <c r="C213" s="25" t="s">
        <v>51</v>
      </c>
      <c r="D213" s="15">
        <v>500.0</v>
      </c>
      <c r="E213" s="94" t="s">
        <v>6297</v>
      </c>
    </row>
    <row r="214" ht="56.25" customHeight="1">
      <c r="A214" s="23" t="s">
        <v>6298</v>
      </c>
      <c r="B214" s="15" t="str">
        <f>image("https://i.imgur.com/OuB7IAs.png")</f>
        <v/>
      </c>
      <c r="C214" s="25" t="s">
        <v>51</v>
      </c>
      <c r="D214" s="15">
        <v>180.0</v>
      </c>
      <c r="E214" s="24" t="s">
        <v>6070</v>
      </c>
    </row>
    <row r="215" ht="56.25" customHeight="1">
      <c r="A215" s="23" t="s">
        <v>6299</v>
      </c>
      <c r="B215" s="15" t="str">
        <f t="shared" ref="B215:B216" si="7">image("https://i.imgur.com/ez3A70z.png")</f>
        <v/>
      </c>
      <c r="C215" s="25" t="s">
        <v>51</v>
      </c>
      <c r="D215" s="25" t="s">
        <v>83</v>
      </c>
      <c r="E215" s="94" t="s">
        <v>4513</v>
      </c>
    </row>
    <row r="216" ht="56.25" customHeight="1">
      <c r="A216" s="23" t="s">
        <v>6300</v>
      </c>
      <c r="B216" s="15" t="str">
        <f t="shared" si="7"/>
        <v/>
      </c>
      <c r="C216" s="25" t="s">
        <v>51</v>
      </c>
      <c r="D216" s="25" t="s">
        <v>83</v>
      </c>
      <c r="E216" s="94" t="s">
        <v>4513</v>
      </c>
    </row>
    <row r="217" ht="56.25" customHeight="1">
      <c r="A217" s="23" t="s">
        <v>6301</v>
      </c>
      <c r="B217" s="15" t="str">
        <f>image("https://i.imgur.com/9y9Nppa.png")</f>
        <v/>
      </c>
      <c r="C217" s="25" t="s">
        <v>51</v>
      </c>
      <c r="D217" s="15">
        <v>300.0</v>
      </c>
      <c r="E217" s="24" t="s">
        <v>6085</v>
      </c>
    </row>
    <row r="218" ht="56.25" customHeight="1">
      <c r="A218" s="23" t="s">
        <v>6302</v>
      </c>
      <c r="B218" s="15" t="str">
        <f>image("https://i.imgur.com/SQM63te.png")</f>
        <v/>
      </c>
      <c r="C218" s="25" t="s">
        <v>51</v>
      </c>
      <c r="D218" s="25">
        <v>200.0</v>
      </c>
      <c r="E218" s="24" t="s">
        <v>6304</v>
      </c>
    </row>
    <row r="219" ht="56.25" customHeight="1">
      <c r="A219" s="23" t="s">
        <v>6305</v>
      </c>
      <c r="B219" s="15" t="str">
        <f>image("https://i.imgur.com/lvYeO4f.png")</f>
        <v/>
      </c>
      <c r="C219" s="15"/>
      <c r="D219" s="25">
        <v>200.0</v>
      </c>
      <c r="E219" s="94" t="s">
        <v>44</v>
      </c>
    </row>
    <row r="220" ht="56.25" customHeight="1">
      <c r="A220" s="23" t="s">
        <v>6306</v>
      </c>
      <c r="B220" s="15" t="str">
        <f>image("https://i.imgur.com/lIyP7NR.png")</f>
        <v/>
      </c>
      <c r="C220" s="25" t="s">
        <v>51</v>
      </c>
      <c r="D220" s="15">
        <v>200.0</v>
      </c>
      <c r="E220" s="24" t="s">
        <v>6307</v>
      </c>
    </row>
    <row r="221" ht="56.25" customHeight="1">
      <c r="A221" s="23" t="s">
        <v>6308</v>
      </c>
      <c r="B221" s="15" t="str">
        <f>image("https://i.imgur.com/Fj2kmoR.png")</f>
        <v/>
      </c>
      <c r="C221" s="25" t="s">
        <v>51</v>
      </c>
      <c r="D221" s="15">
        <v>60.0</v>
      </c>
      <c r="E221" s="24" t="s">
        <v>6112</v>
      </c>
    </row>
    <row r="222" ht="56.25" customHeight="1">
      <c r="A222" s="23" t="s">
        <v>6309</v>
      </c>
      <c r="B222" s="15" t="str">
        <f>image("https://i.imgur.com/T1e4T9K.png")</f>
        <v/>
      </c>
      <c r="C222" s="25" t="s">
        <v>51</v>
      </c>
      <c r="D222" s="15">
        <v>100.0</v>
      </c>
      <c r="E222" s="94" t="s">
        <v>6310</v>
      </c>
    </row>
    <row r="223" ht="56.25" customHeight="1">
      <c r="A223" s="23" t="s">
        <v>6311</v>
      </c>
      <c r="B223" s="15" t="str">
        <f>image("https://i.imgur.com/b9IpSSY.png")</f>
        <v/>
      </c>
      <c r="C223" s="25" t="s">
        <v>51</v>
      </c>
      <c r="D223" s="15">
        <v>250.0</v>
      </c>
      <c r="E223" s="52" t="s">
        <v>6122</v>
      </c>
    </row>
    <row r="224" ht="56.25" customHeight="1">
      <c r="A224" s="23" t="s">
        <v>6312</v>
      </c>
      <c r="B224" s="15" t="str">
        <f>image("https://i.imgur.com/NWWSyvA.png")</f>
        <v/>
      </c>
      <c r="C224" s="25" t="s">
        <v>51</v>
      </c>
      <c r="D224" s="15">
        <v>75.0</v>
      </c>
      <c r="E224" s="24" t="s">
        <v>6052</v>
      </c>
    </row>
    <row r="225" ht="56.25" customHeight="1">
      <c r="A225" s="23" t="s">
        <v>6313</v>
      </c>
      <c r="B225" s="15" t="str">
        <f>image("https://i.imgur.com/D5zT7nE.png")</f>
        <v/>
      </c>
      <c r="C225" s="25" t="s">
        <v>51</v>
      </c>
      <c r="D225" s="15"/>
      <c r="E225" s="94" t="s">
        <v>6314</v>
      </c>
    </row>
    <row r="226" ht="56.25" customHeight="1">
      <c r="A226" s="23" t="s">
        <v>6315</v>
      </c>
      <c r="B226" s="15" t="str">
        <f>image("https://i.imgur.com/J5BNCPB.png")</f>
        <v/>
      </c>
      <c r="C226" s="25" t="s">
        <v>51</v>
      </c>
      <c r="D226" s="15">
        <v>600.0</v>
      </c>
      <c r="E226" s="24" t="s">
        <v>6316</v>
      </c>
    </row>
    <row r="227" ht="56.25" customHeight="1">
      <c r="A227" s="23" t="s">
        <v>6317</v>
      </c>
      <c r="B227" s="15" t="str">
        <f t="shared" ref="B227:B228" si="8">image("https://i.imgur.com/ez3A70z.png")</f>
        <v/>
      </c>
      <c r="C227" s="25" t="s">
        <v>51</v>
      </c>
      <c r="D227" s="25" t="s">
        <v>83</v>
      </c>
      <c r="E227" s="94" t="s">
        <v>4513</v>
      </c>
    </row>
    <row r="228" ht="56.25" customHeight="1">
      <c r="A228" s="23" t="s">
        <v>6318</v>
      </c>
      <c r="B228" s="15" t="str">
        <f t="shared" si="8"/>
        <v/>
      </c>
      <c r="C228" s="25" t="s">
        <v>51</v>
      </c>
      <c r="D228" s="25" t="s">
        <v>83</v>
      </c>
      <c r="E228" s="94" t="s">
        <v>4513</v>
      </c>
    </row>
    <row r="229" ht="56.25" customHeight="1">
      <c r="A229" s="23" t="s">
        <v>6319</v>
      </c>
      <c r="B229" s="15" t="str">
        <f>image("https://i.imgur.com/wfgebby.png")</f>
        <v/>
      </c>
      <c r="C229" s="25" t="s">
        <v>51</v>
      </c>
      <c r="D229" s="15">
        <v>250.0</v>
      </c>
      <c r="E229" s="24" t="s">
        <v>6320</v>
      </c>
    </row>
    <row r="230" ht="56.25" customHeight="1">
      <c r="A230" s="23" t="s">
        <v>6321</v>
      </c>
      <c r="B230" s="15" t="str">
        <f>image("https://i.imgur.com/MXpj6aD.png")</f>
        <v/>
      </c>
      <c r="C230" s="25" t="s">
        <v>51</v>
      </c>
      <c r="D230" s="15">
        <v>500.0</v>
      </c>
      <c r="E230" s="94" t="s">
        <v>6322</v>
      </c>
    </row>
    <row r="231" ht="56.25" customHeight="1">
      <c r="A231" s="23" t="s">
        <v>6324</v>
      </c>
      <c r="B231" s="15" t="str">
        <f>image("https://i.imgur.com/HO7Exhv.png")</f>
        <v/>
      </c>
      <c r="C231" s="25" t="s">
        <v>51</v>
      </c>
      <c r="D231" s="25" t="s">
        <v>83</v>
      </c>
      <c r="E231" s="94" t="s">
        <v>4513</v>
      </c>
    </row>
    <row r="232" ht="56.25" customHeight="1">
      <c r="A232" s="23" t="s">
        <v>6325</v>
      </c>
      <c r="B232" s="15" t="str">
        <f>image("https://i.imgur.com/ma78edH.png")</f>
        <v/>
      </c>
      <c r="C232" s="15"/>
      <c r="D232" s="25" t="s">
        <v>83</v>
      </c>
      <c r="E232" s="94" t="s">
        <v>44</v>
      </c>
    </row>
    <row r="233" ht="56.25" customHeight="1">
      <c r="A233" s="23" t="s">
        <v>6326</v>
      </c>
      <c r="B233" s="15" t="str">
        <f>image("")</f>
        <v/>
      </c>
      <c r="C233" s="25" t="s">
        <v>51</v>
      </c>
      <c r="D233" s="15">
        <v>0.0</v>
      </c>
      <c r="E233" s="13"/>
    </row>
    <row r="234" ht="56.25" customHeight="1">
      <c r="A234" s="23" t="s">
        <v>6327</v>
      </c>
      <c r="B234" s="15" t="str">
        <f>image("https://i.imgur.com/GOuOQzg.png")</f>
        <v/>
      </c>
      <c r="C234" s="25" t="s">
        <v>51</v>
      </c>
      <c r="D234" s="15">
        <v>5.0</v>
      </c>
      <c r="E234" s="24" t="s">
        <v>6328</v>
      </c>
    </row>
    <row r="235" ht="56.25" customHeight="1">
      <c r="A235" s="23" t="s">
        <v>6329</v>
      </c>
      <c r="B235" s="15" t="str">
        <f>image("https://i.imgur.com/WjgBGPP.png")</f>
        <v/>
      </c>
      <c r="C235" s="25" t="s">
        <v>51</v>
      </c>
      <c r="D235" s="15">
        <v>0.0</v>
      </c>
      <c r="E235" s="94" t="s">
        <v>6330</v>
      </c>
    </row>
    <row r="236" ht="56.25" customHeight="1">
      <c r="A236" s="23" t="s">
        <v>6331</v>
      </c>
      <c r="B236" s="15" t="str">
        <f>image("https://i.imgur.com/lvYeO4f.png")</f>
        <v/>
      </c>
      <c r="C236" s="25">
        <v>500.0</v>
      </c>
      <c r="D236" s="25">
        <v>200.0</v>
      </c>
      <c r="E236" s="94" t="s">
        <v>44</v>
      </c>
    </row>
    <row r="237" ht="56.25" customHeight="1">
      <c r="A237" s="23" t="s">
        <v>6332</v>
      </c>
      <c r="B237" s="15" t="str">
        <f>image("https://i.imgur.com/NcUydtB.png")</f>
        <v/>
      </c>
      <c r="C237" s="25" t="s">
        <v>51</v>
      </c>
      <c r="D237" s="15">
        <v>300.0</v>
      </c>
      <c r="E237" s="24" t="s">
        <v>6070</v>
      </c>
    </row>
    <row r="238" ht="56.25" customHeight="1">
      <c r="A238" s="23" t="s">
        <v>6333</v>
      </c>
      <c r="B238" s="15" t="str">
        <f>image("https://i.imgur.com/I4qfgtp.png")</f>
        <v/>
      </c>
      <c r="C238" s="25" t="s">
        <v>51</v>
      </c>
      <c r="D238" s="15">
        <v>500.0</v>
      </c>
      <c r="E238" s="94" t="s">
        <v>6334</v>
      </c>
    </row>
    <row r="239" ht="56.25" customHeight="1">
      <c r="A239" s="23" t="s">
        <v>6335</v>
      </c>
      <c r="B239" s="15" t="str">
        <f>image("https://i.imgur.com/K5yHaox.png")</f>
        <v/>
      </c>
      <c r="C239" s="25" t="s">
        <v>51</v>
      </c>
      <c r="D239" s="15">
        <v>300.0</v>
      </c>
      <c r="E239" s="94" t="s">
        <v>6328</v>
      </c>
    </row>
    <row r="240" ht="56.25" customHeight="1">
      <c r="A240" s="23" t="s">
        <v>6336</v>
      </c>
      <c r="B240" s="15" t="str">
        <f>image("https://i.imgur.com/AbMKR16.png")</f>
        <v/>
      </c>
      <c r="C240" s="25" t="s">
        <v>51</v>
      </c>
      <c r="D240" s="15"/>
      <c r="E240" s="24" t="s">
        <v>6337</v>
      </c>
    </row>
    <row r="241" ht="56.25" customHeight="1">
      <c r="A241" s="23" t="s">
        <v>6338</v>
      </c>
      <c r="B241" s="15" t="str">
        <f>image("https://i.imgur.com/AVX7kNT.png")</f>
        <v/>
      </c>
      <c r="C241" s="25" t="s">
        <v>51</v>
      </c>
      <c r="D241" s="25" t="s">
        <v>83</v>
      </c>
      <c r="E241" s="94" t="s">
        <v>6339</v>
      </c>
    </row>
    <row r="242" ht="56.25" customHeight="1">
      <c r="A242" s="23" t="s">
        <v>6338</v>
      </c>
      <c r="B242" s="15" t="str">
        <f>image("https://i.imgur.com/iwRqfEI.png")</f>
        <v/>
      </c>
      <c r="C242" s="25" t="s">
        <v>51</v>
      </c>
      <c r="D242" s="25" t="s">
        <v>83</v>
      </c>
      <c r="E242" s="94" t="s">
        <v>6339</v>
      </c>
    </row>
    <row r="243" ht="56.25" customHeight="1">
      <c r="A243" s="23" t="s">
        <v>6338</v>
      </c>
      <c r="B243" s="15" t="str">
        <f>image("https://i.imgur.com/gPiohLc.png")</f>
        <v/>
      </c>
      <c r="C243" s="25" t="s">
        <v>51</v>
      </c>
      <c r="D243" s="25" t="s">
        <v>83</v>
      </c>
      <c r="E243" s="94" t="s">
        <v>6339</v>
      </c>
    </row>
    <row r="244" ht="56.25" customHeight="1">
      <c r="A244" s="23" t="s">
        <v>6338</v>
      </c>
      <c r="B244" s="15" t="str">
        <f>image("")</f>
        <v/>
      </c>
      <c r="C244" s="25" t="s">
        <v>51</v>
      </c>
      <c r="D244" s="25" t="s">
        <v>83</v>
      </c>
      <c r="E244" s="94"/>
    </row>
    <row r="245" ht="56.25" customHeight="1">
      <c r="A245" s="23" t="s">
        <v>6341</v>
      </c>
      <c r="B245" s="15" t="str">
        <f>image("https://i.imgur.com/98ep314.png")</f>
        <v/>
      </c>
      <c r="C245" s="25" t="s">
        <v>51</v>
      </c>
      <c r="D245" s="15">
        <v>40.0</v>
      </c>
      <c r="E245" s="24" t="s">
        <v>5945</v>
      </c>
    </row>
    <row r="246" ht="56.25" customHeight="1">
      <c r="A246" s="23" t="s">
        <v>6342</v>
      </c>
      <c r="B246" s="15" t="str">
        <f>image("https://i.imgur.com/dOf6Sm9.png")</f>
        <v/>
      </c>
      <c r="C246" s="25" t="s">
        <v>51</v>
      </c>
      <c r="D246" s="15">
        <v>40.0</v>
      </c>
      <c r="E246" s="24" t="s">
        <v>5945</v>
      </c>
    </row>
    <row r="247" ht="56.25" customHeight="1">
      <c r="A247" s="23" t="s">
        <v>6343</v>
      </c>
      <c r="B247" s="15" t="str">
        <f>image("https://i.imgur.com/00lwR4j.png")</f>
        <v/>
      </c>
      <c r="C247" s="25" t="s">
        <v>51</v>
      </c>
      <c r="D247" s="15">
        <v>40.0</v>
      </c>
      <c r="E247" s="24" t="s">
        <v>5945</v>
      </c>
    </row>
    <row r="248" ht="56.25" customHeight="1">
      <c r="A248" s="23" t="s">
        <v>6344</v>
      </c>
      <c r="B248" s="15" t="str">
        <f>image("https://i.imgur.com/Xkx5JDL.png")</f>
        <v/>
      </c>
      <c r="C248" s="25" t="s">
        <v>51</v>
      </c>
      <c r="D248" s="15">
        <v>40.0</v>
      </c>
      <c r="E248" s="24" t="s">
        <v>5945</v>
      </c>
    </row>
    <row r="249" ht="56.25" customHeight="1">
      <c r="A249" s="23" t="s">
        <v>6345</v>
      </c>
      <c r="B249" s="15" t="str">
        <f>image("https://i.imgur.com/UBFKBY0.png")</f>
        <v/>
      </c>
      <c r="C249" s="25" t="s">
        <v>51</v>
      </c>
      <c r="D249" s="15">
        <v>40.0</v>
      </c>
      <c r="E249" s="24" t="s">
        <v>5945</v>
      </c>
    </row>
    <row r="250" ht="56.25" customHeight="1">
      <c r="A250" s="23" t="s">
        <v>6346</v>
      </c>
      <c r="B250" s="15" t="str">
        <f>image("https://i.imgur.com/AsVC9u3.png")</f>
        <v/>
      </c>
      <c r="C250" s="25" t="s">
        <v>51</v>
      </c>
      <c r="D250" s="15">
        <v>40.0</v>
      </c>
      <c r="E250" s="24" t="s">
        <v>5945</v>
      </c>
    </row>
    <row r="251" ht="56.25" customHeight="1">
      <c r="A251" s="23" t="s">
        <v>6347</v>
      </c>
      <c r="B251" s="15" t="str">
        <f>image("https://i.imgur.com/0AWvKwg.png")</f>
        <v/>
      </c>
      <c r="C251" s="25" t="s">
        <v>51</v>
      </c>
      <c r="D251" s="15">
        <v>40.0</v>
      </c>
      <c r="E251" s="24" t="s">
        <v>5945</v>
      </c>
    </row>
    <row r="252" ht="56.25" customHeight="1">
      <c r="A252" s="23" t="s">
        <v>6348</v>
      </c>
      <c r="B252" s="15" t="str">
        <f>image("https://i.imgur.com/IHMXUnA.png")</f>
        <v/>
      </c>
      <c r="C252" s="25" t="s">
        <v>51</v>
      </c>
      <c r="D252" s="15">
        <v>40.0</v>
      </c>
      <c r="E252" s="24" t="s">
        <v>5945</v>
      </c>
    </row>
    <row r="253" ht="56.25" customHeight="1">
      <c r="A253" s="23" t="s">
        <v>6349</v>
      </c>
      <c r="B253" s="15" t="str">
        <f>image("https://i.imgur.com/vOp3jyJ.png")</f>
        <v/>
      </c>
      <c r="C253" s="25">
        <v>160.0</v>
      </c>
      <c r="D253" s="15">
        <v>40.0</v>
      </c>
      <c r="E253" s="24" t="s">
        <v>44</v>
      </c>
    </row>
    <row r="254" ht="56.25" customHeight="1">
      <c r="A254" s="23" t="s">
        <v>6350</v>
      </c>
      <c r="B254" s="15" t="str">
        <f>image("https://i.imgur.com/NUQEMgu.png")</f>
        <v/>
      </c>
      <c r="C254" s="15">
        <v>240.0</v>
      </c>
      <c r="D254" s="15">
        <v>60.0</v>
      </c>
      <c r="E254" s="94" t="s">
        <v>44</v>
      </c>
    </row>
    <row r="255" ht="56.25" customHeight="1">
      <c r="A255" s="23" t="s">
        <v>6351</v>
      </c>
      <c r="B255" s="15" t="str">
        <f>image("https://i.imgur.com/owY9Ipz.png")</f>
        <v/>
      </c>
      <c r="C255" s="25" t="s">
        <v>51</v>
      </c>
      <c r="D255" s="15">
        <v>40.0</v>
      </c>
      <c r="E255" s="94" t="s">
        <v>6174</v>
      </c>
    </row>
    <row r="256" ht="56.25" customHeight="1">
      <c r="A256" s="23" t="s">
        <v>6352</v>
      </c>
      <c r="B256" s="15" t="str">
        <f>image("https://i.imgur.com/NUQEMgu.png")</f>
        <v/>
      </c>
      <c r="C256" s="15">
        <v>240.0</v>
      </c>
      <c r="D256" s="15">
        <v>60.0</v>
      </c>
      <c r="E256" s="94" t="s">
        <v>44</v>
      </c>
    </row>
    <row r="257" ht="56.25" customHeight="1">
      <c r="A257" s="23" t="s">
        <v>6353</v>
      </c>
      <c r="B257" s="15" t="str">
        <f>image("https://i.imgur.com/DfQ6XxZ.png")</f>
        <v/>
      </c>
      <c r="C257" s="25" t="s">
        <v>51</v>
      </c>
      <c r="D257" s="15">
        <v>40.0</v>
      </c>
      <c r="E257" s="94" t="s">
        <v>6174</v>
      </c>
    </row>
    <row r="258" ht="56.25" customHeight="1">
      <c r="A258" s="23" t="s">
        <v>6354</v>
      </c>
      <c r="B258" s="15" t="str">
        <f>image("https://i.imgur.com/NUQEMgu.png")</f>
        <v/>
      </c>
      <c r="C258" s="15">
        <v>240.0</v>
      </c>
      <c r="D258" s="15">
        <v>60.0</v>
      </c>
      <c r="E258" s="94" t="s">
        <v>44</v>
      </c>
    </row>
    <row r="259" ht="56.25" customHeight="1">
      <c r="A259" s="23" t="s">
        <v>6355</v>
      </c>
      <c r="B259" s="15" t="str">
        <f>image("https://i.imgur.com/PbIoBfx.png")</f>
        <v/>
      </c>
      <c r="C259" s="25" t="s">
        <v>51</v>
      </c>
      <c r="D259" s="15">
        <v>40.0</v>
      </c>
      <c r="E259" s="94" t="s">
        <v>6174</v>
      </c>
    </row>
    <row r="260" ht="56.25" customHeight="1">
      <c r="A260" s="23" t="s">
        <v>6357</v>
      </c>
      <c r="B260" s="15" t="str">
        <f>image("https://i.imgur.com/NUQEMgu.png")</f>
        <v/>
      </c>
      <c r="C260" s="15">
        <v>240.0</v>
      </c>
      <c r="D260" s="15">
        <v>60.0</v>
      </c>
      <c r="E260" s="94" t="s">
        <v>44</v>
      </c>
    </row>
    <row r="261" ht="56.25" customHeight="1">
      <c r="A261" s="23" t="s">
        <v>6358</v>
      </c>
      <c r="B261" s="15" t="str">
        <f>image("https://i.imgur.com/zAYqa1u.png")</f>
        <v/>
      </c>
      <c r="C261" s="25" t="s">
        <v>51</v>
      </c>
      <c r="D261" s="15">
        <v>40.0</v>
      </c>
      <c r="E261" s="94" t="s">
        <v>6174</v>
      </c>
    </row>
    <row r="262" ht="56.25" customHeight="1">
      <c r="A262" s="23" t="s">
        <v>6359</v>
      </c>
      <c r="B262" s="15" t="str">
        <f>image("https://i.imgur.com/NUQEMgu.png")</f>
        <v/>
      </c>
      <c r="C262" s="15">
        <v>240.0</v>
      </c>
      <c r="D262" s="15">
        <v>60.0</v>
      </c>
      <c r="E262" s="94" t="s">
        <v>44</v>
      </c>
    </row>
    <row r="263" ht="56.25" customHeight="1">
      <c r="A263" s="23" t="s">
        <v>6360</v>
      </c>
      <c r="B263" s="15" t="str">
        <f>image("https://i.imgur.com/WbH1f0y.png")</f>
        <v/>
      </c>
      <c r="C263" s="25" t="s">
        <v>51</v>
      </c>
      <c r="D263" s="15">
        <v>40.0</v>
      </c>
      <c r="E263" s="94" t="s">
        <v>6174</v>
      </c>
    </row>
    <row r="264" ht="56.25" customHeight="1">
      <c r="A264" s="23" t="s">
        <v>6361</v>
      </c>
      <c r="B264" s="15" t="str">
        <f>image("https://i.imgur.com/NUQEMgu.png")</f>
        <v/>
      </c>
      <c r="C264" s="15">
        <v>240.0</v>
      </c>
      <c r="D264" s="15">
        <v>60.0</v>
      </c>
      <c r="E264" s="94" t="s">
        <v>44</v>
      </c>
    </row>
    <row r="265" ht="56.25" customHeight="1">
      <c r="A265" s="23" t="s">
        <v>6362</v>
      </c>
      <c r="B265" s="15" t="str">
        <f>image("https://i.imgur.com/Xacr6JK.png")</f>
        <v/>
      </c>
      <c r="C265" s="25" t="s">
        <v>51</v>
      </c>
      <c r="D265" s="15">
        <v>40.0</v>
      </c>
      <c r="E265" s="94" t="s">
        <v>6174</v>
      </c>
    </row>
    <row r="266" ht="56.25" customHeight="1">
      <c r="A266" s="23" t="s">
        <v>6363</v>
      </c>
      <c r="B266" s="15" t="str">
        <f>image("https://i.imgur.com/NUQEMgu.png")</f>
        <v/>
      </c>
      <c r="C266" s="15">
        <v>240.0</v>
      </c>
      <c r="D266" s="15">
        <v>60.0</v>
      </c>
      <c r="E266" s="94" t="s">
        <v>44</v>
      </c>
    </row>
    <row r="267" ht="56.25" customHeight="1">
      <c r="A267" s="23" t="s">
        <v>6364</v>
      </c>
      <c r="B267" s="15" t="str">
        <f>image("https://i.imgur.com/icXqqff.png")</f>
        <v/>
      </c>
      <c r="C267" s="25" t="s">
        <v>51</v>
      </c>
      <c r="D267" s="15">
        <v>40.0</v>
      </c>
      <c r="E267" s="94" t="s">
        <v>6174</v>
      </c>
    </row>
    <row r="268" ht="56.25" customHeight="1">
      <c r="A268" s="23" t="s">
        <v>6365</v>
      </c>
      <c r="B268" s="15" t="str">
        <f>image("https://i.imgur.com/NUQEMgu.png")</f>
        <v/>
      </c>
      <c r="C268" s="15">
        <v>240.0</v>
      </c>
      <c r="D268" s="15">
        <v>60.0</v>
      </c>
      <c r="E268" s="94" t="s">
        <v>44</v>
      </c>
    </row>
    <row r="269" ht="56.25" customHeight="1">
      <c r="A269" s="23" t="s">
        <v>6366</v>
      </c>
      <c r="B269" s="15" t="str">
        <f>image("https://i.imgur.com/LUkHAFI.png")</f>
        <v/>
      </c>
      <c r="C269" s="25" t="s">
        <v>51</v>
      </c>
      <c r="D269" s="15">
        <v>40.0</v>
      </c>
      <c r="E269" s="94" t="s">
        <v>6174</v>
      </c>
    </row>
    <row r="270" ht="56.25" customHeight="1">
      <c r="A270" s="23" t="s">
        <v>6367</v>
      </c>
      <c r="B270" s="15" t="str">
        <f>image("https://i.imgur.com/ma78edH.png")</f>
        <v/>
      </c>
      <c r="C270" s="15"/>
      <c r="D270" s="25" t="s">
        <v>83</v>
      </c>
      <c r="E270" s="94" t="s">
        <v>44</v>
      </c>
    </row>
    <row r="271" ht="56.25" customHeight="1">
      <c r="A271" s="23" t="s">
        <v>6368</v>
      </c>
      <c r="B271" s="15" t="str">
        <f>image("https://i.imgur.com/UsFMvYc.png")</f>
        <v/>
      </c>
      <c r="C271" s="25" t="s">
        <v>51</v>
      </c>
      <c r="D271" s="25" t="s">
        <v>83</v>
      </c>
      <c r="E271" s="24" t="s">
        <v>6369</v>
      </c>
    </row>
    <row r="272" ht="56.25" customHeight="1">
      <c r="A272" s="23" t="s">
        <v>6370</v>
      </c>
      <c r="B272" s="15" t="str">
        <f>image("https://i.imgur.com/aYj87TC.png")</f>
        <v/>
      </c>
      <c r="C272" s="25" t="s">
        <v>51</v>
      </c>
      <c r="D272" s="15">
        <v>60.0</v>
      </c>
      <c r="E272" s="24" t="s">
        <v>6112</v>
      </c>
    </row>
    <row r="273" ht="56.25" customHeight="1">
      <c r="A273" s="23" t="s">
        <v>6372</v>
      </c>
      <c r="B273" s="15" t="str">
        <f>image("https://i.imgur.com/XXGgEFW.png")</f>
        <v/>
      </c>
      <c r="C273" s="25" t="s">
        <v>51</v>
      </c>
      <c r="D273" s="15"/>
      <c r="E273" s="24" t="s">
        <v>6373</v>
      </c>
    </row>
    <row r="274" ht="56.25" customHeight="1">
      <c r="A274" s="23" t="s">
        <v>6374</v>
      </c>
      <c r="B274" s="15" t="str">
        <f>image("https://i.imgur.com/knFsput.png")</f>
        <v/>
      </c>
      <c r="C274" s="25" t="s">
        <v>51</v>
      </c>
      <c r="D274" s="15">
        <v>40.0</v>
      </c>
      <c r="E274" s="24" t="s">
        <v>5945</v>
      </c>
    </row>
    <row r="275" ht="56.25" customHeight="1">
      <c r="A275" s="23" t="s">
        <v>6375</v>
      </c>
      <c r="B275" s="15" t="str">
        <f>image("https://i.imgur.com/AhGFSi4.png")</f>
        <v/>
      </c>
      <c r="C275" s="25" t="s">
        <v>51</v>
      </c>
      <c r="D275" s="15">
        <v>40.0</v>
      </c>
      <c r="E275" s="24" t="s">
        <v>5945</v>
      </c>
    </row>
    <row r="276" ht="56.25" customHeight="1">
      <c r="A276" s="23" t="s">
        <v>6376</v>
      </c>
      <c r="B276" s="15" t="str">
        <f>image("https://i.imgur.com/IrTW55t.png")</f>
        <v/>
      </c>
      <c r="C276" s="25" t="s">
        <v>51</v>
      </c>
      <c r="D276" s="15">
        <v>40.0</v>
      </c>
      <c r="E276" s="24" t="s">
        <v>5945</v>
      </c>
    </row>
    <row r="277" ht="56.25" customHeight="1">
      <c r="A277" s="23" t="s">
        <v>6377</v>
      </c>
      <c r="B277" s="15" t="str">
        <f>image("https://i.imgur.com/9RvRysa.png")</f>
        <v/>
      </c>
      <c r="C277" s="25" t="s">
        <v>51</v>
      </c>
      <c r="D277" s="15">
        <v>40.0</v>
      </c>
      <c r="E277" s="24" t="s">
        <v>5945</v>
      </c>
    </row>
    <row r="278" ht="56.25" customHeight="1">
      <c r="A278" s="23" t="s">
        <v>6378</v>
      </c>
      <c r="B278" s="15" t="str">
        <f>image("https://i.imgur.com/VQrx2nH.png")</f>
        <v/>
      </c>
      <c r="C278" s="25" t="s">
        <v>51</v>
      </c>
      <c r="D278" s="15">
        <v>40.0</v>
      </c>
      <c r="E278" s="24" t="s">
        <v>5945</v>
      </c>
    </row>
    <row r="279" ht="56.25" customHeight="1">
      <c r="A279" s="23" t="s">
        <v>6379</v>
      </c>
      <c r="B279" s="15" t="str">
        <f>image("https://i.imgur.com/MaGu7ic.png")</f>
        <v/>
      </c>
      <c r="C279" s="25" t="s">
        <v>51</v>
      </c>
      <c r="D279" s="15">
        <v>40.0</v>
      </c>
      <c r="E279" s="24" t="s">
        <v>5945</v>
      </c>
    </row>
    <row r="280" ht="56.25" customHeight="1">
      <c r="A280" s="23" t="s">
        <v>6380</v>
      </c>
      <c r="B280" s="15" t="str">
        <f>image("https://i.imgur.com/AHnM3bt.png")</f>
        <v/>
      </c>
      <c r="C280" s="25" t="s">
        <v>51</v>
      </c>
      <c r="D280" s="15">
        <v>40.0</v>
      </c>
      <c r="E280" s="24" t="s">
        <v>5945</v>
      </c>
    </row>
    <row r="281" ht="56.25" customHeight="1">
      <c r="A281" s="23" t="s">
        <v>6381</v>
      </c>
      <c r="B281" s="15" t="str">
        <f>image("https://i.imgur.com/EGF741Y.png")</f>
        <v/>
      </c>
      <c r="C281" s="25">
        <v>160.0</v>
      </c>
      <c r="D281" s="15">
        <v>40.0</v>
      </c>
      <c r="E281" s="24" t="s">
        <v>44</v>
      </c>
    </row>
    <row r="282" ht="56.25" customHeight="1">
      <c r="A282" s="23" t="s">
        <v>6382</v>
      </c>
      <c r="B282" s="15" t="str">
        <f>image("https://i.imgur.com/WO8a0Kg.png")</f>
        <v/>
      </c>
      <c r="C282" s="15">
        <v>240.0</v>
      </c>
      <c r="D282" s="15">
        <v>60.0</v>
      </c>
      <c r="E282" s="94" t="s">
        <v>44</v>
      </c>
    </row>
    <row r="283" ht="56.25" customHeight="1">
      <c r="A283" s="23" t="s">
        <v>6383</v>
      </c>
      <c r="B283" s="15" t="str">
        <f>image("https://i.imgur.com/FW4GIKj.png")</f>
        <v/>
      </c>
      <c r="C283" s="25" t="s">
        <v>51</v>
      </c>
      <c r="D283" s="15">
        <v>40.0</v>
      </c>
      <c r="E283" s="94" t="s">
        <v>6174</v>
      </c>
    </row>
    <row r="284" ht="56.25" customHeight="1">
      <c r="A284" s="23" t="s">
        <v>6384</v>
      </c>
      <c r="B284" s="15" t="str">
        <f>image("https://i.imgur.com/WO8a0Kg.png")</f>
        <v/>
      </c>
      <c r="C284" s="15">
        <v>240.0</v>
      </c>
      <c r="D284" s="15">
        <v>60.0</v>
      </c>
      <c r="E284" s="94" t="s">
        <v>44</v>
      </c>
    </row>
    <row r="285" ht="56.25" customHeight="1">
      <c r="A285" s="23" t="s">
        <v>6385</v>
      </c>
      <c r="B285" s="15" t="str">
        <f>image("https://i.imgur.com/fqKtiIj.png")</f>
        <v/>
      </c>
      <c r="C285" s="25" t="s">
        <v>51</v>
      </c>
      <c r="D285" s="15">
        <v>40.0</v>
      </c>
      <c r="E285" s="94" t="s">
        <v>6174</v>
      </c>
    </row>
    <row r="286" ht="56.25" customHeight="1">
      <c r="A286" s="23" t="s">
        <v>6386</v>
      </c>
      <c r="B286" s="15" t="str">
        <f>image("https://i.imgur.com/WO8a0Kg.png")</f>
        <v/>
      </c>
      <c r="C286" s="15">
        <v>240.0</v>
      </c>
      <c r="D286" s="15">
        <v>60.0</v>
      </c>
      <c r="E286" s="94" t="s">
        <v>44</v>
      </c>
    </row>
    <row r="287" ht="56.25" customHeight="1">
      <c r="A287" s="23" t="s">
        <v>6387</v>
      </c>
      <c r="B287" s="15" t="str">
        <f>image("https://i.imgur.com/Pg2UA6D.png")</f>
        <v/>
      </c>
      <c r="C287" s="25" t="s">
        <v>51</v>
      </c>
      <c r="D287" s="15">
        <v>40.0</v>
      </c>
      <c r="E287" s="94" t="s">
        <v>6174</v>
      </c>
    </row>
    <row r="288" ht="56.25" customHeight="1">
      <c r="A288" s="23" t="s">
        <v>6389</v>
      </c>
      <c r="B288" s="15" t="str">
        <f>image("https://i.imgur.com/WO8a0Kg.png")</f>
        <v/>
      </c>
      <c r="C288" s="15">
        <v>240.0</v>
      </c>
      <c r="D288" s="15">
        <v>60.0</v>
      </c>
      <c r="E288" s="94" t="s">
        <v>44</v>
      </c>
    </row>
    <row r="289" ht="56.25" customHeight="1">
      <c r="A289" s="23" t="s">
        <v>6390</v>
      </c>
      <c r="B289" s="15" t="str">
        <f>image("https://i.imgur.com/jstJuSE.png")</f>
        <v/>
      </c>
      <c r="C289" s="25" t="s">
        <v>51</v>
      </c>
      <c r="D289" s="15">
        <v>40.0</v>
      </c>
      <c r="E289" s="94" t="s">
        <v>6174</v>
      </c>
    </row>
    <row r="290" ht="56.25" customHeight="1">
      <c r="A290" s="23" t="s">
        <v>6391</v>
      </c>
      <c r="B290" s="15" t="str">
        <f>image("https://i.imgur.com/WO8a0Kg.png")</f>
        <v/>
      </c>
      <c r="C290" s="15">
        <v>240.0</v>
      </c>
      <c r="D290" s="15">
        <v>60.0</v>
      </c>
      <c r="E290" s="94" t="s">
        <v>44</v>
      </c>
    </row>
    <row r="291" ht="56.25" customHeight="1">
      <c r="A291" s="23" t="s">
        <v>6392</v>
      </c>
      <c r="B291" s="15" t="str">
        <f>image("https://i.imgur.com/Brr59Np.png")</f>
        <v/>
      </c>
      <c r="C291" s="25" t="s">
        <v>51</v>
      </c>
      <c r="D291" s="15">
        <v>40.0</v>
      </c>
      <c r="E291" s="94" t="s">
        <v>6174</v>
      </c>
    </row>
    <row r="292" ht="56.25" customHeight="1">
      <c r="A292" s="23" t="s">
        <v>6393</v>
      </c>
      <c r="B292" s="15" t="str">
        <f>image("https://i.imgur.com/WO8a0Kg.png")</f>
        <v/>
      </c>
      <c r="C292" s="15">
        <v>240.0</v>
      </c>
      <c r="D292" s="15">
        <v>60.0</v>
      </c>
      <c r="E292" s="94" t="s">
        <v>44</v>
      </c>
    </row>
    <row r="293" ht="56.25" customHeight="1">
      <c r="A293" s="23" t="s">
        <v>6394</v>
      </c>
      <c r="B293" s="15" t="str">
        <f>image("https://i.imgur.com/syp5DZO.png")</f>
        <v/>
      </c>
      <c r="C293" s="25" t="s">
        <v>51</v>
      </c>
      <c r="D293" s="15">
        <v>40.0</v>
      </c>
      <c r="E293" s="94" t="s">
        <v>6174</v>
      </c>
    </row>
    <row r="294" ht="56.25" customHeight="1">
      <c r="A294" s="23" t="s">
        <v>6395</v>
      </c>
      <c r="B294" s="15" t="str">
        <f>image("https://i.imgur.com/WO8a0Kg.png")</f>
        <v/>
      </c>
      <c r="C294" s="15">
        <v>240.0</v>
      </c>
      <c r="D294" s="15">
        <v>60.0</v>
      </c>
      <c r="E294" s="94" t="s">
        <v>44</v>
      </c>
    </row>
    <row r="295" ht="56.25" customHeight="1">
      <c r="A295" s="23" t="s">
        <v>6396</v>
      </c>
      <c r="B295" s="15" t="str">
        <f>image("https://i.imgur.com/XYoBPHj.png")</f>
        <v/>
      </c>
      <c r="C295" s="25" t="s">
        <v>51</v>
      </c>
      <c r="D295" s="15">
        <v>40.0</v>
      </c>
      <c r="E295" s="94" t="s">
        <v>6174</v>
      </c>
    </row>
    <row r="296" ht="56.25" customHeight="1">
      <c r="A296" s="23" t="s">
        <v>6397</v>
      </c>
      <c r="B296" s="15" t="str">
        <f>image("https://i.imgur.com/0JR0pFW.png")</f>
        <v/>
      </c>
      <c r="C296" s="25" t="s">
        <v>51</v>
      </c>
      <c r="D296" s="15">
        <v>200.0</v>
      </c>
      <c r="E296" s="94" t="s">
        <v>6398</v>
      </c>
    </row>
  </sheetData>
  <customSheetViews>
    <customSheetView guid="{11AB3FAE-053A-40A1-A322-CF1AF7514E6A}" filter="1" showAutoFilter="1">
      <autoFilter ref="$A$1:$E$296">
        <filterColumn colId="3">
          <filters blank="1"/>
        </filterColumn>
      </autoFilter>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14"/>
    <col customWidth="1" min="2" max="2" width="11.57"/>
    <col customWidth="1" min="3" max="3" width="10.0"/>
    <col customWidth="1" min="4" max="4" width="7.0"/>
    <col customWidth="1" min="5" max="5" width="10.57"/>
    <col customWidth="1" min="6" max="6" width="7.29"/>
    <col customWidth="1" min="7" max="7" width="6.14"/>
    <col customWidth="1" min="8" max="8" width="14.71"/>
    <col customWidth="1" min="9" max="18" width="12.43"/>
    <col customWidth="1" min="19" max="25" width="23.71"/>
  </cols>
  <sheetData>
    <row r="1" ht="30.0" customHeight="1">
      <c r="A1" s="26" t="s">
        <v>0</v>
      </c>
      <c r="B1" s="26" t="s">
        <v>1</v>
      </c>
      <c r="C1" s="27" t="s">
        <v>3</v>
      </c>
      <c r="D1" s="26" t="s">
        <v>70</v>
      </c>
      <c r="E1" s="27" t="s">
        <v>71</v>
      </c>
      <c r="F1" s="26" t="s">
        <v>72</v>
      </c>
      <c r="G1" s="26" t="s">
        <v>4</v>
      </c>
      <c r="H1" s="26" t="s">
        <v>5</v>
      </c>
      <c r="I1" s="26" t="s">
        <v>73</v>
      </c>
      <c r="J1" s="26" t="s">
        <v>6</v>
      </c>
      <c r="K1" s="26" t="s">
        <v>7</v>
      </c>
      <c r="L1" s="26" t="s">
        <v>12</v>
      </c>
      <c r="M1" s="26" t="s">
        <v>19</v>
      </c>
      <c r="N1" s="26" t="s">
        <v>20</v>
      </c>
      <c r="O1" s="26" t="s">
        <v>74</v>
      </c>
      <c r="P1" s="26" t="s">
        <v>24</v>
      </c>
      <c r="Q1" s="26" t="s">
        <v>27</v>
      </c>
      <c r="R1" s="26" t="s">
        <v>11</v>
      </c>
      <c r="S1" s="26" t="s">
        <v>29</v>
      </c>
      <c r="T1" s="26" t="s">
        <v>32</v>
      </c>
      <c r="U1" s="26" t="s">
        <v>75</v>
      </c>
      <c r="V1" s="26" t="s">
        <v>18</v>
      </c>
      <c r="W1" s="27" t="s">
        <v>76</v>
      </c>
      <c r="X1" s="27" t="s">
        <v>77</v>
      </c>
      <c r="Y1" s="26" t="s">
        <v>8</v>
      </c>
    </row>
    <row r="2" ht="56.25" customHeight="1">
      <c r="A2" s="28" t="s">
        <v>78</v>
      </c>
      <c r="B2" s="29" t="str">
        <f>IMAGE("https://storage.googleapis.com/acdb/wall-mounted/FtrAirconditioner_Remake_0_0.png")</f>
        <v/>
      </c>
      <c r="C2" s="28" t="s">
        <v>82</v>
      </c>
      <c r="D2" s="30" t="s">
        <v>83</v>
      </c>
      <c r="E2" s="28" t="s">
        <v>83</v>
      </c>
      <c r="F2" s="30" t="s">
        <v>83</v>
      </c>
      <c r="G2" s="28" t="s">
        <v>40</v>
      </c>
      <c r="H2" s="28" t="s">
        <v>53</v>
      </c>
      <c r="I2" s="28" t="s">
        <v>83</v>
      </c>
      <c r="J2" s="28">
        <v>63000.0</v>
      </c>
      <c r="K2" s="28">
        <v>15750.0</v>
      </c>
      <c r="L2" s="28" t="s">
        <v>88</v>
      </c>
      <c r="M2" s="28" t="s">
        <v>44</v>
      </c>
      <c r="N2" s="28" t="s">
        <v>65</v>
      </c>
      <c r="O2" s="31" t="s">
        <v>89</v>
      </c>
      <c r="P2" s="28" t="s">
        <v>61</v>
      </c>
      <c r="Q2" s="28" t="s">
        <v>90</v>
      </c>
      <c r="R2" s="28"/>
      <c r="S2" s="28"/>
      <c r="T2" s="28" t="s">
        <v>53</v>
      </c>
      <c r="U2" s="28" t="s">
        <v>41</v>
      </c>
      <c r="V2" s="28" t="s">
        <v>43</v>
      </c>
      <c r="W2" s="28" t="s">
        <v>91</v>
      </c>
      <c r="X2" s="28" t="s">
        <v>92</v>
      </c>
      <c r="Y2" s="28">
        <v>929.0</v>
      </c>
    </row>
    <row r="3" ht="56.25" customHeight="1">
      <c r="A3" s="28" t="s">
        <v>78</v>
      </c>
      <c r="B3" s="29" t="str">
        <f>IMAGE("https://storage.googleapis.com/acdb/wall-mounted/FtrAirconditioner_Remake_1_0.png")</f>
        <v/>
      </c>
      <c r="C3" s="28" t="s">
        <v>94</v>
      </c>
      <c r="D3" s="30" t="s">
        <v>83</v>
      </c>
      <c r="E3" s="28" t="s">
        <v>83</v>
      </c>
      <c r="F3" s="30" t="s">
        <v>83</v>
      </c>
      <c r="G3" s="28" t="s">
        <v>40</v>
      </c>
      <c r="H3" s="28" t="s">
        <v>40</v>
      </c>
      <c r="I3" s="28" t="s">
        <v>83</v>
      </c>
      <c r="J3" s="28">
        <v>63000.0</v>
      </c>
      <c r="K3" s="28">
        <v>15750.0</v>
      </c>
      <c r="L3" s="28" t="s">
        <v>88</v>
      </c>
      <c r="M3" s="28" t="s">
        <v>44</v>
      </c>
      <c r="N3" s="28" t="s">
        <v>65</v>
      </c>
      <c r="O3" s="31" t="s">
        <v>89</v>
      </c>
      <c r="P3" s="28" t="s">
        <v>61</v>
      </c>
      <c r="Q3" s="28" t="s">
        <v>90</v>
      </c>
      <c r="R3" s="28"/>
      <c r="S3" s="28"/>
      <c r="T3" s="28" t="s">
        <v>53</v>
      </c>
      <c r="U3" s="28" t="s">
        <v>41</v>
      </c>
      <c r="V3" s="28" t="s">
        <v>43</v>
      </c>
      <c r="W3" s="28" t="s">
        <v>96</v>
      </c>
      <c r="X3" s="28" t="s">
        <v>97</v>
      </c>
      <c r="Y3" s="28">
        <v>929.0</v>
      </c>
    </row>
    <row r="4" ht="69.0" customHeight="1">
      <c r="A4" s="28" t="s">
        <v>78</v>
      </c>
      <c r="B4" s="29" t="str">
        <f>IMAGE("https://storage.googleapis.com/acdb/wall-mounted/FtrAirconditioner_Remake_2_0.png")</f>
        <v/>
      </c>
      <c r="C4" s="28" t="s">
        <v>99</v>
      </c>
      <c r="D4" s="30" t="s">
        <v>83</v>
      </c>
      <c r="E4" s="28" t="s">
        <v>83</v>
      </c>
      <c r="F4" s="30" t="s">
        <v>83</v>
      </c>
      <c r="G4" s="28" t="s">
        <v>40</v>
      </c>
      <c r="H4" s="28" t="s">
        <v>40</v>
      </c>
      <c r="I4" s="28" t="s">
        <v>83</v>
      </c>
      <c r="J4" s="28">
        <v>63000.0</v>
      </c>
      <c r="K4" s="28">
        <v>15750.0</v>
      </c>
      <c r="L4" s="28" t="s">
        <v>88</v>
      </c>
      <c r="M4" s="28" t="s">
        <v>44</v>
      </c>
      <c r="N4" s="28" t="s">
        <v>65</v>
      </c>
      <c r="O4" s="31" t="s">
        <v>89</v>
      </c>
      <c r="P4" s="28" t="s">
        <v>61</v>
      </c>
      <c r="Q4" s="28" t="s">
        <v>90</v>
      </c>
      <c r="R4" s="28"/>
      <c r="S4" s="28"/>
      <c r="T4" s="28" t="s">
        <v>53</v>
      </c>
      <c r="U4" s="28" t="s">
        <v>41</v>
      </c>
      <c r="V4" s="28" t="s">
        <v>43</v>
      </c>
      <c r="W4" s="28" t="s">
        <v>102</v>
      </c>
      <c r="X4" s="28" t="s">
        <v>103</v>
      </c>
      <c r="Y4" s="28">
        <v>929.0</v>
      </c>
    </row>
    <row r="5" ht="56.25" customHeight="1">
      <c r="A5" s="28" t="s">
        <v>78</v>
      </c>
      <c r="B5" s="29" t="str">
        <f>IMAGE("https://storage.googleapis.com/acdb/wall-mounted/FtrAirconditioner_Remake_3_0.png")</f>
        <v/>
      </c>
      <c r="C5" s="28" t="s">
        <v>107</v>
      </c>
      <c r="D5" s="30" t="s">
        <v>83</v>
      </c>
      <c r="E5" s="28" t="s">
        <v>83</v>
      </c>
      <c r="F5" s="30" t="s">
        <v>83</v>
      </c>
      <c r="G5" s="28" t="s">
        <v>40</v>
      </c>
      <c r="H5" s="28" t="s">
        <v>40</v>
      </c>
      <c r="I5" s="28" t="s">
        <v>83</v>
      </c>
      <c r="J5" s="28">
        <v>63000.0</v>
      </c>
      <c r="K5" s="28">
        <v>15750.0</v>
      </c>
      <c r="L5" s="28" t="s">
        <v>88</v>
      </c>
      <c r="M5" s="28" t="s">
        <v>44</v>
      </c>
      <c r="N5" s="28" t="s">
        <v>65</v>
      </c>
      <c r="O5" s="31" t="s">
        <v>89</v>
      </c>
      <c r="P5" s="28" t="s">
        <v>61</v>
      </c>
      <c r="Q5" s="28" t="s">
        <v>90</v>
      </c>
      <c r="R5" s="28"/>
      <c r="S5" s="28"/>
      <c r="T5" s="28" t="s">
        <v>53</v>
      </c>
      <c r="U5" s="28" t="s">
        <v>41</v>
      </c>
      <c r="V5" s="28" t="s">
        <v>43</v>
      </c>
      <c r="W5" s="28" t="s">
        <v>109</v>
      </c>
      <c r="X5" s="28" t="s">
        <v>110</v>
      </c>
      <c r="Y5" s="28">
        <v>929.0</v>
      </c>
    </row>
    <row r="6" ht="56.25" customHeight="1">
      <c r="A6" s="28" t="s">
        <v>78</v>
      </c>
      <c r="B6" s="29" t="str">
        <f>IMAGE("https://storage.googleapis.com/acdb/wall-mounted/FtrAirconditioner_Remake_4_0.png")</f>
        <v/>
      </c>
      <c r="C6" s="28" t="s">
        <v>112</v>
      </c>
      <c r="D6" s="30" t="s">
        <v>83</v>
      </c>
      <c r="E6" s="28" t="s">
        <v>83</v>
      </c>
      <c r="F6" s="30" t="s">
        <v>83</v>
      </c>
      <c r="G6" s="28" t="s">
        <v>40</v>
      </c>
      <c r="H6" s="28" t="s">
        <v>40</v>
      </c>
      <c r="I6" s="28" t="s">
        <v>83</v>
      </c>
      <c r="J6" s="28">
        <v>63000.0</v>
      </c>
      <c r="K6" s="28">
        <v>15750.0</v>
      </c>
      <c r="L6" s="28" t="s">
        <v>88</v>
      </c>
      <c r="M6" s="28" t="s">
        <v>44</v>
      </c>
      <c r="N6" s="28" t="s">
        <v>65</v>
      </c>
      <c r="O6" s="31" t="s">
        <v>89</v>
      </c>
      <c r="P6" s="28" t="s">
        <v>61</v>
      </c>
      <c r="Q6" s="28" t="s">
        <v>90</v>
      </c>
      <c r="R6" s="28"/>
      <c r="S6" s="28"/>
      <c r="T6" s="28" t="s">
        <v>53</v>
      </c>
      <c r="U6" s="28" t="s">
        <v>41</v>
      </c>
      <c r="V6" s="28" t="s">
        <v>43</v>
      </c>
      <c r="W6" s="28" t="s">
        <v>114</v>
      </c>
      <c r="X6" s="28" t="s">
        <v>115</v>
      </c>
      <c r="Y6" s="28">
        <v>929.0</v>
      </c>
    </row>
    <row r="7" ht="56.25" customHeight="1">
      <c r="A7" s="28" t="s">
        <v>78</v>
      </c>
      <c r="B7" s="29" t="str">
        <f>IMAGE("https://storage.googleapis.com/acdb/wall-mounted/FtrAirconditioner_Remake_5_0.png")</f>
        <v/>
      </c>
      <c r="C7" s="28" t="s">
        <v>118</v>
      </c>
      <c r="D7" s="30" t="s">
        <v>83</v>
      </c>
      <c r="E7" s="28" t="s">
        <v>83</v>
      </c>
      <c r="F7" s="30" t="s">
        <v>83</v>
      </c>
      <c r="G7" s="28" t="s">
        <v>40</v>
      </c>
      <c r="H7" s="28" t="s">
        <v>40</v>
      </c>
      <c r="I7" s="28" t="s">
        <v>83</v>
      </c>
      <c r="J7" s="28">
        <v>63000.0</v>
      </c>
      <c r="K7" s="28">
        <v>15750.0</v>
      </c>
      <c r="L7" s="28" t="s">
        <v>88</v>
      </c>
      <c r="M7" s="28" t="s">
        <v>44</v>
      </c>
      <c r="N7" s="28" t="s">
        <v>65</v>
      </c>
      <c r="O7" s="31" t="s">
        <v>89</v>
      </c>
      <c r="P7" s="28" t="s">
        <v>61</v>
      </c>
      <c r="Q7" s="28" t="s">
        <v>90</v>
      </c>
      <c r="R7" s="28"/>
      <c r="S7" s="28"/>
      <c r="T7" s="28" t="s">
        <v>53</v>
      </c>
      <c r="U7" s="28" t="s">
        <v>41</v>
      </c>
      <c r="V7" s="28" t="s">
        <v>43</v>
      </c>
      <c r="W7" s="28" t="s">
        <v>119</v>
      </c>
      <c r="X7" s="28" t="s">
        <v>120</v>
      </c>
      <c r="Y7" s="28">
        <v>929.0</v>
      </c>
    </row>
    <row r="8" ht="56.25" customHeight="1">
      <c r="A8" s="28" t="s">
        <v>121</v>
      </c>
      <c r="B8" s="29" t="str">
        <f>IMAGE("https://storage.googleapis.com/acdb/wall-mounted/FtrAntiquePhoneW_Remake_0_0.png")</f>
        <v/>
      </c>
      <c r="C8" s="28" t="s">
        <v>118</v>
      </c>
      <c r="D8" s="30" t="s">
        <v>83</v>
      </c>
      <c r="E8" s="28" t="s">
        <v>83</v>
      </c>
      <c r="F8" s="30" t="s">
        <v>83</v>
      </c>
      <c r="G8" s="28" t="s">
        <v>40</v>
      </c>
      <c r="H8" s="28" t="s">
        <v>40</v>
      </c>
      <c r="I8" s="28" t="s">
        <v>83</v>
      </c>
      <c r="J8" s="28">
        <v>16000.0</v>
      </c>
      <c r="K8" s="28">
        <v>4000.0</v>
      </c>
      <c r="L8" s="28" t="s">
        <v>123</v>
      </c>
      <c r="M8" s="28" t="s">
        <v>44</v>
      </c>
      <c r="N8" s="28" t="s">
        <v>65</v>
      </c>
      <c r="O8" s="31" t="s">
        <v>89</v>
      </c>
      <c r="P8" s="28" t="s">
        <v>60</v>
      </c>
      <c r="Q8" s="28" t="s">
        <v>62</v>
      </c>
      <c r="R8" s="28" t="s">
        <v>104</v>
      </c>
      <c r="S8" s="28"/>
      <c r="T8" s="28" t="s">
        <v>40</v>
      </c>
      <c r="U8" s="28" t="s">
        <v>41</v>
      </c>
      <c r="V8" s="28" t="s">
        <v>43</v>
      </c>
      <c r="W8" s="28" t="s">
        <v>125</v>
      </c>
      <c r="X8" s="28" t="s">
        <v>92</v>
      </c>
      <c r="Y8" s="28">
        <v>3953.0</v>
      </c>
    </row>
    <row r="9" ht="56.25" customHeight="1">
      <c r="A9" s="28" t="s">
        <v>121</v>
      </c>
      <c r="B9" s="29" t="str">
        <f>IMAGE("https://storage.googleapis.com/acdb/wall-mounted/FtrAntiquePhoneW_Remake_1_0.png")</f>
        <v/>
      </c>
      <c r="C9" s="28" t="s">
        <v>126</v>
      </c>
      <c r="D9" s="30" t="s">
        <v>83</v>
      </c>
      <c r="E9" s="28" t="s">
        <v>83</v>
      </c>
      <c r="F9" s="30" t="s">
        <v>83</v>
      </c>
      <c r="G9" s="28" t="s">
        <v>40</v>
      </c>
      <c r="H9" s="28" t="s">
        <v>40</v>
      </c>
      <c r="I9" s="28" t="s">
        <v>83</v>
      </c>
      <c r="J9" s="28">
        <v>16000.0</v>
      </c>
      <c r="K9" s="28">
        <v>4000.0</v>
      </c>
      <c r="L9" s="28" t="s">
        <v>123</v>
      </c>
      <c r="M9" s="28" t="s">
        <v>44</v>
      </c>
      <c r="N9" s="28" t="s">
        <v>65</v>
      </c>
      <c r="O9" s="31" t="s">
        <v>89</v>
      </c>
      <c r="P9" s="28" t="s">
        <v>60</v>
      </c>
      <c r="Q9" s="28" t="s">
        <v>62</v>
      </c>
      <c r="R9" s="28" t="s">
        <v>104</v>
      </c>
      <c r="S9" s="28"/>
      <c r="T9" s="28" t="s">
        <v>40</v>
      </c>
      <c r="U9" s="28" t="s">
        <v>41</v>
      </c>
      <c r="V9" s="28" t="s">
        <v>43</v>
      </c>
      <c r="W9" s="28" t="s">
        <v>127</v>
      </c>
      <c r="X9" s="28" t="s">
        <v>97</v>
      </c>
      <c r="Y9" s="28">
        <v>3953.0</v>
      </c>
    </row>
    <row r="10" ht="56.25" customHeight="1">
      <c r="A10" s="28" t="s">
        <v>121</v>
      </c>
      <c r="B10" s="29" t="str">
        <f>IMAGE("https://storage.googleapis.com/acdb/wall-mounted/FtrAntiquePhoneW_Remake_2_0.png")</f>
        <v/>
      </c>
      <c r="C10" s="28" t="s">
        <v>99</v>
      </c>
      <c r="D10" s="30" t="s">
        <v>83</v>
      </c>
      <c r="E10" s="28" t="s">
        <v>83</v>
      </c>
      <c r="F10" s="30" t="s">
        <v>83</v>
      </c>
      <c r="G10" s="28" t="s">
        <v>40</v>
      </c>
      <c r="H10" s="28" t="s">
        <v>40</v>
      </c>
      <c r="I10" s="28" t="s">
        <v>83</v>
      </c>
      <c r="J10" s="28">
        <v>16000.0</v>
      </c>
      <c r="K10" s="28">
        <v>4000.0</v>
      </c>
      <c r="L10" s="28" t="s">
        <v>123</v>
      </c>
      <c r="M10" s="28" t="s">
        <v>44</v>
      </c>
      <c r="N10" s="28" t="s">
        <v>65</v>
      </c>
      <c r="O10" s="31" t="s">
        <v>89</v>
      </c>
      <c r="P10" s="28" t="s">
        <v>60</v>
      </c>
      <c r="Q10" s="28" t="s">
        <v>62</v>
      </c>
      <c r="R10" s="28" t="s">
        <v>104</v>
      </c>
      <c r="S10" s="28"/>
      <c r="T10" s="28" t="s">
        <v>40</v>
      </c>
      <c r="U10" s="28" t="s">
        <v>41</v>
      </c>
      <c r="V10" s="28" t="s">
        <v>43</v>
      </c>
      <c r="W10" s="28" t="s">
        <v>132</v>
      </c>
      <c r="X10" s="28" t="s">
        <v>103</v>
      </c>
      <c r="Y10" s="28">
        <v>3953.0</v>
      </c>
    </row>
    <row r="11" ht="56.25" customHeight="1">
      <c r="A11" s="28" t="s">
        <v>133</v>
      </c>
      <c r="B11" s="29" t="str">
        <f>IMAGE("https://storage.googleapis.com/acdb/wall-mounted/FtrAutograph_Remake_0_0.png")</f>
        <v/>
      </c>
      <c r="C11" s="28" t="s">
        <v>134</v>
      </c>
      <c r="D11" s="30" t="s">
        <v>83</v>
      </c>
      <c r="E11" s="28" t="s">
        <v>135</v>
      </c>
      <c r="F11" s="30" t="s">
        <v>134</v>
      </c>
      <c r="G11" s="28" t="s">
        <v>40</v>
      </c>
      <c r="H11" s="28" t="s">
        <v>53</v>
      </c>
      <c r="I11" s="28">
        <v>1.0</v>
      </c>
      <c r="J11" s="28">
        <v>1400.0</v>
      </c>
      <c r="K11" s="28">
        <v>350.0</v>
      </c>
      <c r="L11" s="28" t="s">
        <v>88</v>
      </c>
      <c r="M11" s="28" t="s">
        <v>44</v>
      </c>
      <c r="N11" s="28" t="s">
        <v>68</v>
      </c>
      <c r="O11" s="31" t="s">
        <v>89</v>
      </c>
      <c r="P11" s="28" t="s">
        <v>80</v>
      </c>
      <c r="Q11" s="28" t="s">
        <v>136</v>
      </c>
      <c r="R11" s="28"/>
      <c r="S11" s="28"/>
      <c r="T11" s="28" t="s">
        <v>40</v>
      </c>
      <c r="U11" s="28" t="s">
        <v>41</v>
      </c>
      <c r="V11" s="28" t="s">
        <v>43</v>
      </c>
      <c r="W11" s="28" t="s">
        <v>137</v>
      </c>
      <c r="X11" s="28" t="s">
        <v>92</v>
      </c>
      <c r="Y11" s="28">
        <v>1899.0</v>
      </c>
    </row>
    <row r="12" ht="56.25" customHeight="1">
      <c r="A12" s="28" t="s">
        <v>133</v>
      </c>
      <c r="B12" s="29" t="str">
        <f>IMAGE("https://storage.googleapis.com/acdb/wall-mounted/FtrAutograph_Remake_0_1.png")</f>
        <v/>
      </c>
      <c r="C12" s="28" t="s">
        <v>134</v>
      </c>
      <c r="D12" s="30" t="s">
        <v>83</v>
      </c>
      <c r="E12" s="28" t="s">
        <v>138</v>
      </c>
      <c r="F12" s="30" t="s">
        <v>134</v>
      </c>
      <c r="G12" s="28" t="s">
        <v>40</v>
      </c>
      <c r="H12" s="28" t="s">
        <v>53</v>
      </c>
      <c r="I12" s="28">
        <v>1.0</v>
      </c>
      <c r="J12" s="28">
        <v>1400.0</v>
      </c>
      <c r="K12" s="28">
        <v>350.0</v>
      </c>
      <c r="L12" s="28" t="s">
        <v>88</v>
      </c>
      <c r="M12" s="28" t="s">
        <v>44</v>
      </c>
      <c r="N12" s="28" t="s">
        <v>68</v>
      </c>
      <c r="O12" s="31" t="s">
        <v>89</v>
      </c>
      <c r="P12" s="28" t="s">
        <v>80</v>
      </c>
      <c r="Q12" s="28" t="s">
        <v>136</v>
      </c>
      <c r="R12" s="28"/>
      <c r="S12" s="28"/>
      <c r="T12" s="28" t="s">
        <v>40</v>
      </c>
      <c r="U12" s="28" t="s">
        <v>41</v>
      </c>
      <c r="V12" s="28" t="s">
        <v>43</v>
      </c>
      <c r="W12" s="28" t="s">
        <v>140</v>
      </c>
      <c r="X12" s="28" t="s">
        <v>141</v>
      </c>
      <c r="Y12" s="28">
        <v>1899.0</v>
      </c>
    </row>
    <row r="13" ht="56.25" customHeight="1">
      <c r="A13" s="28" t="s">
        <v>133</v>
      </c>
      <c r="B13" s="29" t="str">
        <f>IMAGE("https://storage.googleapis.com/acdb/wall-mounted/FtrAutograph_Remake_1_0.png")</f>
        <v/>
      </c>
      <c r="C13" s="28" t="s">
        <v>143</v>
      </c>
      <c r="D13" s="30" t="s">
        <v>83</v>
      </c>
      <c r="E13" s="28" t="s">
        <v>135</v>
      </c>
      <c r="F13" s="30" t="s">
        <v>134</v>
      </c>
      <c r="G13" s="28" t="s">
        <v>40</v>
      </c>
      <c r="H13" s="28" t="s">
        <v>53</v>
      </c>
      <c r="I13" s="28">
        <v>1.0</v>
      </c>
      <c r="J13" s="28">
        <v>1400.0</v>
      </c>
      <c r="K13" s="34">
        <v>350.0</v>
      </c>
      <c r="L13" s="28" t="s">
        <v>88</v>
      </c>
      <c r="M13" s="28" t="s">
        <v>44</v>
      </c>
      <c r="N13" s="28" t="s">
        <v>68</v>
      </c>
      <c r="O13" s="31" t="s">
        <v>89</v>
      </c>
      <c r="P13" s="28" t="s">
        <v>80</v>
      </c>
      <c r="Q13" s="28" t="s">
        <v>136</v>
      </c>
      <c r="R13" s="28"/>
      <c r="S13" s="28"/>
      <c r="T13" s="28" t="s">
        <v>40</v>
      </c>
      <c r="U13" s="28" t="s">
        <v>41</v>
      </c>
      <c r="V13" s="28" t="s">
        <v>43</v>
      </c>
      <c r="W13" s="28" t="s">
        <v>145</v>
      </c>
      <c r="X13" s="28" t="s">
        <v>97</v>
      </c>
      <c r="Y13" s="28">
        <v>1899.0</v>
      </c>
    </row>
    <row r="14" ht="56.25" customHeight="1">
      <c r="A14" s="28" t="s">
        <v>133</v>
      </c>
      <c r="B14" s="29" t="str">
        <f>IMAGE("https://storage.googleapis.com/acdb/wall-mounted/FtrAutograph_Remake_1_1.png")</f>
        <v/>
      </c>
      <c r="C14" s="28" t="s">
        <v>143</v>
      </c>
      <c r="D14" s="30" t="s">
        <v>83</v>
      </c>
      <c r="E14" s="28" t="s">
        <v>138</v>
      </c>
      <c r="F14" s="30" t="s">
        <v>134</v>
      </c>
      <c r="G14" s="34" t="s">
        <v>40</v>
      </c>
      <c r="H14" s="28" t="s">
        <v>53</v>
      </c>
      <c r="I14" s="28">
        <v>1.0</v>
      </c>
      <c r="J14" s="28">
        <v>1400.0</v>
      </c>
      <c r="K14" s="28">
        <v>350.0</v>
      </c>
      <c r="L14" s="28" t="s">
        <v>88</v>
      </c>
      <c r="M14" s="28" t="s">
        <v>44</v>
      </c>
      <c r="N14" s="28" t="s">
        <v>68</v>
      </c>
      <c r="O14" s="31" t="s">
        <v>89</v>
      </c>
      <c r="P14" s="28" t="s">
        <v>80</v>
      </c>
      <c r="Q14" s="28" t="s">
        <v>136</v>
      </c>
      <c r="R14" s="28"/>
      <c r="S14" s="28"/>
      <c r="T14" s="28" t="s">
        <v>40</v>
      </c>
      <c r="U14" s="28" t="s">
        <v>41</v>
      </c>
      <c r="V14" s="28" t="s">
        <v>43</v>
      </c>
      <c r="W14" s="28" t="s">
        <v>147</v>
      </c>
      <c r="X14" s="28" t="s">
        <v>148</v>
      </c>
      <c r="Y14" s="28">
        <v>1899.0</v>
      </c>
    </row>
    <row r="15" ht="56.25" customHeight="1">
      <c r="A15" s="28" t="s">
        <v>133</v>
      </c>
      <c r="B15" s="29" t="str">
        <f>IMAGE("https://storage.googleapis.com/acdb/wall-mounted/FtrAutograph_Remake_2_0.png")</f>
        <v/>
      </c>
      <c r="C15" s="28" t="s">
        <v>151</v>
      </c>
      <c r="D15" s="30" t="s">
        <v>83</v>
      </c>
      <c r="E15" s="28" t="s">
        <v>135</v>
      </c>
      <c r="F15" s="30" t="s">
        <v>134</v>
      </c>
      <c r="G15" s="34" t="s">
        <v>40</v>
      </c>
      <c r="H15" s="28" t="s">
        <v>53</v>
      </c>
      <c r="I15" s="28">
        <v>1.0</v>
      </c>
      <c r="J15" s="28">
        <v>1400.0</v>
      </c>
      <c r="K15" s="28">
        <v>350.0</v>
      </c>
      <c r="L15" s="28" t="s">
        <v>88</v>
      </c>
      <c r="M15" s="28" t="s">
        <v>44</v>
      </c>
      <c r="N15" s="28" t="s">
        <v>68</v>
      </c>
      <c r="O15" s="31" t="s">
        <v>89</v>
      </c>
      <c r="P15" s="28" t="s">
        <v>80</v>
      </c>
      <c r="Q15" s="28" t="s">
        <v>136</v>
      </c>
      <c r="R15" s="28"/>
      <c r="S15" s="28"/>
      <c r="T15" s="28" t="s">
        <v>40</v>
      </c>
      <c r="U15" s="28" t="s">
        <v>41</v>
      </c>
      <c r="V15" s="28" t="s">
        <v>43</v>
      </c>
      <c r="W15" s="28" t="s">
        <v>152</v>
      </c>
      <c r="X15" s="28" t="s">
        <v>103</v>
      </c>
      <c r="Y15" s="28">
        <v>1899.0</v>
      </c>
    </row>
    <row r="16" ht="56.25" customHeight="1">
      <c r="A16" s="28" t="s">
        <v>133</v>
      </c>
      <c r="B16" s="29" t="str">
        <f>IMAGE("https://storage.googleapis.com/acdb/wall-mounted/FtrAutograph_Remake_2_1.png")</f>
        <v/>
      </c>
      <c r="C16" s="28" t="s">
        <v>151</v>
      </c>
      <c r="D16" s="30" t="s">
        <v>83</v>
      </c>
      <c r="E16" s="28" t="s">
        <v>138</v>
      </c>
      <c r="F16" s="30" t="s">
        <v>134</v>
      </c>
      <c r="G16" s="28" t="s">
        <v>40</v>
      </c>
      <c r="H16" s="28" t="s">
        <v>53</v>
      </c>
      <c r="I16" s="28">
        <v>1.0</v>
      </c>
      <c r="J16" s="28">
        <v>1400.0</v>
      </c>
      <c r="K16" s="28">
        <v>350.0</v>
      </c>
      <c r="L16" s="28" t="s">
        <v>88</v>
      </c>
      <c r="M16" s="28" t="s">
        <v>44</v>
      </c>
      <c r="N16" s="28" t="s">
        <v>68</v>
      </c>
      <c r="O16" s="31" t="s">
        <v>89</v>
      </c>
      <c r="P16" s="28" t="s">
        <v>80</v>
      </c>
      <c r="Q16" s="28" t="s">
        <v>136</v>
      </c>
      <c r="R16" s="28"/>
      <c r="S16" s="28"/>
      <c r="T16" s="28" t="s">
        <v>40</v>
      </c>
      <c r="U16" s="28" t="s">
        <v>41</v>
      </c>
      <c r="V16" s="28" t="s">
        <v>43</v>
      </c>
      <c r="W16" s="28" t="s">
        <v>154</v>
      </c>
      <c r="X16" s="28" t="s">
        <v>155</v>
      </c>
      <c r="Y16" s="28">
        <v>1899.0</v>
      </c>
    </row>
    <row r="17" ht="56.25" customHeight="1">
      <c r="A17" s="28" t="s">
        <v>133</v>
      </c>
      <c r="B17" s="29" t="str">
        <f>IMAGE("https://storage.googleapis.com/acdb/wall-mounted/FtrAutograph_Remake_3_0.png")</f>
        <v/>
      </c>
      <c r="C17" s="28" t="s">
        <v>157</v>
      </c>
      <c r="D17" s="30" t="s">
        <v>83</v>
      </c>
      <c r="E17" s="28" t="s">
        <v>135</v>
      </c>
      <c r="F17" s="30" t="s">
        <v>134</v>
      </c>
      <c r="G17" s="28" t="s">
        <v>40</v>
      </c>
      <c r="H17" s="28" t="s">
        <v>53</v>
      </c>
      <c r="I17" s="28">
        <v>1.0</v>
      </c>
      <c r="J17" s="28">
        <v>1400.0</v>
      </c>
      <c r="K17" s="28">
        <v>350.0</v>
      </c>
      <c r="L17" s="28" t="s">
        <v>88</v>
      </c>
      <c r="M17" s="28" t="s">
        <v>44</v>
      </c>
      <c r="N17" s="28" t="s">
        <v>68</v>
      </c>
      <c r="O17" s="31" t="s">
        <v>89</v>
      </c>
      <c r="P17" s="28" t="s">
        <v>80</v>
      </c>
      <c r="Q17" s="28" t="s">
        <v>136</v>
      </c>
      <c r="R17" s="28"/>
      <c r="S17" s="28"/>
      <c r="T17" s="28" t="s">
        <v>40</v>
      </c>
      <c r="U17" s="28" t="s">
        <v>41</v>
      </c>
      <c r="V17" s="28" t="s">
        <v>43</v>
      </c>
      <c r="W17" s="28" t="s">
        <v>160</v>
      </c>
      <c r="X17" s="28" t="s">
        <v>110</v>
      </c>
      <c r="Y17" s="28">
        <v>1899.0</v>
      </c>
    </row>
    <row r="18" ht="56.25" customHeight="1">
      <c r="A18" s="28" t="s">
        <v>133</v>
      </c>
      <c r="B18" s="29" t="str">
        <f>IMAGE("https://storage.googleapis.com/acdb/wall-mounted/FtrAutograph_Remake_3_1.png")</f>
        <v/>
      </c>
      <c r="C18" s="28" t="s">
        <v>157</v>
      </c>
      <c r="D18" s="30" t="s">
        <v>83</v>
      </c>
      <c r="E18" s="28" t="s">
        <v>138</v>
      </c>
      <c r="F18" s="30" t="s">
        <v>134</v>
      </c>
      <c r="G18" s="28" t="s">
        <v>40</v>
      </c>
      <c r="H18" s="28" t="s">
        <v>53</v>
      </c>
      <c r="I18" s="28">
        <v>1.0</v>
      </c>
      <c r="J18" s="28">
        <v>1400.0</v>
      </c>
      <c r="K18" s="28">
        <v>350.0</v>
      </c>
      <c r="L18" s="28" t="s">
        <v>88</v>
      </c>
      <c r="M18" s="28" t="s">
        <v>44</v>
      </c>
      <c r="N18" s="28" t="s">
        <v>68</v>
      </c>
      <c r="O18" s="31" t="s">
        <v>89</v>
      </c>
      <c r="P18" s="28" t="s">
        <v>80</v>
      </c>
      <c r="Q18" s="28" t="s">
        <v>136</v>
      </c>
      <c r="R18" s="28"/>
      <c r="S18" s="28"/>
      <c r="T18" s="28" t="s">
        <v>40</v>
      </c>
      <c r="U18" s="28" t="s">
        <v>41</v>
      </c>
      <c r="V18" s="28" t="s">
        <v>43</v>
      </c>
      <c r="W18" s="28" t="s">
        <v>162</v>
      </c>
      <c r="X18" s="28" t="s">
        <v>163</v>
      </c>
      <c r="Y18" s="28">
        <v>1899.0</v>
      </c>
    </row>
    <row r="19" ht="56.25" customHeight="1">
      <c r="A19" s="28" t="s">
        <v>133</v>
      </c>
      <c r="B19" s="29" t="str">
        <f>IMAGE("https://storage.googleapis.com/acdb/wall-mounted/FtrAutograph_Remake_0_0.png")</f>
        <v/>
      </c>
      <c r="C19" s="28" t="s">
        <v>83</v>
      </c>
      <c r="D19" s="30" t="s">
        <v>83</v>
      </c>
      <c r="E19" s="28" t="s">
        <v>135</v>
      </c>
      <c r="F19" s="30" t="s">
        <v>134</v>
      </c>
      <c r="G19" s="28" t="s">
        <v>40</v>
      </c>
      <c r="H19" s="28" t="s">
        <v>53</v>
      </c>
      <c r="I19" s="28">
        <v>1.0</v>
      </c>
      <c r="J19" s="28">
        <v>1400.0</v>
      </c>
      <c r="K19" s="28">
        <v>350.0</v>
      </c>
      <c r="L19" s="28" t="s">
        <v>88</v>
      </c>
      <c r="M19" s="28" t="s">
        <v>44</v>
      </c>
      <c r="N19" s="28" t="s">
        <v>68</v>
      </c>
      <c r="O19" s="31" t="s">
        <v>89</v>
      </c>
      <c r="P19" s="28" t="s">
        <v>80</v>
      </c>
      <c r="Q19" s="28" t="s">
        <v>136</v>
      </c>
      <c r="R19" s="28"/>
      <c r="S19" s="28"/>
      <c r="T19" s="28" t="s">
        <v>40</v>
      </c>
      <c r="U19" s="28" t="s">
        <v>41</v>
      </c>
      <c r="V19" s="28" t="s">
        <v>43</v>
      </c>
      <c r="W19" s="28" t="s">
        <v>137</v>
      </c>
      <c r="X19" s="28" t="s">
        <v>92</v>
      </c>
      <c r="Y19" s="28">
        <v>1899.0</v>
      </c>
    </row>
    <row r="20" ht="56.25" customHeight="1">
      <c r="A20" s="28" t="s">
        <v>133</v>
      </c>
      <c r="B20" s="29" t="str">
        <f>IMAGE("https://storage.googleapis.com/acdb/wall-mounted/FtrAutograph_Remake_1_0.png")</f>
        <v/>
      </c>
      <c r="C20" s="28" t="s">
        <v>83</v>
      </c>
      <c r="D20" s="30" t="s">
        <v>83</v>
      </c>
      <c r="E20" s="28" t="s">
        <v>138</v>
      </c>
      <c r="F20" s="30" t="s">
        <v>134</v>
      </c>
      <c r="G20" s="28" t="s">
        <v>40</v>
      </c>
      <c r="H20" s="28" t="s">
        <v>53</v>
      </c>
      <c r="I20" s="28">
        <v>1.0</v>
      </c>
      <c r="J20" s="28">
        <v>1400.0</v>
      </c>
      <c r="K20" s="28">
        <v>350.0</v>
      </c>
      <c r="L20" s="28" t="s">
        <v>88</v>
      </c>
      <c r="M20" s="28" t="s">
        <v>44</v>
      </c>
      <c r="N20" s="28" t="s">
        <v>68</v>
      </c>
      <c r="O20" s="31" t="s">
        <v>89</v>
      </c>
      <c r="P20" s="28" t="s">
        <v>80</v>
      </c>
      <c r="Q20" s="28" t="s">
        <v>136</v>
      </c>
      <c r="R20" s="28"/>
      <c r="S20" s="28"/>
      <c r="T20" s="28" t="s">
        <v>40</v>
      </c>
      <c r="U20" s="28" t="s">
        <v>41</v>
      </c>
      <c r="V20" s="28" t="s">
        <v>43</v>
      </c>
      <c r="W20" s="28" t="s">
        <v>145</v>
      </c>
      <c r="X20" s="28" t="s">
        <v>97</v>
      </c>
      <c r="Y20" s="28">
        <v>1899.0</v>
      </c>
    </row>
    <row r="21" ht="56.25" customHeight="1">
      <c r="A21" s="28" t="s">
        <v>168</v>
      </c>
      <c r="B21" s="29" t="str">
        <f>IMAGE("https://storage.googleapis.com/acdb/wall-mounted/FtrBambooFlowerwall_Remake_0_0.png")</f>
        <v/>
      </c>
      <c r="C21" s="28" t="s">
        <v>169</v>
      </c>
      <c r="D21" s="30" t="s">
        <v>170</v>
      </c>
      <c r="E21" s="28" t="s">
        <v>83</v>
      </c>
      <c r="F21" s="30" t="s">
        <v>83</v>
      </c>
      <c r="G21" s="28" t="s">
        <v>53</v>
      </c>
      <c r="H21" s="28" t="s">
        <v>53</v>
      </c>
      <c r="I21" s="28">
        <v>1.0</v>
      </c>
      <c r="J21" s="28" t="s">
        <v>51</v>
      </c>
      <c r="K21" s="28">
        <v>160.0</v>
      </c>
      <c r="L21" s="28" t="s">
        <v>171</v>
      </c>
      <c r="M21" s="28" t="s">
        <v>55</v>
      </c>
      <c r="N21" s="28" t="s">
        <v>172</v>
      </c>
      <c r="O21" s="31" t="s">
        <v>89</v>
      </c>
      <c r="P21" s="28" t="s">
        <v>161</v>
      </c>
      <c r="Q21" s="28"/>
      <c r="R21" s="28"/>
      <c r="S21" s="28"/>
      <c r="T21" s="28" t="s">
        <v>40</v>
      </c>
      <c r="U21" s="28" t="s">
        <v>41</v>
      </c>
      <c r="V21" s="28" t="s">
        <v>54</v>
      </c>
      <c r="W21" s="28" t="s">
        <v>173</v>
      </c>
      <c r="X21" s="28" t="s">
        <v>92</v>
      </c>
      <c r="Y21" s="28">
        <v>3558.0</v>
      </c>
    </row>
    <row r="22" ht="56.25" customHeight="1">
      <c r="A22" s="28" t="s">
        <v>168</v>
      </c>
      <c r="B22" s="29" t="str">
        <f>IMAGE("https://storage.googleapis.com/acdb/wall-mounted/FtrBambooFlowerwall_Remake_1_0.png")</f>
        <v/>
      </c>
      <c r="C22" s="28" t="s">
        <v>175</v>
      </c>
      <c r="D22" s="30" t="s">
        <v>170</v>
      </c>
      <c r="E22" s="28" t="s">
        <v>83</v>
      </c>
      <c r="F22" s="30" t="s">
        <v>83</v>
      </c>
      <c r="G22" s="28" t="s">
        <v>53</v>
      </c>
      <c r="H22" s="28" t="s">
        <v>53</v>
      </c>
      <c r="I22" s="28">
        <v>1.0</v>
      </c>
      <c r="J22" s="28" t="s">
        <v>51</v>
      </c>
      <c r="K22" s="28">
        <v>160.0</v>
      </c>
      <c r="L22" s="28" t="s">
        <v>171</v>
      </c>
      <c r="M22" s="28" t="s">
        <v>55</v>
      </c>
      <c r="N22" s="28" t="s">
        <v>172</v>
      </c>
      <c r="O22" s="31" t="s">
        <v>89</v>
      </c>
      <c r="P22" s="28" t="s">
        <v>161</v>
      </c>
      <c r="Q22" s="28"/>
      <c r="R22" s="28"/>
      <c r="S22" s="28"/>
      <c r="T22" s="28" t="s">
        <v>40</v>
      </c>
      <c r="U22" s="28" t="s">
        <v>41</v>
      </c>
      <c r="V22" s="28" t="s">
        <v>54</v>
      </c>
      <c r="W22" s="28" t="s">
        <v>176</v>
      </c>
      <c r="X22" s="28" t="s">
        <v>97</v>
      </c>
      <c r="Y22" s="28">
        <v>3558.0</v>
      </c>
    </row>
    <row r="23" ht="56.25" customHeight="1">
      <c r="A23" s="28" t="s">
        <v>168</v>
      </c>
      <c r="B23" s="29" t="str">
        <f>IMAGE("https://storage.googleapis.com/acdb/wall-mounted/FtrBambooFlowerwall_Remake_2_0.png")</f>
        <v/>
      </c>
      <c r="C23" s="28" t="s">
        <v>178</v>
      </c>
      <c r="D23" s="30" t="s">
        <v>170</v>
      </c>
      <c r="E23" s="28" t="s">
        <v>83</v>
      </c>
      <c r="F23" s="30" t="s">
        <v>83</v>
      </c>
      <c r="G23" s="28" t="s">
        <v>53</v>
      </c>
      <c r="H23" s="28" t="s">
        <v>53</v>
      </c>
      <c r="I23" s="28">
        <v>1.0</v>
      </c>
      <c r="J23" s="28" t="s">
        <v>51</v>
      </c>
      <c r="K23" s="28">
        <v>160.0</v>
      </c>
      <c r="L23" s="28" t="s">
        <v>171</v>
      </c>
      <c r="M23" s="28" t="s">
        <v>55</v>
      </c>
      <c r="N23" s="28" t="s">
        <v>172</v>
      </c>
      <c r="O23" s="31" t="s">
        <v>89</v>
      </c>
      <c r="P23" s="28" t="s">
        <v>161</v>
      </c>
      <c r="Q23" s="28"/>
      <c r="R23" s="28"/>
      <c r="S23" s="28"/>
      <c r="T23" s="28" t="s">
        <v>40</v>
      </c>
      <c r="U23" s="28" t="s">
        <v>41</v>
      </c>
      <c r="V23" s="28" t="s">
        <v>54</v>
      </c>
      <c r="W23" s="28" t="s">
        <v>179</v>
      </c>
      <c r="X23" s="28" t="s">
        <v>103</v>
      </c>
      <c r="Y23" s="28">
        <v>3558.0</v>
      </c>
    </row>
    <row r="24" ht="56.25" customHeight="1">
      <c r="A24" s="28" t="s">
        <v>180</v>
      </c>
      <c r="B24" s="29" t="str">
        <f>IMAGE("https://storage.googleapis.com/acdb/wall-mounted/FtrTowelrackWall_Remake_0_0.png")</f>
        <v/>
      </c>
      <c r="C24" s="28" t="s">
        <v>182</v>
      </c>
      <c r="D24" s="30" t="s">
        <v>83</v>
      </c>
      <c r="E24" s="28" t="s">
        <v>83</v>
      </c>
      <c r="F24" s="30" t="s">
        <v>83</v>
      </c>
      <c r="G24" s="28" t="s">
        <v>40</v>
      </c>
      <c r="H24" s="28" t="s">
        <v>40</v>
      </c>
      <c r="I24" s="28" t="s">
        <v>83</v>
      </c>
      <c r="J24" s="28">
        <v>1400.0</v>
      </c>
      <c r="K24" s="28">
        <v>350.0</v>
      </c>
      <c r="L24" s="28" t="s">
        <v>123</v>
      </c>
      <c r="M24" s="28" t="s">
        <v>44</v>
      </c>
      <c r="N24" s="28" t="s">
        <v>63</v>
      </c>
      <c r="O24" s="31" t="s">
        <v>89</v>
      </c>
      <c r="P24" s="28" t="s">
        <v>183</v>
      </c>
      <c r="Q24" s="28"/>
      <c r="R24" s="28"/>
      <c r="S24" s="28" t="s">
        <v>184</v>
      </c>
      <c r="T24" s="28" t="s">
        <v>40</v>
      </c>
      <c r="U24" s="28" t="s">
        <v>41</v>
      </c>
      <c r="V24" s="28" t="s">
        <v>43</v>
      </c>
      <c r="W24" s="28" t="s">
        <v>185</v>
      </c>
      <c r="X24" s="28" t="s">
        <v>92</v>
      </c>
      <c r="Y24" s="28">
        <v>4030.0</v>
      </c>
    </row>
    <row r="25" ht="56.25" customHeight="1">
      <c r="A25" s="28" t="s">
        <v>180</v>
      </c>
      <c r="B25" s="29" t="str">
        <f>IMAGE("https://storage.googleapis.com/acdb/wall-mounted/FtrTowelrackWall_Remake_1_0.png")</f>
        <v/>
      </c>
      <c r="C25" s="28" t="s">
        <v>187</v>
      </c>
      <c r="D25" s="30" t="s">
        <v>83</v>
      </c>
      <c r="E25" s="28" t="s">
        <v>83</v>
      </c>
      <c r="F25" s="30" t="s">
        <v>83</v>
      </c>
      <c r="G25" s="28" t="s">
        <v>40</v>
      </c>
      <c r="H25" s="28" t="s">
        <v>40</v>
      </c>
      <c r="I25" s="28" t="s">
        <v>83</v>
      </c>
      <c r="J25" s="28">
        <v>1400.0</v>
      </c>
      <c r="K25" s="28">
        <v>350.0</v>
      </c>
      <c r="L25" s="28" t="s">
        <v>123</v>
      </c>
      <c r="M25" s="28" t="s">
        <v>44</v>
      </c>
      <c r="N25" s="28" t="s">
        <v>63</v>
      </c>
      <c r="O25" s="31" t="s">
        <v>89</v>
      </c>
      <c r="P25" s="28" t="s">
        <v>183</v>
      </c>
      <c r="Q25" s="28"/>
      <c r="R25" s="28"/>
      <c r="S25" s="28" t="s">
        <v>184</v>
      </c>
      <c r="T25" s="28" t="s">
        <v>40</v>
      </c>
      <c r="U25" s="28" t="s">
        <v>41</v>
      </c>
      <c r="V25" s="28" t="s">
        <v>43</v>
      </c>
      <c r="W25" s="28" t="s">
        <v>189</v>
      </c>
      <c r="X25" s="28" t="s">
        <v>97</v>
      </c>
      <c r="Y25" s="28">
        <v>4030.0</v>
      </c>
    </row>
    <row r="26" ht="56.25" customHeight="1">
      <c r="A26" s="28" t="s">
        <v>180</v>
      </c>
      <c r="B26" s="29" t="str">
        <f>IMAGE("https://storage.googleapis.com/acdb/wall-mounted/FtrTowelrackWall_Remake_2_0.png")</f>
        <v/>
      </c>
      <c r="C26" s="28" t="s">
        <v>190</v>
      </c>
      <c r="D26" s="30" t="s">
        <v>83</v>
      </c>
      <c r="E26" s="28" t="s">
        <v>83</v>
      </c>
      <c r="F26" s="30" t="s">
        <v>83</v>
      </c>
      <c r="G26" s="28" t="s">
        <v>40</v>
      </c>
      <c r="H26" s="28" t="s">
        <v>40</v>
      </c>
      <c r="I26" s="28" t="s">
        <v>83</v>
      </c>
      <c r="J26" s="28">
        <v>1400.0</v>
      </c>
      <c r="K26" s="28">
        <v>350.0</v>
      </c>
      <c r="L26" s="28" t="s">
        <v>123</v>
      </c>
      <c r="M26" s="28" t="s">
        <v>44</v>
      </c>
      <c r="N26" s="28" t="s">
        <v>63</v>
      </c>
      <c r="O26" s="31" t="s">
        <v>89</v>
      </c>
      <c r="P26" s="28" t="s">
        <v>183</v>
      </c>
      <c r="Q26" s="28"/>
      <c r="R26" s="28"/>
      <c r="S26" s="28" t="s">
        <v>184</v>
      </c>
      <c r="T26" s="28" t="s">
        <v>40</v>
      </c>
      <c r="U26" s="28" t="s">
        <v>41</v>
      </c>
      <c r="V26" s="28" t="s">
        <v>43</v>
      </c>
      <c r="W26" s="28" t="s">
        <v>191</v>
      </c>
      <c r="X26" s="28" t="s">
        <v>103</v>
      </c>
      <c r="Y26" s="28">
        <v>4030.0</v>
      </c>
    </row>
    <row r="27" ht="56.25" customHeight="1">
      <c r="A27" s="28" t="s">
        <v>180</v>
      </c>
      <c r="B27" s="29" t="str">
        <f>IMAGE("https://storage.googleapis.com/acdb/wall-mounted/FtrTowelrackWall_Remake_3_0.png")</f>
        <v/>
      </c>
      <c r="C27" s="28" t="s">
        <v>99</v>
      </c>
      <c r="D27" s="30" t="s">
        <v>83</v>
      </c>
      <c r="E27" s="28" t="s">
        <v>83</v>
      </c>
      <c r="F27" s="30" t="s">
        <v>83</v>
      </c>
      <c r="G27" s="28" t="s">
        <v>40</v>
      </c>
      <c r="H27" s="28" t="s">
        <v>40</v>
      </c>
      <c r="I27" s="28" t="s">
        <v>83</v>
      </c>
      <c r="J27" s="28">
        <v>1400.0</v>
      </c>
      <c r="K27" s="28">
        <v>350.0</v>
      </c>
      <c r="L27" s="28" t="s">
        <v>123</v>
      </c>
      <c r="M27" s="28" t="s">
        <v>44</v>
      </c>
      <c r="N27" s="28" t="s">
        <v>63</v>
      </c>
      <c r="O27" s="31" t="s">
        <v>89</v>
      </c>
      <c r="P27" s="28" t="s">
        <v>183</v>
      </c>
      <c r="Q27" s="28"/>
      <c r="R27" s="28"/>
      <c r="S27" s="28" t="s">
        <v>184</v>
      </c>
      <c r="T27" s="28" t="s">
        <v>40</v>
      </c>
      <c r="U27" s="28" t="s">
        <v>41</v>
      </c>
      <c r="V27" s="28" t="s">
        <v>43</v>
      </c>
      <c r="W27" s="28" t="s">
        <v>193</v>
      </c>
      <c r="X27" s="28" t="s">
        <v>110</v>
      </c>
      <c r="Y27" s="28">
        <v>4030.0</v>
      </c>
    </row>
    <row r="28" ht="56.25" customHeight="1">
      <c r="A28" s="28" t="s">
        <v>194</v>
      </c>
      <c r="B28" s="29" t="str">
        <f>image("https://storage.googleapis.com/acdb/wall-mounted/FtrDoorOrnamentWreathRoseUrtraRare.png")</f>
        <v/>
      </c>
      <c r="C28" s="28" t="s">
        <v>83</v>
      </c>
      <c r="D28" s="28" t="s">
        <v>83</v>
      </c>
      <c r="E28" s="28" t="s">
        <v>83</v>
      </c>
      <c r="F28" s="28" t="s">
        <v>83</v>
      </c>
      <c r="G28" s="28" t="s">
        <v>53</v>
      </c>
      <c r="H28" s="28" t="s">
        <v>40</v>
      </c>
      <c r="I28" s="28" t="s">
        <v>83</v>
      </c>
      <c r="J28" s="28" t="s">
        <v>51</v>
      </c>
      <c r="K28" s="28">
        <v>20000.0</v>
      </c>
      <c r="L28" s="28" t="s">
        <v>123</v>
      </c>
      <c r="M28" s="28" t="s">
        <v>55</v>
      </c>
      <c r="N28" s="28"/>
      <c r="O28" s="31" t="s">
        <v>89</v>
      </c>
      <c r="P28" s="28" t="s">
        <v>36</v>
      </c>
      <c r="Q28" s="28"/>
      <c r="R28" s="28"/>
      <c r="S28" s="28"/>
      <c r="T28" s="28" t="s">
        <v>40</v>
      </c>
      <c r="U28" s="28" t="s">
        <v>41</v>
      </c>
      <c r="V28" s="28" t="s">
        <v>54</v>
      </c>
      <c r="W28" s="28" t="s">
        <v>196</v>
      </c>
      <c r="X28" s="28" t="s">
        <v>83</v>
      </c>
      <c r="Y28" s="28">
        <v>5772.0</v>
      </c>
    </row>
    <row r="29" ht="56.25" customHeight="1">
      <c r="A29" s="28" t="s">
        <v>197</v>
      </c>
      <c r="B29" s="29" t="str">
        <f>IMAGE("https://storage.googleapis.com/acdb/wall-mounted/FtrDoorPlateBone_Remake_0_0.png")</f>
        <v/>
      </c>
      <c r="C29" s="28" t="s">
        <v>118</v>
      </c>
      <c r="D29" s="30" t="s">
        <v>199</v>
      </c>
      <c r="E29" s="28" t="s">
        <v>83</v>
      </c>
      <c r="F29" s="30" t="s">
        <v>83</v>
      </c>
      <c r="G29" s="28" t="s">
        <v>53</v>
      </c>
      <c r="H29" s="28" t="s">
        <v>53</v>
      </c>
      <c r="I29" s="28">
        <v>1.0</v>
      </c>
      <c r="J29" s="28" t="s">
        <v>51</v>
      </c>
      <c r="K29" s="28">
        <v>360.0</v>
      </c>
      <c r="L29" s="28" t="s">
        <v>123</v>
      </c>
      <c r="M29" s="28" t="s">
        <v>55</v>
      </c>
      <c r="N29" s="28"/>
      <c r="O29" s="31" t="s">
        <v>89</v>
      </c>
      <c r="P29" s="28" t="s">
        <v>113</v>
      </c>
      <c r="Q29" s="28" t="s">
        <v>60</v>
      </c>
      <c r="R29" s="28"/>
      <c r="S29" s="28"/>
      <c r="T29" s="28" t="s">
        <v>40</v>
      </c>
      <c r="U29" s="28" t="s">
        <v>41</v>
      </c>
      <c r="V29" s="28" t="s">
        <v>54</v>
      </c>
      <c r="W29" s="28" t="s">
        <v>200</v>
      </c>
      <c r="X29" s="28" t="s">
        <v>92</v>
      </c>
      <c r="Y29" s="28">
        <v>4751.0</v>
      </c>
    </row>
    <row r="30" ht="56.25" customHeight="1">
      <c r="A30" s="28" t="s">
        <v>197</v>
      </c>
      <c r="B30" s="29" t="str">
        <f>IMAGE("https://storage.googleapis.com/acdb/wall-mounted/FtrDoorPlateBone_Remake_1_0.png")</f>
        <v/>
      </c>
      <c r="C30" s="28" t="s">
        <v>82</v>
      </c>
      <c r="D30" s="30" t="s">
        <v>199</v>
      </c>
      <c r="E30" s="28" t="s">
        <v>83</v>
      </c>
      <c r="F30" s="30" t="s">
        <v>83</v>
      </c>
      <c r="G30" s="28" t="s">
        <v>53</v>
      </c>
      <c r="H30" s="28" t="s">
        <v>53</v>
      </c>
      <c r="I30" s="28">
        <v>1.0</v>
      </c>
      <c r="J30" s="28" t="s">
        <v>51</v>
      </c>
      <c r="K30" s="28">
        <v>360.0</v>
      </c>
      <c r="L30" s="28" t="s">
        <v>123</v>
      </c>
      <c r="M30" s="28" t="s">
        <v>55</v>
      </c>
      <c r="N30" s="28"/>
      <c r="O30" s="31" t="s">
        <v>89</v>
      </c>
      <c r="P30" s="28" t="s">
        <v>113</v>
      </c>
      <c r="Q30" s="28" t="s">
        <v>60</v>
      </c>
      <c r="R30" s="28"/>
      <c r="S30" s="28"/>
      <c r="T30" s="28" t="s">
        <v>40</v>
      </c>
      <c r="U30" s="28" t="s">
        <v>41</v>
      </c>
      <c r="V30" s="28" t="s">
        <v>54</v>
      </c>
      <c r="W30" s="28" t="s">
        <v>201</v>
      </c>
      <c r="X30" s="28" t="s">
        <v>97</v>
      </c>
      <c r="Y30" s="28">
        <v>4751.0</v>
      </c>
    </row>
    <row r="31" ht="56.25" customHeight="1">
      <c r="A31" s="28" t="s">
        <v>197</v>
      </c>
      <c r="B31" s="29" t="str">
        <f>IMAGE("https://storage.googleapis.com/acdb/wall-mounted/FtrDoorPlateBone_Remake_2_0.png")</f>
        <v/>
      </c>
      <c r="C31" s="28" t="s">
        <v>99</v>
      </c>
      <c r="D31" s="30" t="s">
        <v>199</v>
      </c>
      <c r="E31" s="28" t="s">
        <v>83</v>
      </c>
      <c r="F31" s="30" t="s">
        <v>83</v>
      </c>
      <c r="G31" s="28" t="s">
        <v>53</v>
      </c>
      <c r="H31" s="28" t="s">
        <v>53</v>
      </c>
      <c r="I31" s="28">
        <v>1.0</v>
      </c>
      <c r="J31" s="28" t="s">
        <v>51</v>
      </c>
      <c r="K31" s="28">
        <v>360.0</v>
      </c>
      <c r="L31" s="28" t="s">
        <v>123</v>
      </c>
      <c r="M31" s="28" t="s">
        <v>55</v>
      </c>
      <c r="N31" s="28"/>
      <c r="O31" s="31" t="s">
        <v>89</v>
      </c>
      <c r="P31" s="28" t="s">
        <v>113</v>
      </c>
      <c r="Q31" s="28" t="s">
        <v>60</v>
      </c>
      <c r="R31" s="28"/>
      <c r="S31" s="28"/>
      <c r="T31" s="28" t="s">
        <v>40</v>
      </c>
      <c r="U31" s="28" t="s">
        <v>41</v>
      </c>
      <c r="V31" s="28" t="s">
        <v>54</v>
      </c>
      <c r="W31" s="28" t="s">
        <v>204</v>
      </c>
      <c r="X31" s="28" t="s">
        <v>103</v>
      </c>
      <c r="Y31" s="28">
        <v>4751.0</v>
      </c>
    </row>
    <row r="32" ht="56.25" customHeight="1">
      <c r="A32" s="28" t="s">
        <v>197</v>
      </c>
      <c r="B32" s="29" t="str">
        <f>IMAGE("https://storage.googleapis.com/acdb/wall-mounted/FtrDoorPlateBone_Remake_3_0.png")</f>
        <v/>
      </c>
      <c r="C32" s="28" t="s">
        <v>107</v>
      </c>
      <c r="D32" s="30" t="s">
        <v>199</v>
      </c>
      <c r="E32" s="28" t="s">
        <v>83</v>
      </c>
      <c r="F32" s="30" t="s">
        <v>83</v>
      </c>
      <c r="G32" s="28" t="s">
        <v>53</v>
      </c>
      <c r="H32" s="28" t="s">
        <v>53</v>
      </c>
      <c r="I32" s="28">
        <v>1.0</v>
      </c>
      <c r="J32" s="28" t="s">
        <v>51</v>
      </c>
      <c r="K32" s="28">
        <v>360.0</v>
      </c>
      <c r="L32" s="28" t="s">
        <v>123</v>
      </c>
      <c r="M32" s="28" t="s">
        <v>55</v>
      </c>
      <c r="N32" s="28"/>
      <c r="O32" s="31" t="s">
        <v>89</v>
      </c>
      <c r="P32" s="28" t="s">
        <v>113</v>
      </c>
      <c r="Q32" s="28" t="s">
        <v>60</v>
      </c>
      <c r="R32" s="28"/>
      <c r="S32" s="28"/>
      <c r="T32" s="28" t="s">
        <v>40</v>
      </c>
      <c r="U32" s="28" t="s">
        <v>41</v>
      </c>
      <c r="V32" s="28" t="s">
        <v>54</v>
      </c>
      <c r="W32" s="28" t="s">
        <v>206</v>
      </c>
      <c r="X32" s="28" t="s">
        <v>110</v>
      </c>
      <c r="Y32" s="28">
        <v>4751.0</v>
      </c>
    </row>
    <row r="33" ht="56.25" customHeight="1">
      <c r="A33" s="28" t="s">
        <v>197</v>
      </c>
      <c r="B33" s="29" t="str">
        <f>IMAGE("https://storage.googleapis.com/acdb/wall-mounted/FtrDoorPlateBone_Remake_4_0.png")</f>
        <v/>
      </c>
      <c r="C33" s="28" t="s">
        <v>208</v>
      </c>
      <c r="D33" s="30" t="s">
        <v>199</v>
      </c>
      <c r="E33" s="28" t="s">
        <v>83</v>
      </c>
      <c r="F33" s="30" t="s">
        <v>83</v>
      </c>
      <c r="G33" s="28" t="s">
        <v>53</v>
      </c>
      <c r="H33" s="28" t="s">
        <v>53</v>
      </c>
      <c r="I33" s="28">
        <v>1.0</v>
      </c>
      <c r="J33" s="28" t="s">
        <v>51</v>
      </c>
      <c r="K33" s="28">
        <v>360.0</v>
      </c>
      <c r="L33" s="28" t="s">
        <v>123</v>
      </c>
      <c r="M33" s="28" t="s">
        <v>55</v>
      </c>
      <c r="N33" s="28"/>
      <c r="O33" s="31" t="s">
        <v>89</v>
      </c>
      <c r="P33" s="28" t="s">
        <v>113</v>
      </c>
      <c r="Q33" s="28" t="s">
        <v>60</v>
      </c>
      <c r="R33" s="28"/>
      <c r="S33" s="28"/>
      <c r="T33" s="28" t="s">
        <v>40</v>
      </c>
      <c r="U33" s="28" t="s">
        <v>41</v>
      </c>
      <c r="V33" s="28" t="s">
        <v>54</v>
      </c>
      <c r="W33" s="28" t="s">
        <v>209</v>
      </c>
      <c r="X33" s="28" t="s">
        <v>115</v>
      </c>
      <c r="Y33" s="28">
        <v>4751.0</v>
      </c>
    </row>
    <row r="34" ht="56.25" customHeight="1">
      <c r="A34" s="28" t="s">
        <v>197</v>
      </c>
      <c r="B34" s="29" t="str">
        <f>IMAGE("https://storage.googleapis.com/acdb/wall-mounted/FtrDoorPlateBone_Remake_5_0.png")</f>
        <v/>
      </c>
      <c r="C34" s="28" t="s">
        <v>211</v>
      </c>
      <c r="D34" s="30" t="s">
        <v>199</v>
      </c>
      <c r="E34" s="28" t="s">
        <v>83</v>
      </c>
      <c r="F34" s="30" t="s">
        <v>83</v>
      </c>
      <c r="G34" s="28" t="s">
        <v>53</v>
      </c>
      <c r="H34" s="28" t="s">
        <v>53</v>
      </c>
      <c r="I34" s="28">
        <v>1.0</v>
      </c>
      <c r="J34" s="28" t="s">
        <v>51</v>
      </c>
      <c r="K34" s="28">
        <v>360.0</v>
      </c>
      <c r="L34" s="28" t="s">
        <v>123</v>
      </c>
      <c r="M34" s="28" t="s">
        <v>55</v>
      </c>
      <c r="N34" s="28"/>
      <c r="O34" s="31" t="s">
        <v>89</v>
      </c>
      <c r="P34" s="28" t="s">
        <v>113</v>
      </c>
      <c r="Q34" s="28" t="s">
        <v>60</v>
      </c>
      <c r="R34" s="28"/>
      <c r="S34" s="28"/>
      <c r="T34" s="28" t="s">
        <v>40</v>
      </c>
      <c r="U34" s="28" t="s">
        <v>41</v>
      </c>
      <c r="V34" s="28" t="s">
        <v>54</v>
      </c>
      <c r="W34" s="28" t="s">
        <v>213</v>
      </c>
      <c r="X34" s="28" t="s">
        <v>120</v>
      </c>
      <c r="Y34" s="28">
        <v>4751.0</v>
      </c>
    </row>
    <row r="35" ht="56.25" customHeight="1">
      <c r="A35" s="28" t="s">
        <v>197</v>
      </c>
      <c r="B35" s="29" t="str">
        <f>IMAGE("https://storage.googleapis.com/acdb/wall-mounted/FtrDoorPlateBone_Remake_6_0.png")</f>
        <v/>
      </c>
      <c r="C35" s="28" t="s">
        <v>112</v>
      </c>
      <c r="D35" s="30" t="s">
        <v>199</v>
      </c>
      <c r="E35" s="28" t="s">
        <v>83</v>
      </c>
      <c r="F35" s="30" t="s">
        <v>83</v>
      </c>
      <c r="G35" s="28" t="s">
        <v>53</v>
      </c>
      <c r="H35" s="28" t="s">
        <v>53</v>
      </c>
      <c r="I35" s="28">
        <v>1.0</v>
      </c>
      <c r="J35" s="28" t="s">
        <v>51</v>
      </c>
      <c r="K35" s="28">
        <v>360.0</v>
      </c>
      <c r="L35" s="28" t="s">
        <v>123</v>
      </c>
      <c r="M35" s="28" t="s">
        <v>55</v>
      </c>
      <c r="N35" s="28"/>
      <c r="O35" s="31" t="s">
        <v>89</v>
      </c>
      <c r="P35" s="28" t="s">
        <v>113</v>
      </c>
      <c r="Q35" s="28" t="s">
        <v>60</v>
      </c>
      <c r="R35" s="28"/>
      <c r="S35" s="28"/>
      <c r="T35" s="28" t="s">
        <v>40</v>
      </c>
      <c r="U35" s="28" t="s">
        <v>41</v>
      </c>
      <c r="V35" s="28" t="s">
        <v>54</v>
      </c>
      <c r="W35" s="28" t="s">
        <v>217</v>
      </c>
      <c r="X35" s="28" t="s">
        <v>218</v>
      </c>
      <c r="Y35" s="28">
        <v>4751.0</v>
      </c>
    </row>
    <row r="36" ht="56.25" customHeight="1">
      <c r="A36" s="28" t="s">
        <v>197</v>
      </c>
      <c r="B36" s="29" t="str">
        <f>IMAGE("https://storage.googleapis.com/acdb/wall-mounted/FtrDoorPlateBone_Remake_7_0.png")</f>
        <v/>
      </c>
      <c r="C36" s="28" t="s">
        <v>219</v>
      </c>
      <c r="D36" s="30" t="s">
        <v>199</v>
      </c>
      <c r="E36" s="28" t="s">
        <v>83</v>
      </c>
      <c r="F36" s="30" t="s">
        <v>83</v>
      </c>
      <c r="G36" s="28" t="s">
        <v>53</v>
      </c>
      <c r="H36" s="28" t="s">
        <v>53</v>
      </c>
      <c r="I36" s="28">
        <v>1.0</v>
      </c>
      <c r="J36" s="28" t="s">
        <v>51</v>
      </c>
      <c r="K36" s="28">
        <v>360.0</v>
      </c>
      <c r="L36" s="28" t="s">
        <v>123</v>
      </c>
      <c r="M36" s="28" t="s">
        <v>55</v>
      </c>
      <c r="N36" s="28"/>
      <c r="O36" s="31" t="s">
        <v>89</v>
      </c>
      <c r="P36" s="28" t="s">
        <v>113</v>
      </c>
      <c r="Q36" s="28" t="s">
        <v>60</v>
      </c>
      <c r="R36" s="28"/>
      <c r="S36" s="28"/>
      <c r="T36" s="28" t="s">
        <v>40</v>
      </c>
      <c r="U36" s="28" t="s">
        <v>41</v>
      </c>
      <c r="V36" s="28" t="s">
        <v>54</v>
      </c>
      <c r="W36" s="28" t="s">
        <v>222</v>
      </c>
      <c r="X36" s="28" t="s">
        <v>223</v>
      </c>
      <c r="Y36" s="28">
        <v>4751.0</v>
      </c>
    </row>
    <row r="37" ht="56.25" customHeight="1">
      <c r="A37" s="28" t="s">
        <v>224</v>
      </c>
      <c r="B37" s="29" t="str">
        <f>IMAGE("https://storage.googleapis.com/acdb/wall-mounted/FtrBoomerang_Remake_0_0.png")</f>
        <v/>
      </c>
      <c r="C37" s="28" t="s">
        <v>126</v>
      </c>
      <c r="D37" s="30" t="s">
        <v>225</v>
      </c>
      <c r="E37" s="28" t="s">
        <v>83</v>
      </c>
      <c r="F37" s="30" t="s">
        <v>83</v>
      </c>
      <c r="G37" s="28" t="s">
        <v>53</v>
      </c>
      <c r="H37" s="28" t="s">
        <v>53</v>
      </c>
      <c r="I37" s="28">
        <v>1.0</v>
      </c>
      <c r="J37" s="28" t="s">
        <v>51</v>
      </c>
      <c r="K37" s="28">
        <v>360.0</v>
      </c>
      <c r="L37" s="28" t="s">
        <v>226</v>
      </c>
      <c r="M37" s="28" t="s">
        <v>55</v>
      </c>
      <c r="N37" s="28"/>
      <c r="O37" s="31" t="s">
        <v>89</v>
      </c>
      <c r="P37" s="28" t="s">
        <v>113</v>
      </c>
      <c r="Q37" s="28"/>
      <c r="R37" s="28"/>
      <c r="S37" s="28"/>
      <c r="T37" s="28" t="s">
        <v>40</v>
      </c>
      <c r="U37" s="28" t="s">
        <v>41</v>
      </c>
      <c r="V37" s="28" t="s">
        <v>54</v>
      </c>
      <c r="W37" s="28" t="s">
        <v>228</v>
      </c>
      <c r="X37" s="28" t="s">
        <v>92</v>
      </c>
      <c r="Y37" s="28">
        <v>682.0</v>
      </c>
    </row>
    <row r="38" ht="56.25" customHeight="1">
      <c r="A38" s="28" t="s">
        <v>224</v>
      </c>
      <c r="B38" s="29" t="str">
        <f>IMAGE("https://storage.googleapis.com/acdb/wall-mounted/FtrBoomerang_Remake_1_0.png")</f>
        <v/>
      </c>
      <c r="C38" s="28" t="s">
        <v>230</v>
      </c>
      <c r="D38" s="30" t="s">
        <v>225</v>
      </c>
      <c r="E38" s="28" t="s">
        <v>83</v>
      </c>
      <c r="F38" s="30" t="s">
        <v>83</v>
      </c>
      <c r="G38" s="28" t="s">
        <v>53</v>
      </c>
      <c r="H38" s="28" t="s">
        <v>53</v>
      </c>
      <c r="I38" s="28">
        <v>1.0</v>
      </c>
      <c r="J38" s="28" t="s">
        <v>51</v>
      </c>
      <c r="K38" s="28">
        <v>360.0</v>
      </c>
      <c r="L38" s="28" t="s">
        <v>226</v>
      </c>
      <c r="M38" s="28" t="s">
        <v>55</v>
      </c>
      <c r="N38" s="28"/>
      <c r="O38" s="31" t="s">
        <v>89</v>
      </c>
      <c r="P38" s="28" t="s">
        <v>113</v>
      </c>
      <c r="Q38" s="28"/>
      <c r="R38" s="28"/>
      <c r="S38" s="28"/>
      <c r="T38" s="28" t="s">
        <v>40</v>
      </c>
      <c r="U38" s="28" t="s">
        <v>41</v>
      </c>
      <c r="V38" s="28" t="s">
        <v>54</v>
      </c>
      <c r="W38" s="28" t="s">
        <v>231</v>
      </c>
      <c r="X38" s="28" t="s">
        <v>97</v>
      </c>
      <c r="Y38" s="28">
        <v>682.0</v>
      </c>
    </row>
    <row r="39" ht="56.25" customHeight="1">
      <c r="A39" s="28" t="s">
        <v>224</v>
      </c>
      <c r="B39" s="29" t="str">
        <f>IMAGE("https://storage.googleapis.com/acdb/wall-mounted/FtrBoomerang_Remake_2_0.png")</f>
        <v/>
      </c>
      <c r="C39" s="28" t="s">
        <v>233</v>
      </c>
      <c r="D39" s="30" t="s">
        <v>225</v>
      </c>
      <c r="E39" s="28" t="s">
        <v>83</v>
      </c>
      <c r="F39" s="30" t="s">
        <v>83</v>
      </c>
      <c r="G39" s="28" t="s">
        <v>53</v>
      </c>
      <c r="H39" s="28" t="s">
        <v>53</v>
      </c>
      <c r="I39" s="28">
        <v>1.0</v>
      </c>
      <c r="J39" s="28" t="s">
        <v>51</v>
      </c>
      <c r="K39" s="28">
        <v>360.0</v>
      </c>
      <c r="L39" s="28" t="s">
        <v>226</v>
      </c>
      <c r="M39" s="28" t="s">
        <v>55</v>
      </c>
      <c r="N39" s="28"/>
      <c r="O39" s="31" t="s">
        <v>89</v>
      </c>
      <c r="P39" s="28" t="s">
        <v>113</v>
      </c>
      <c r="Q39" s="28"/>
      <c r="R39" s="28"/>
      <c r="S39" s="28"/>
      <c r="T39" s="28" t="s">
        <v>40</v>
      </c>
      <c r="U39" s="28" t="s">
        <v>41</v>
      </c>
      <c r="V39" s="28" t="s">
        <v>54</v>
      </c>
      <c r="W39" s="28" t="s">
        <v>234</v>
      </c>
      <c r="X39" s="28" t="s">
        <v>103</v>
      </c>
      <c r="Y39" s="28">
        <v>682.0</v>
      </c>
    </row>
    <row r="40" ht="56.25" customHeight="1">
      <c r="A40" s="28" t="s">
        <v>224</v>
      </c>
      <c r="B40" s="29" t="str">
        <f>IMAGE("https://storage.googleapis.com/acdb/wall-mounted/FtrBoomerang_Remake_3_0.png")</f>
        <v/>
      </c>
      <c r="C40" s="28" t="s">
        <v>236</v>
      </c>
      <c r="D40" s="30" t="s">
        <v>225</v>
      </c>
      <c r="E40" s="28" t="s">
        <v>83</v>
      </c>
      <c r="F40" s="30" t="s">
        <v>83</v>
      </c>
      <c r="G40" s="28" t="s">
        <v>53</v>
      </c>
      <c r="H40" s="28" t="s">
        <v>53</v>
      </c>
      <c r="I40" s="28">
        <v>1.0</v>
      </c>
      <c r="J40" s="28" t="s">
        <v>51</v>
      </c>
      <c r="K40" s="28">
        <v>360.0</v>
      </c>
      <c r="L40" s="28" t="s">
        <v>226</v>
      </c>
      <c r="M40" s="28" t="s">
        <v>55</v>
      </c>
      <c r="N40" s="28"/>
      <c r="O40" s="31" t="s">
        <v>89</v>
      </c>
      <c r="P40" s="28" t="s">
        <v>113</v>
      </c>
      <c r="Q40" s="28"/>
      <c r="R40" s="28"/>
      <c r="S40" s="28"/>
      <c r="T40" s="28" t="s">
        <v>40</v>
      </c>
      <c r="U40" s="28" t="s">
        <v>41</v>
      </c>
      <c r="V40" s="28" t="s">
        <v>54</v>
      </c>
      <c r="W40" s="28" t="s">
        <v>237</v>
      </c>
      <c r="X40" s="28" t="s">
        <v>110</v>
      </c>
      <c r="Y40" s="28">
        <v>682.0</v>
      </c>
    </row>
    <row r="41" ht="56.25" customHeight="1">
      <c r="A41" s="28" t="s">
        <v>224</v>
      </c>
      <c r="B41" s="29" t="str">
        <f>IMAGE("https://storage.googleapis.com/acdb/wall-mounted/FtrBoomerang_Remake_4_0.png")</f>
        <v/>
      </c>
      <c r="C41" s="28" t="s">
        <v>238</v>
      </c>
      <c r="D41" s="30" t="s">
        <v>225</v>
      </c>
      <c r="E41" s="28" t="s">
        <v>83</v>
      </c>
      <c r="F41" s="30" t="s">
        <v>83</v>
      </c>
      <c r="G41" s="28" t="s">
        <v>53</v>
      </c>
      <c r="H41" s="28" t="s">
        <v>53</v>
      </c>
      <c r="I41" s="28">
        <v>1.0</v>
      </c>
      <c r="J41" s="28" t="s">
        <v>51</v>
      </c>
      <c r="K41" s="28">
        <v>360.0</v>
      </c>
      <c r="L41" s="28" t="s">
        <v>226</v>
      </c>
      <c r="M41" s="28" t="s">
        <v>55</v>
      </c>
      <c r="N41" s="28"/>
      <c r="O41" s="31" t="s">
        <v>89</v>
      </c>
      <c r="P41" s="28" t="s">
        <v>113</v>
      </c>
      <c r="Q41" s="28"/>
      <c r="R41" s="28"/>
      <c r="S41" s="28"/>
      <c r="T41" s="28" t="s">
        <v>40</v>
      </c>
      <c r="U41" s="28" t="s">
        <v>41</v>
      </c>
      <c r="V41" s="28" t="s">
        <v>54</v>
      </c>
      <c r="W41" s="28" t="s">
        <v>241</v>
      </c>
      <c r="X41" s="28" t="s">
        <v>115</v>
      </c>
      <c r="Y41" s="28">
        <v>682.0</v>
      </c>
    </row>
    <row r="42" ht="56.25" customHeight="1">
      <c r="A42" s="28" t="s">
        <v>242</v>
      </c>
      <c r="B42" s="29" t="str">
        <f>IMAGE("https://storage.googleapis.com/acdb/wall-mounted/FtrBreaker.png")</f>
        <v/>
      </c>
      <c r="C42" s="28" t="s">
        <v>83</v>
      </c>
      <c r="D42" s="28" t="s">
        <v>83</v>
      </c>
      <c r="E42" s="28" t="s">
        <v>83</v>
      </c>
      <c r="F42" s="28" t="s">
        <v>83</v>
      </c>
      <c r="G42" s="28" t="s">
        <v>40</v>
      </c>
      <c r="H42" s="28" t="s">
        <v>40</v>
      </c>
      <c r="I42" s="28" t="s">
        <v>83</v>
      </c>
      <c r="J42" s="28">
        <v>820.0</v>
      </c>
      <c r="K42" s="28">
        <v>205.0</v>
      </c>
      <c r="L42" s="28" t="s">
        <v>123</v>
      </c>
      <c r="M42" s="28" t="s">
        <v>44</v>
      </c>
      <c r="N42" s="28" t="s">
        <v>68</v>
      </c>
      <c r="O42" s="31" t="s">
        <v>89</v>
      </c>
      <c r="P42" s="28" t="s">
        <v>243</v>
      </c>
      <c r="Q42" s="28" t="s">
        <v>90</v>
      </c>
      <c r="R42" s="28"/>
      <c r="S42" s="28"/>
      <c r="T42" s="28" t="s">
        <v>40</v>
      </c>
      <c r="U42" s="28" t="s">
        <v>41</v>
      </c>
      <c r="V42" s="28" t="s">
        <v>43</v>
      </c>
      <c r="W42" s="28" t="s">
        <v>244</v>
      </c>
      <c r="X42" s="28" t="s">
        <v>83</v>
      </c>
      <c r="Y42" s="28">
        <v>875.0</v>
      </c>
    </row>
    <row r="43" ht="56.25" customHeight="1">
      <c r="A43" s="28" t="s">
        <v>245</v>
      </c>
      <c r="B43" s="29" t="str">
        <f>IMAGE("https://storage.googleapis.com/acdb/wall-mounted/FtrShieldHhaBronze.png")</f>
        <v/>
      </c>
      <c r="C43" s="28" t="s">
        <v>83</v>
      </c>
      <c r="D43" s="28" t="s">
        <v>83</v>
      </c>
      <c r="E43" s="28" t="s">
        <v>83</v>
      </c>
      <c r="F43" s="28" t="s">
        <v>83</v>
      </c>
      <c r="G43" s="28" t="s">
        <v>40</v>
      </c>
      <c r="H43" s="28" t="s">
        <v>40</v>
      </c>
      <c r="I43" s="28" t="s">
        <v>83</v>
      </c>
      <c r="J43" s="28" t="s">
        <v>51</v>
      </c>
      <c r="K43" s="28">
        <v>400.0</v>
      </c>
      <c r="L43" s="28" t="s">
        <v>123</v>
      </c>
      <c r="M43" s="28" t="s">
        <v>247</v>
      </c>
      <c r="N43" s="28"/>
      <c r="O43" s="31" t="s">
        <v>89</v>
      </c>
      <c r="P43" s="28" t="s">
        <v>60</v>
      </c>
      <c r="Q43" s="28" t="s">
        <v>62</v>
      </c>
      <c r="R43" s="28"/>
      <c r="S43" s="28"/>
      <c r="T43" s="28" t="s">
        <v>40</v>
      </c>
      <c r="U43" s="28" t="s">
        <v>41</v>
      </c>
      <c r="V43" s="28" t="s">
        <v>54</v>
      </c>
      <c r="W43" s="28" t="s">
        <v>248</v>
      </c>
      <c r="X43" s="28" t="s">
        <v>83</v>
      </c>
      <c r="Y43" s="28">
        <v>7037.0</v>
      </c>
    </row>
    <row r="44" ht="56.25" customHeight="1">
      <c r="A44" s="28" t="s">
        <v>249</v>
      </c>
      <c r="B44" s="29" t="str">
        <f>IMAGE("https://storage.googleapis.com/acdb/wall-mounted/FtrCleaningset_Remake_0_0.png")</f>
        <v/>
      </c>
      <c r="C44" s="28" t="s">
        <v>126</v>
      </c>
      <c r="D44" s="30" t="s">
        <v>83</v>
      </c>
      <c r="E44" s="28" t="s">
        <v>83</v>
      </c>
      <c r="F44" s="30" t="s">
        <v>83</v>
      </c>
      <c r="G44" s="28" t="s">
        <v>40</v>
      </c>
      <c r="H44" s="28" t="s">
        <v>40</v>
      </c>
      <c r="I44" s="28" t="s">
        <v>83</v>
      </c>
      <c r="J44" s="28">
        <v>910.0</v>
      </c>
      <c r="K44" s="28">
        <v>227.0</v>
      </c>
      <c r="L44" s="28" t="s">
        <v>251</v>
      </c>
      <c r="M44" s="28" t="s">
        <v>44</v>
      </c>
      <c r="N44" s="28" t="s">
        <v>63</v>
      </c>
      <c r="O44" s="31" t="s">
        <v>89</v>
      </c>
      <c r="P44" s="28" t="s">
        <v>80</v>
      </c>
      <c r="Q44" s="28"/>
      <c r="R44" s="28"/>
      <c r="S44" s="28"/>
      <c r="T44" s="28" t="s">
        <v>40</v>
      </c>
      <c r="U44" s="28" t="s">
        <v>41</v>
      </c>
      <c r="V44" s="28" t="s">
        <v>43</v>
      </c>
      <c r="W44" s="28" t="s">
        <v>252</v>
      </c>
      <c r="X44" s="28" t="s">
        <v>92</v>
      </c>
      <c r="Y44" s="28">
        <v>3967.0</v>
      </c>
    </row>
    <row r="45" ht="56.25" customHeight="1">
      <c r="A45" s="28" t="s">
        <v>249</v>
      </c>
      <c r="B45" s="29" t="str">
        <f>IMAGE("https://storage.googleapis.com/acdb/wall-mounted/FtrCleaningset_Remake_1_0.png")</f>
        <v/>
      </c>
      <c r="C45" s="28" t="s">
        <v>82</v>
      </c>
      <c r="D45" s="30" t="s">
        <v>83</v>
      </c>
      <c r="E45" s="28" t="s">
        <v>83</v>
      </c>
      <c r="F45" s="30" t="s">
        <v>83</v>
      </c>
      <c r="G45" s="28" t="s">
        <v>40</v>
      </c>
      <c r="H45" s="28" t="s">
        <v>40</v>
      </c>
      <c r="I45" s="28" t="s">
        <v>83</v>
      </c>
      <c r="J45" s="28">
        <v>910.0</v>
      </c>
      <c r="K45" s="28">
        <v>227.0</v>
      </c>
      <c r="L45" s="28" t="s">
        <v>251</v>
      </c>
      <c r="M45" s="28" t="s">
        <v>44</v>
      </c>
      <c r="N45" s="28" t="s">
        <v>63</v>
      </c>
      <c r="O45" s="31" t="s">
        <v>89</v>
      </c>
      <c r="P45" s="28" t="s">
        <v>80</v>
      </c>
      <c r="Q45" s="28"/>
      <c r="R45" s="28"/>
      <c r="S45" s="28"/>
      <c r="T45" s="28" t="s">
        <v>40</v>
      </c>
      <c r="U45" s="28" t="s">
        <v>41</v>
      </c>
      <c r="V45" s="28" t="s">
        <v>43</v>
      </c>
      <c r="W45" s="28" t="s">
        <v>254</v>
      </c>
      <c r="X45" s="28" t="s">
        <v>97</v>
      </c>
      <c r="Y45" s="28">
        <v>3967.0</v>
      </c>
    </row>
    <row r="46" ht="56.25" customHeight="1">
      <c r="A46" s="28" t="s">
        <v>249</v>
      </c>
      <c r="B46" s="29" t="str">
        <f>IMAGE("https://storage.googleapis.com/acdb/wall-mounted/FtrCleaningset_Remake_2_0.png")</f>
        <v/>
      </c>
      <c r="C46" s="28" t="s">
        <v>233</v>
      </c>
      <c r="D46" s="30" t="s">
        <v>83</v>
      </c>
      <c r="E46" s="28" t="s">
        <v>83</v>
      </c>
      <c r="F46" s="30" t="s">
        <v>83</v>
      </c>
      <c r="G46" s="28" t="s">
        <v>40</v>
      </c>
      <c r="H46" s="28" t="s">
        <v>40</v>
      </c>
      <c r="I46" s="28" t="s">
        <v>83</v>
      </c>
      <c r="J46" s="28">
        <v>910.0</v>
      </c>
      <c r="K46" s="28">
        <v>227.0</v>
      </c>
      <c r="L46" s="28" t="s">
        <v>251</v>
      </c>
      <c r="M46" s="28" t="s">
        <v>44</v>
      </c>
      <c r="N46" s="28" t="s">
        <v>63</v>
      </c>
      <c r="O46" s="31" t="s">
        <v>89</v>
      </c>
      <c r="P46" s="28" t="s">
        <v>80</v>
      </c>
      <c r="Q46" s="28"/>
      <c r="R46" s="28"/>
      <c r="S46" s="28"/>
      <c r="T46" s="28" t="s">
        <v>40</v>
      </c>
      <c r="U46" s="28" t="s">
        <v>41</v>
      </c>
      <c r="V46" s="28" t="s">
        <v>43</v>
      </c>
      <c r="W46" s="28" t="s">
        <v>256</v>
      </c>
      <c r="X46" s="28" t="s">
        <v>103</v>
      </c>
      <c r="Y46" s="28">
        <v>3967.0</v>
      </c>
    </row>
    <row r="47" ht="56.25" customHeight="1">
      <c r="A47" s="28" t="s">
        <v>249</v>
      </c>
      <c r="B47" s="29" t="str">
        <f>IMAGE("https://storage.googleapis.com/acdb/wall-mounted/FtrCleaningset_Remake_3_0.png")</f>
        <v/>
      </c>
      <c r="C47" s="28" t="s">
        <v>258</v>
      </c>
      <c r="D47" s="30" t="s">
        <v>83</v>
      </c>
      <c r="E47" s="28" t="s">
        <v>83</v>
      </c>
      <c r="F47" s="30" t="s">
        <v>83</v>
      </c>
      <c r="G47" s="28" t="s">
        <v>40</v>
      </c>
      <c r="H47" s="28" t="s">
        <v>40</v>
      </c>
      <c r="I47" s="28" t="s">
        <v>83</v>
      </c>
      <c r="J47" s="28">
        <v>910.0</v>
      </c>
      <c r="K47" s="28">
        <v>227.0</v>
      </c>
      <c r="L47" s="28" t="s">
        <v>251</v>
      </c>
      <c r="M47" s="28" t="s">
        <v>44</v>
      </c>
      <c r="N47" s="28" t="s">
        <v>63</v>
      </c>
      <c r="O47" s="31" t="s">
        <v>89</v>
      </c>
      <c r="P47" s="28" t="s">
        <v>80</v>
      </c>
      <c r="Q47" s="28"/>
      <c r="R47" s="28"/>
      <c r="S47" s="28"/>
      <c r="T47" s="28" t="s">
        <v>40</v>
      </c>
      <c r="U47" s="28" t="s">
        <v>41</v>
      </c>
      <c r="V47" s="28" t="s">
        <v>43</v>
      </c>
      <c r="W47" s="28" t="s">
        <v>259</v>
      </c>
      <c r="X47" s="28" t="s">
        <v>110</v>
      </c>
      <c r="Y47" s="28">
        <v>3967.0</v>
      </c>
    </row>
    <row r="48" ht="56.25" customHeight="1">
      <c r="A48" s="28" t="s">
        <v>260</v>
      </c>
      <c r="B48" s="29" t="str">
        <f>image("https://i.imgur.com/yvTysIb.png")</f>
        <v/>
      </c>
      <c r="C48" s="28" t="s">
        <v>83</v>
      </c>
      <c r="D48" s="28" t="s">
        <v>83</v>
      </c>
      <c r="E48" s="28" t="s">
        <v>83</v>
      </c>
      <c r="F48" s="28" t="s">
        <v>83</v>
      </c>
      <c r="G48" s="28" t="s">
        <v>53</v>
      </c>
      <c r="H48" s="28" t="s">
        <v>40</v>
      </c>
      <c r="I48" s="28" t="s">
        <v>83</v>
      </c>
      <c r="J48" s="28" t="s">
        <v>51</v>
      </c>
      <c r="K48" s="34">
        <v>2400.0</v>
      </c>
      <c r="L48" s="28" t="s">
        <v>261</v>
      </c>
      <c r="M48" s="28" t="s">
        <v>55</v>
      </c>
      <c r="N48" s="28"/>
      <c r="O48" s="31" t="s">
        <v>262</v>
      </c>
      <c r="P48" s="28"/>
      <c r="Q48" s="28"/>
      <c r="R48" s="28"/>
      <c r="S48" s="28"/>
      <c r="T48" s="28"/>
      <c r="U48" s="28"/>
      <c r="V48" s="28" t="s">
        <v>54</v>
      </c>
      <c r="W48" s="28"/>
      <c r="X48" s="28" t="s">
        <v>83</v>
      </c>
      <c r="Y48" s="28"/>
    </row>
    <row r="49" ht="56.25" customHeight="1">
      <c r="A49" s="28" t="s">
        <v>263</v>
      </c>
      <c r="B49" s="29" t="str">
        <f>image("https://i.imgur.com/MBVvhWX.png")</f>
        <v/>
      </c>
      <c r="C49" s="28" t="s">
        <v>83</v>
      </c>
      <c r="D49" s="28" t="s">
        <v>83</v>
      </c>
      <c r="E49" s="28" t="s">
        <v>83</v>
      </c>
      <c r="F49" s="28" t="s">
        <v>83</v>
      </c>
      <c r="G49" s="28" t="s">
        <v>53</v>
      </c>
      <c r="H49" s="28" t="s">
        <v>40</v>
      </c>
      <c r="I49" s="28" t="s">
        <v>83</v>
      </c>
      <c r="J49" s="28" t="s">
        <v>51</v>
      </c>
      <c r="K49" s="34">
        <v>1200.0</v>
      </c>
      <c r="L49" s="28" t="s">
        <v>261</v>
      </c>
      <c r="M49" s="28" t="s">
        <v>55</v>
      </c>
      <c r="N49" s="28"/>
      <c r="O49" s="31" t="s">
        <v>262</v>
      </c>
      <c r="P49" s="28"/>
      <c r="Q49" s="28"/>
      <c r="R49" s="28"/>
      <c r="S49" s="28"/>
      <c r="T49" s="28"/>
      <c r="U49" s="28"/>
      <c r="V49" s="28" t="s">
        <v>54</v>
      </c>
      <c r="W49" s="28"/>
      <c r="X49" s="28" t="s">
        <v>83</v>
      </c>
      <c r="Y49" s="28"/>
    </row>
    <row r="50" ht="56.25" customHeight="1">
      <c r="A50" s="28" t="s">
        <v>266</v>
      </c>
      <c r="B50" s="29" t="str">
        <f>image("https://i.imgur.com/uLlQrmF.png")</f>
        <v/>
      </c>
      <c r="C50" s="28" t="s">
        <v>83</v>
      </c>
      <c r="D50" s="28" t="s">
        <v>83</v>
      </c>
      <c r="E50" s="28" t="s">
        <v>83</v>
      </c>
      <c r="F50" s="28" t="s">
        <v>83</v>
      </c>
      <c r="G50" s="28" t="s">
        <v>53</v>
      </c>
      <c r="H50" s="28" t="s">
        <v>40</v>
      </c>
      <c r="I50" s="28" t="s">
        <v>83</v>
      </c>
      <c r="J50" s="28" t="s">
        <v>51</v>
      </c>
      <c r="K50" s="34">
        <v>2400.0</v>
      </c>
      <c r="L50" s="28" t="s">
        <v>261</v>
      </c>
      <c r="M50" s="28" t="s">
        <v>55</v>
      </c>
      <c r="N50" s="28"/>
      <c r="O50" s="31" t="s">
        <v>262</v>
      </c>
      <c r="P50" s="28"/>
      <c r="Q50" s="28"/>
      <c r="R50" s="28"/>
      <c r="S50" s="28"/>
      <c r="T50" s="28"/>
      <c r="U50" s="28"/>
      <c r="V50" s="28" t="s">
        <v>54</v>
      </c>
      <c r="W50" s="28"/>
      <c r="X50" s="28" t="s">
        <v>83</v>
      </c>
      <c r="Y50" s="28"/>
    </row>
    <row r="51" ht="56.25" customHeight="1">
      <c r="A51" s="28" t="s">
        <v>268</v>
      </c>
      <c r="B51" s="29" t="str">
        <f>IMAGE("https://storage.googleapis.com/acdb/wall-mounted/FtrFishChouchouuoWall.png")</f>
        <v/>
      </c>
      <c r="C51" s="28" t="s">
        <v>83</v>
      </c>
      <c r="D51" s="28" t="s">
        <v>83</v>
      </c>
      <c r="E51" s="28" t="s">
        <v>83</v>
      </c>
      <c r="F51" s="28" t="s">
        <v>83</v>
      </c>
      <c r="G51" s="28" t="s">
        <v>40</v>
      </c>
      <c r="H51" s="28" t="s">
        <v>40</v>
      </c>
      <c r="I51" s="28" t="s">
        <v>83</v>
      </c>
      <c r="J51" s="28">
        <v>1300.0</v>
      </c>
      <c r="K51" s="28">
        <v>325.0</v>
      </c>
      <c r="L51" s="28" t="s">
        <v>123</v>
      </c>
      <c r="M51" s="28" t="s">
        <v>44</v>
      </c>
      <c r="N51" s="28" t="s">
        <v>68</v>
      </c>
      <c r="O51" s="31" t="s">
        <v>89</v>
      </c>
      <c r="P51" s="28" t="s">
        <v>84</v>
      </c>
      <c r="Q51" s="28" t="s">
        <v>90</v>
      </c>
      <c r="R51" s="28"/>
      <c r="S51" s="28"/>
      <c r="T51" s="28" t="s">
        <v>40</v>
      </c>
      <c r="U51" s="28" t="s">
        <v>41</v>
      </c>
      <c r="V51" s="28" t="s">
        <v>43</v>
      </c>
      <c r="W51" s="28" t="s">
        <v>270</v>
      </c>
      <c r="X51" s="28" t="s">
        <v>83</v>
      </c>
      <c r="Y51" s="28">
        <v>11182.0</v>
      </c>
    </row>
    <row r="52" ht="56.25" customHeight="1">
      <c r="A52" s="28" t="s">
        <v>271</v>
      </c>
      <c r="B52" s="29" t="str">
        <f>IMAGE("https://storage.googleapis.com/acdb/wall-mounted/FtrFruitsLampW_Remake_0_0.png")</f>
        <v/>
      </c>
      <c r="C52" s="28" t="s">
        <v>274</v>
      </c>
      <c r="D52" s="30" t="s">
        <v>275</v>
      </c>
      <c r="E52" s="28" t="s">
        <v>83</v>
      </c>
      <c r="F52" s="30" t="s">
        <v>83</v>
      </c>
      <c r="G52" s="28" t="s">
        <v>53</v>
      </c>
      <c r="H52" s="28" t="s">
        <v>53</v>
      </c>
      <c r="I52" s="28">
        <v>4.0</v>
      </c>
      <c r="J52" s="28" t="s">
        <v>51</v>
      </c>
      <c r="K52" s="28">
        <v>2400.0</v>
      </c>
      <c r="L52" s="28" t="s">
        <v>123</v>
      </c>
      <c r="M52" s="28" t="s">
        <v>55</v>
      </c>
      <c r="N52" s="28"/>
      <c r="O52" s="31" t="s">
        <v>89</v>
      </c>
      <c r="P52" s="28" t="s">
        <v>36</v>
      </c>
      <c r="Q52" s="28"/>
      <c r="R52" s="28"/>
      <c r="S52" s="28"/>
      <c r="T52" s="28" t="s">
        <v>53</v>
      </c>
      <c r="U52" s="28" t="s">
        <v>186</v>
      </c>
      <c r="V52" s="28" t="s">
        <v>54</v>
      </c>
      <c r="W52" s="28" t="s">
        <v>276</v>
      </c>
      <c r="X52" s="28" t="s">
        <v>92</v>
      </c>
      <c r="Y52" s="28">
        <v>4012.0</v>
      </c>
    </row>
    <row r="53" ht="56.25" customHeight="1">
      <c r="A53" s="28" t="s">
        <v>271</v>
      </c>
      <c r="B53" s="29" t="str">
        <f>IMAGE("https://storage.googleapis.com/acdb/wall-mounted/FtrFruitsLampW_Remake_1_0.png")</f>
        <v/>
      </c>
      <c r="C53" s="28" t="s">
        <v>277</v>
      </c>
      <c r="D53" s="30" t="s">
        <v>275</v>
      </c>
      <c r="E53" s="28" t="s">
        <v>83</v>
      </c>
      <c r="F53" s="30" t="s">
        <v>83</v>
      </c>
      <c r="G53" s="28" t="s">
        <v>53</v>
      </c>
      <c r="H53" s="28" t="s">
        <v>53</v>
      </c>
      <c r="I53" s="28">
        <v>4.0</v>
      </c>
      <c r="J53" s="28" t="s">
        <v>51</v>
      </c>
      <c r="K53" s="28">
        <v>2400.0</v>
      </c>
      <c r="L53" s="28" t="s">
        <v>123</v>
      </c>
      <c r="M53" s="28" t="s">
        <v>55</v>
      </c>
      <c r="N53" s="28"/>
      <c r="O53" s="31" t="s">
        <v>89</v>
      </c>
      <c r="P53" s="28" t="s">
        <v>36</v>
      </c>
      <c r="Q53" s="28"/>
      <c r="R53" s="28"/>
      <c r="S53" s="28"/>
      <c r="T53" s="28" t="s">
        <v>53</v>
      </c>
      <c r="U53" s="28" t="s">
        <v>186</v>
      </c>
      <c r="V53" s="28" t="s">
        <v>54</v>
      </c>
      <c r="W53" s="28" t="s">
        <v>278</v>
      </c>
      <c r="X53" s="28" t="s">
        <v>97</v>
      </c>
      <c r="Y53" s="28">
        <v>4012.0</v>
      </c>
    </row>
    <row r="54" ht="56.25" customHeight="1">
      <c r="A54" s="28" t="s">
        <v>279</v>
      </c>
      <c r="B54" s="29" t="str">
        <f>IMAGE("https://storage.googleapis.com/acdb/wall-mounted/FtrSakuraClockW_Remake_0_0.png")</f>
        <v/>
      </c>
      <c r="C54" s="28" t="s">
        <v>107</v>
      </c>
      <c r="D54" s="30" t="s">
        <v>199</v>
      </c>
      <c r="E54" s="28" t="s">
        <v>83</v>
      </c>
      <c r="F54" s="30" t="s">
        <v>83</v>
      </c>
      <c r="G54" s="28" t="s">
        <v>53</v>
      </c>
      <c r="H54" s="28" t="s">
        <v>53</v>
      </c>
      <c r="I54" s="28">
        <v>4.0</v>
      </c>
      <c r="J54" s="28" t="s">
        <v>51</v>
      </c>
      <c r="K54" s="28">
        <v>2750.0</v>
      </c>
      <c r="L54" s="28" t="s">
        <v>123</v>
      </c>
      <c r="M54" s="28" t="s">
        <v>55</v>
      </c>
      <c r="N54" s="28" t="s">
        <v>282</v>
      </c>
      <c r="O54" s="31" t="s">
        <v>89</v>
      </c>
      <c r="P54" s="28" t="s">
        <v>36</v>
      </c>
      <c r="Q54" s="28"/>
      <c r="R54" s="28"/>
      <c r="S54" s="28"/>
      <c r="T54" s="28" t="s">
        <v>53</v>
      </c>
      <c r="U54" s="28" t="s">
        <v>41</v>
      </c>
      <c r="V54" s="28" t="s">
        <v>54</v>
      </c>
      <c r="W54" s="28" t="s">
        <v>283</v>
      </c>
      <c r="X54" s="28" t="s">
        <v>92</v>
      </c>
      <c r="Y54" s="28">
        <v>6832.0</v>
      </c>
    </row>
    <row r="55" ht="56.25" customHeight="1">
      <c r="A55" s="28" t="s">
        <v>279</v>
      </c>
      <c r="B55" s="29" t="str">
        <f>IMAGE("https://storage.googleapis.com/acdb/wall-mounted/FtrSakuraClockW_Remake_1_0.png")</f>
        <v/>
      </c>
      <c r="C55" s="28" t="s">
        <v>285</v>
      </c>
      <c r="D55" s="30" t="s">
        <v>199</v>
      </c>
      <c r="E55" s="28" t="s">
        <v>83</v>
      </c>
      <c r="F55" s="30" t="s">
        <v>83</v>
      </c>
      <c r="G55" s="28" t="s">
        <v>53</v>
      </c>
      <c r="H55" s="28" t="s">
        <v>53</v>
      </c>
      <c r="I55" s="28">
        <v>4.0</v>
      </c>
      <c r="J55" s="28" t="s">
        <v>51</v>
      </c>
      <c r="K55" s="28">
        <v>2750.0</v>
      </c>
      <c r="L55" s="28" t="s">
        <v>123</v>
      </c>
      <c r="M55" s="28" t="s">
        <v>55</v>
      </c>
      <c r="N55" s="28" t="s">
        <v>282</v>
      </c>
      <c r="O55" s="31" t="s">
        <v>89</v>
      </c>
      <c r="P55" s="28" t="s">
        <v>36</v>
      </c>
      <c r="Q55" s="28"/>
      <c r="R55" s="28"/>
      <c r="S55" s="28"/>
      <c r="T55" s="28" t="s">
        <v>53</v>
      </c>
      <c r="U55" s="28" t="s">
        <v>41</v>
      </c>
      <c r="V55" s="28" t="s">
        <v>54</v>
      </c>
      <c r="W55" s="28" t="s">
        <v>287</v>
      </c>
      <c r="X55" s="28" t="s">
        <v>97</v>
      </c>
      <c r="Y55" s="28">
        <v>6832.0</v>
      </c>
    </row>
    <row r="56" ht="56.25" customHeight="1">
      <c r="A56" s="28" t="s">
        <v>289</v>
      </c>
      <c r="B56" s="29" t="str">
        <f>IMAGE("https://storage.googleapis.com/acdb/wall-mounted/FtrDoorOrnamentWreathCosmosRare.png")</f>
        <v/>
      </c>
      <c r="C56" s="28" t="s">
        <v>83</v>
      </c>
      <c r="D56" s="28" t="s">
        <v>83</v>
      </c>
      <c r="E56" s="28" t="s">
        <v>83</v>
      </c>
      <c r="F56" s="28" t="s">
        <v>83</v>
      </c>
      <c r="G56" s="28" t="s">
        <v>53</v>
      </c>
      <c r="H56" s="28" t="s">
        <v>40</v>
      </c>
      <c r="I56" s="28" t="s">
        <v>83</v>
      </c>
      <c r="J56" s="28" t="s">
        <v>51</v>
      </c>
      <c r="K56" s="28">
        <v>4800.0</v>
      </c>
      <c r="L56" s="28" t="s">
        <v>123</v>
      </c>
      <c r="M56" s="28" t="s">
        <v>55</v>
      </c>
      <c r="N56" s="28"/>
      <c r="O56" s="31" t="s">
        <v>89</v>
      </c>
      <c r="P56" s="28" t="s">
        <v>36</v>
      </c>
      <c r="Q56" s="28"/>
      <c r="R56" s="28"/>
      <c r="S56" s="28"/>
      <c r="T56" s="28" t="s">
        <v>40</v>
      </c>
      <c r="U56" s="28" t="s">
        <v>41</v>
      </c>
      <c r="V56" s="28" t="s">
        <v>54</v>
      </c>
      <c r="W56" s="28" t="s">
        <v>290</v>
      </c>
      <c r="X56" s="28" t="s">
        <v>83</v>
      </c>
      <c r="Y56" s="28">
        <v>5764.0</v>
      </c>
    </row>
    <row r="57" ht="56.25" customHeight="1">
      <c r="A57" s="28" t="s">
        <v>291</v>
      </c>
      <c r="B57" s="29" t="str">
        <f>IMAGE("https://storage.googleapis.com/acdb/wall-mounted/FtrDoorOrnamentWreathAnemoneRare.png")</f>
        <v/>
      </c>
      <c r="C57" s="28" t="s">
        <v>83</v>
      </c>
      <c r="D57" s="28" t="s">
        <v>83</v>
      </c>
      <c r="E57" s="28" t="s">
        <v>83</v>
      </c>
      <c r="F57" s="28" t="s">
        <v>83</v>
      </c>
      <c r="G57" s="28" t="s">
        <v>53</v>
      </c>
      <c r="H57" s="28" t="s">
        <v>40</v>
      </c>
      <c r="I57" s="28" t="s">
        <v>83</v>
      </c>
      <c r="J57" s="28" t="s">
        <v>51</v>
      </c>
      <c r="K57" s="28">
        <v>4800.0</v>
      </c>
      <c r="L57" s="28" t="s">
        <v>123</v>
      </c>
      <c r="M57" s="28" t="s">
        <v>55</v>
      </c>
      <c r="N57" s="28"/>
      <c r="O57" s="31" t="s">
        <v>89</v>
      </c>
      <c r="P57" s="28" t="s">
        <v>36</v>
      </c>
      <c r="Q57" s="28"/>
      <c r="R57" s="28"/>
      <c r="S57" s="28"/>
      <c r="T57" s="28" t="s">
        <v>40</v>
      </c>
      <c r="U57" s="28" t="s">
        <v>41</v>
      </c>
      <c r="V57" s="28" t="s">
        <v>54</v>
      </c>
      <c r="W57" s="28" t="s">
        <v>293</v>
      </c>
      <c r="X57" s="28" t="s">
        <v>83</v>
      </c>
      <c r="Y57" s="28">
        <v>5765.0</v>
      </c>
    </row>
    <row r="58" ht="56.25" customHeight="1">
      <c r="A58" s="28" t="s">
        <v>294</v>
      </c>
      <c r="B58" s="29" t="str">
        <f>IMAGE("https://storage.googleapis.com/acdb/wall-mounted/FtrPlanterPalm.png")</f>
        <v/>
      </c>
      <c r="C58" s="28" t="s">
        <v>83</v>
      </c>
      <c r="D58" s="28" t="s">
        <v>83</v>
      </c>
      <c r="E58" s="28" t="s">
        <v>83</v>
      </c>
      <c r="F58" s="28" t="s">
        <v>83</v>
      </c>
      <c r="G58" s="28" t="s">
        <v>53</v>
      </c>
      <c r="H58" s="28" t="s">
        <v>40</v>
      </c>
      <c r="I58" s="28" t="s">
        <v>83</v>
      </c>
      <c r="J58" s="28" t="s">
        <v>51</v>
      </c>
      <c r="K58" s="28">
        <v>600.0</v>
      </c>
      <c r="L58" s="28" t="s">
        <v>251</v>
      </c>
      <c r="M58" s="28" t="s">
        <v>55</v>
      </c>
      <c r="N58" s="28"/>
      <c r="O58" s="31" t="s">
        <v>89</v>
      </c>
      <c r="P58" s="28" t="s">
        <v>84</v>
      </c>
      <c r="Q58" s="28" t="s">
        <v>60</v>
      </c>
      <c r="R58" s="28"/>
      <c r="S58" s="28"/>
      <c r="T58" s="28" t="s">
        <v>40</v>
      </c>
      <c r="U58" s="28" t="s">
        <v>41</v>
      </c>
      <c r="V58" s="28" t="s">
        <v>54</v>
      </c>
      <c r="W58" s="28" t="s">
        <v>296</v>
      </c>
      <c r="X58" s="28" t="s">
        <v>83</v>
      </c>
      <c r="Y58" s="28">
        <v>4130.0</v>
      </c>
    </row>
    <row r="59" ht="56.25" customHeight="1">
      <c r="A59" s="28" t="s">
        <v>297</v>
      </c>
      <c r="B59" s="29" t="str">
        <f>IMAGE("https://storage.googleapis.com/acdb/wall-mounted/FtrDoorOrnamentWreathHyacinthMix.png")</f>
        <v/>
      </c>
      <c r="C59" s="28" t="s">
        <v>83</v>
      </c>
      <c r="D59" s="28" t="s">
        <v>83</v>
      </c>
      <c r="E59" s="28" t="s">
        <v>83</v>
      </c>
      <c r="F59" s="28" t="s">
        <v>83</v>
      </c>
      <c r="G59" s="28" t="s">
        <v>53</v>
      </c>
      <c r="H59" s="28" t="s">
        <v>40</v>
      </c>
      <c r="I59" s="28" t="s">
        <v>83</v>
      </c>
      <c r="J59" s="28" t="s">
        <v>51</v>
      </c>
      <c r="K59" s="28">
        <v>1440.0</v>
      </c>
      <c r="L59" s="28" t="s">
        <v>123</v>
      </c>
      <c r="M59" s="28" t="s">
        <v>55</v>
      </c>
      <c r="N59" s="28"/>
      <c r="O59" s="31" t="s">
        <v>89</v>
      </c>
      <c r="P59" s="28" t="s">
        <v>36</v>
      </c>
      <c r="Q59" s="28"/>
      <c r="R59" s="28"/>
      <c r="S59" s="28"/>
      <c r="T59" s="28" t="s">
        <v>40</v>
      </c>
      <c r="U59" s="28" t="s">
        <v>41</v>
      </c>
      <c r="V59" s="28" t="s">
        <v>54</v>
      </c>
      <c r="W59" s="28" t="s">
        <v>298</v>
      </c>
      <c r="X59" s="28" t="s">
        <v>83</v>
      </c>
      <c r="Y59" s="28">
        <v>5750.0</v>
      </c>
    </row>
    <row r="60" ht="56.25" customHeight="1">
      <c r="A60" s="28" t="s">
        <v>299</v>
      </c>
      <c r="B60" s="29" t="str">
        <f>IMAGE("https://storage.googleapis.com/acdb/wall-mounted/FtrDoorOrnamentWreathPansyRare.png")</f>
        <v/>
      </c>
      <c r="C60" s="28" t="s">
        <v>83</v>
      </c>
      <c r="D60" s="28" t="s">
        <v>83</v>
      </c>
      <c r="E60" s="28" t="s">
        <v>83</v>
      </c>
      <c r="F60" s="28" t="s">
        <v>83</v>
      </c>
      <c r="G60" s="28" t="s">
        <v>53</v>
      </c>
      <c r="H60" s="28" t="s">
        <v>40</v>
      </c>
      <c r="I60" s="28" t="s">
        <v>83</v>
      </c>
      <c r="J60" s="28" t="s">
        <v>51</v>
      </c>
      <c r="K60" s="28">
        <v>4800.0</v>
      </c>
      <c r="L60" s="28" t="s">
        <v>123</v>
      </c>
      <c r="M60" s="28" t="s">
        <v>55</v>
      </c>
      <c r="N60" s="28"/>
      <c r="O60" s="31" t="s">
        <v>89</v>
      </c>
      <c r="P60" s="28" t="s">
        <v>36</v>
      </c>
      <c r="Q60" s="28"/>
      <c r="R60" s="28"/>
      <c r="S60" s="28"/>
      <c r="T60" s="28" t="s">
        <v>40</v>
      </c>
      <c r="U60" s="28" t="s">
        <v>41</v>
      </c>
      <c r="V60" s="28" t="s">
        <v>54</v>
      </c>
      <c r="W60" s="28" t="s">
        <v>302</v>
      </c>
      <c r="X60" s="28" t="s">
        <v>83</v>
      </c>
      <c r="Y60" s="28">
        <v>5767.0</v>
      </c>
    </row>
    <row r="61" ht="56.25" customHeight="1">
      <c r="A61" s="28" t="s">
        <v>303</v>
      </c>
      <c r="B61" s="29" t="str">
        <f>IMAGE("https://storage.googleapis.com/acdb/wall-mounted/FtrDoorOrnamentWreathAnemoneMix.png")</f>
        <v/>
      </c>
      <c r="C61" s="28" t="s">
        <v>83</v>
      </c>
      <c r="D61" s="28" t="s">
        <v>83</v>
      </c>
      <c r="E61" s="28" t="s">
        <v>83</v>
      </c>
      <c r="F61" s="28" t="s">
        <v>83</v>
      </c>
      <c r="G61" s="28" t="s">
        <v>53</v>
      </c>
      <c r="H61" s="28" t="s">
        <v>40</v>
      </c>
      <c r="I61" s="28" t="s">
        <v>83</v>
      </c>
      <c r="J61" s="28" t="s">
        <v>51</v>
      </c>
      <c r="K61" s="28">
        <v>1200.0</v>
      </c>
      <c r="L61" s="28" t="s">
        <v>123</v>
      </c>
      <c r="M61" s="28" t="s">
        <v>55</v>
      </c>
      <c r="N61" s="28"/>
      <c r="O61" s="31" t="s">
        <v>89</v>
      </c>
      <c r="P61" s="28" t="s">
        <v>36</v>
      </c>
      <c r="Q61" s="28"/>
      <c r="R61" s="28"/>
      <c r="S61" s="28"/>
      <c r="T61" s="28" t="s">
        <v>40</v>
      </c>
      <c r="U61" s="28" t="s">
        <v>41</v>
      </c>
      <c r="V61" s="28" t="s">
        <v>54</v>
      </c>
      <c r="W61" s="28" t="s">
        <v>304</v>
      </c>
      <c r="X61" s="28" t="s">
        <v>83</v>
      </c>
      <c r="Y61" s="28">
        <v>5746.0</v>
      </c>
    </row>
    <row r="62" ht="56.25" customHeight="1">
      <c r="A62" s="28" t="s">
        <v>305</v>
      </c>
      <c r="B62" s="29" t="str">
        <f>IMAGE("https://storage.googleapis.com/acdb/wall-mounted/FtrCorkboard_Remake_0_0.png")</f>
        <v/>
      </c>
      <c r="C62" s="28" t="s">
        <v>126</v>
      </c>
      <c r="D62" s="30" t="s">
        <v>83</v>
      </c>
      <c r="E62" s="28" t="s">
        <v>307</v>
      </c>
      <c r="F62" s="30" t="s">
        <v>308</v>
      </c>
      <c r="G62" s="28" t="s">
        <v>40</v>
      </c>
      <c r="H62" s="28" t="s">
        <v>53</v>
      </c>
      <c r="I62" s="28">
        <v>1.0</v>
      </c>
      <c r="J62" s="28">
        <v>1400.0</v>
      </c>
      <c r="K62" s="28">
        <v>350.0</v>
      </c>
      <c r="L62" s="28" t="s">
        <v>88</v>
      </c>
      <c r="M62" s="28" t="s">
        <v>44</v>
      </c>
      <c r="N62" s="28" t="s">
        <v>63</v>
      </c>
      <c r="O62" s="31" t="s">
        <v>89</v>
      </c>
      <c r="P62" s="28" t="s">
        <v>80</v>
      </c>
      <c r="Q62" s="28" t="s">
        <v>61</v>
      </c>
      <c r="R62" s="28"/>
      <c r="S62" s="28"/>
      <c r="T62" s="28" t="s">
        <v>40</v>
      </c>
      <c r="U62" s="28" t="s">
        <v>41</v>
      </c>
      <c r="V62" s="28" t="s">
        <v>43</v>
      </c>
      <c r="W62" s="28" t="s">
        <v>310</v>
      </c>
      <c r="X62" s="28" t="s">
        <v>92</v>
      </c>
      <c r="Y62" s="28">
        <v>1783.0</v>
      </c>
    </row>
    <row r="63" ht="56.25" customHeight="1">
      <c r="A63" s="28" t="s">
        <v>305</v>
      </c>
      <c r="B63" s="29" t="str">
        <f>IMAGE("https://storage.googleapis.com/acdb/wall-mounted/FtrCorkboard_Remake_0_1.png")</f>
        <v/>
      </c>
      <c r="C63" s="28" t="s">
        <v>126</v>
      </c>
      <c r="D63" s="30" t="s">
        <v>83</v>
      </c>
      <c r="E63" s="28" t="s">
        <v>311</v>
      </c>
      <c r="F63" s="30" t="s">
        <v>308</v>
      </c>
      <c r="G63" s="28" t="s">
        <v>40</v>
      </c>
      <c r="H63" s="28" t="s">
        <v>53</v>
      </c>
      <c r="I63" s="28">
        <v>1.0</v>
      </c>
      <c r="J63" s="28">
        <v>1400.0</v>
      </c>
      <c r="K63" s="28">
        <v>350.0</v>
      </c>
      <c r="L63" s="28" t="s">
        <v>88</v>
      </c>
      <c r="M63" s="28" t="s">
        <v>44</v>
      </c>
      <c r="N63" s="28" t="s">
        <v>63</v>
      </c>
      <c r="O63" s="31" t="s">
        <v>89</v>
      </c>
      <c r="P63" s="28" t="s">
        <v>80</v>
      </c>
      <c r="Q63" s="28" t="s">
        <v>61</v>
      </c>
      <c r="R63" s="28"/>
      <c r="S63" s="28"/>
      <c r="T63" s="28" t="s">
        <v>40</v>
      </c>
      <c r="U63" s="28" t="s">
        <v>41</v>
      </c>
      <c r="V63" s="28" t="s">
        <v>43</v>
      </c>
      <c r="W63" s="28" t="s">
        <v>312</v>
      </c>
      <c r="X63" s="28" t="s">
        <v>141</v>
      </c>
      <c r="Y63" s="28">
        <v>1783.0</v>
      </c>
    </row>
    <row r="64" ht="56.25" customHeight="1">
      <c r="A64" s="28" t="s">
        <v>305</v>
      </c>
      <c r="B64" s="29" t="str">
        <f>IMAGE("https://storage.googleapis.com/acdb/wall-mounted/FtrCorkboard_Remake_0_2.png")</f>
        <v/>
      </c>
      <c r="C64" s="28" t="s">
        <v>126</v>
      </c>
      <c r="D64" s="30" t="s">
        <v>83</v>
      </c>
      <c r="E64" s="28" t="s">
        <v>314</v>
      </c>
      <c r="F64" s="30" t="s">
        <v>308</v>
      </c>
      <c r="G64" s="28" t="s">
        <v>40</v>
      </c>
      <c r="H64" s="28" t="s">
        <v>53</v>
      </c>
      <c r="I64" s="28">
        <v>1.0</v>
      </c>
      <c r="J64" s="28">
        <v>1400.0</v>
      </c>
      <c r="K64" s="28">
        <v>350.0</v>
      </c>
      <c r="L64" s="28" t="s">
        <v>88</v>
      </c>
      <c r="M64" s="28" t="s">
        <v>44</v>
      </c>
      <c r="N64" s="28" t="s">
        <v>63</v>
      </c>
      <c r="O64" s="31" t="s">
        <v>89</v>
      </c>
      <c r="P64" s="28" t="s">
        <v>80</v>
      </c>
      <c r="Q64" s="28" t="s">
        <v>61</v>
      </c>
      <c r="R64" s="28"/>
      <c r="S64" s="28"/>
      <c r="T64" s="28" t="s">
        <v>40</v>
      </c>
      <c r="U64" s="28" t="s">
        <v>41</v>
      </c>
      <c r="V64" s="28" t="s">
        <v>43</v>
      </c>
      <c r="W64" s="28" t="s">
        <v>316</v>
      </c>
      <c r="X64" s="28" t="s">
        <v>317</v>
      </c>
      <c r="Y64" s="28">
        <v>1783.0</v>
      </c>
    </row>
    <row r="65" ht="56.25" customHeight="1">
      <c r="A65" s="28" t="s">
        <v>305</v>
      </c>
      <c r="B65" s="29" t="str">
        <f>IMAGE("https://storage.googleapis.com/acdb/wall-mounted/FtrCorkboard_Remake_1_0.png")</f>
        <v/>
      </c>
      <c r="C65" s="28" t="s">
        <v>82</v>
      </c>
      <c r="D65" s="30" t="s">
        <v>83</v>
      </c>
      <c r="E65" s="28" t="s">
        <v>307</v>
      </c>
      <c r="F65" s="30" t="s">
        <v>308</v>
      </c>
      <c r="G65" s="28" t="s">
        <v>40</v>
      </c>
      <c r="H65" s="28" t="s">
        <v>53</v>
      </c>
      <c r="I65" s="28">
        <v>1.0</v>
      </c>
      <c r="J65" s="28">
        <v>1400.0</v>
      </c>
      <c r="K65" s="28">
        <v>350.0</v>
      </c>
      <c r="L65" s="28" t="s">
        <v>88</v>
      </c>
      <c r="M65" s="28" t="s">
        <v>44</v>
      </c>
      <c r="N65" s="28" t="s">
        <v>63</v>
      </c>
      <c r="O65" s="31" t="s">
        <v>89</v>
      </c>
      <c r="P65" s="28" t="s">
        <v>80</v>
      </c>
      <c r="Q65" s="28" t="s">
        <v>61</v>
      </c>
      <c r="R65" s="28"/>
      <c r="S65" s="28"/>
      <c r="T65" s="28" t="s">
        <v>40</v>
      </c>
      <c r="U65" s="28" t="s">
        <v>41</v>
      </c>
      <c r="V65" s="28" t="s">
        <v>43</v>
      </c>
      <c r="W65" s="28" t="s">
        <v>319</v>
      </c>
      <c r="X65" s="28" t="s">
        <v>97</v>
      </c>
      <c r="Y65" s="28">
        <v>1783.0</v>
      </c>
    </row>
    <row r="66" ht="56.25" customHeight="1">
      <c r="A66" s="28" t="s">
        <v>305</v>
      </c>
      <c r="B66" s="29" t="str">
        <f>IMAGE("https://storage.googleapis.com/acdb/wall-mounted/FtrCorkboard_Remake_1_1.png")</f>
        <v/>
      </c>
      <c r="C66" s="28" t="s">
        <v>82</v>
      </c>
      <c r="D66" s="30" t="s">
        <v>83</v>
      </c>
      <c r="E66" s="28" t="s">
        <v>311</v>
      </c>
      <c r="F66" s="30" t="s">
        <v>308</v>
      </c>
      <c r="G66" s="28" t="s">
        <v>40</v>
      </c>
      <c r="H66" s="28" t="s">
        <v>53</v>
      </c>
      <c r="I66" s="28">
        <v>1.0</v>
      </c>
      <c r="J66" s="28">
        <v>1400.0</v>
      </c>
      <c r="K66" s="28">
        <v>350.0</v>
      </c>
      <c r="L66" s="28" t="s">
        <v>88</v>
      </c>
      <c r="M66" s="28" t="s">
        <v>44</v>
      </c>
      <c r="N66" s="28" t="s">
        <v>63</v>
      </c>
      <c r="O66" s="31" t="s">
        <v>89</v>
      </c>
      <c r="P66" s="28" t="s">
        <v>80</v>
      </c>
      <c r="Q66" s="28" t="s">
        <v>61</v>
      </c>
      <c r="R66" s="28"/>
      <c r="S66" s="28"/>
      <c r="T66" s="28" t="s">
        <v>40</v>
      </c>
      <c r="U66" s="28" t="s">
        <v>41</v>
      </c>
      <c r="V66" s="28" t="s">
        <v>43</v>
      </c>
      <c r="W66" s="28" t="s">
        <v>320</v>
      </c>
      <c r="X66" s="28" t="s">
        <v>148</v>
      </c>
      <c r="Y66" s="28">
        <v>1783.0</v>
      </c>
    </row>
    <row r="67" ht="56.25" customHeight="1">
      <c r="A67" s="28" t="s">
        <v>305</v>
      </c>
      <c r="B67" s="29" t="str">
        <f>IMAGE("https://storage.googleapis.com/acdb/wall-mounted/FtrCorkboard_Remake_1_2.png")</f>
        <v/>
      </c>
      <c r="C67" s="28" t="s">
        <v>82</v>
      </c>
      <c r="D67" s="30" t="s">
        <v>83</v>
      </c>
      <c r="E67" s="28" t="s">
        <v>314</v>
      </c>
      <c r="F67" s="30" t="s">
        <v>308</v>
      </c>
      <c r="G67" s="28" t="s">
        <v>40</v>
      </c>
      <c r="H67" s="28" t="s">
        <v>53</v>
      </c>
      <c r="I67" s="28">
        <v>1.0</v>
      </c>
      <c r="J67" s="28">
        <v>1400.0</v>
      </c>
      <c r="K67" s="34">
        <v>350.0</v>
      </c>
      <c r="L67" s="28" t="s">
        <v>88</v>
      </c>
      <c r="M67" s="28" t="s">
        <v>44</v>
      </c>
      <c r="N67" s="28" t="s">
        <v>63</v>
      </c>
      <c r="O67" s="31" t="s">
        <v>89</v>
      </c>
      <c r="P67" s="28" t="s">
        <v>80</v>
      </c>
      <c r="Q67" s="28" t="s">
        <v>61</v>
      </c>
      <c r="R67" s="28"/>
      <c r="S67" s="28"/>
      <c r="T67" s="28" t="s">
        <v>40</v>
      </c>
      <c r="U67" s="28" t="s">
        <v>41</v>
      </c>
      <c r="V67" s="28" t="s">
        <v>43</v>
      </c>
      <c r="W67" s="28" t="s">
        <v>325</v>
      </c>
      <c r="X67" s="28" t="s">
        <v>326</v>
      </c>
      <c r="Y67" s="28">
        <v>1783.0</v>
      </c>
    </row>
    <row r="68" ht="56.25" customHeight="1">
      <c r="A68" s="28" t="s">
        <v>305</v>
      </c>
      <c r="B68" s="29" t="str">
        <f>IMAGE("https://storage.googleapis.com/acdb/wall-mounted/FtrCorkboard_Remake_2_0.png")</f>
        <v/>
      </c>
      <c r="C68" s="28" t="s">
        <v>112</v>
      </c>
      <c r="D68" s="30" t="s">
        <v>83</v>
      </c>
      <c r="E68" s="28" t="s">
        <v>307</v>
      </c>
      <c r="F68" s="30" t="s">
        <v>308</v>
      </c>
      <c r="G68" s="28" t="s">
        <v>40</v>
      </c>
      <c r="H68" s="28" t="s">
        <v>53</v>
      </c>
      <c r="I68" s="28">
        <v>1.0</v>
      </c>
      <c r="J68" s="28">
        <v>1400.0</v>
      </c>
      <c r="K68" s="28">
        <v>350.0</v>
      </c>
      <c r="L68" s="28" t="s">
        <v>88</v>
      </c>
      <c r="M68" s="28" t="s">
        <v>44</v>
      </c>
      <c r="N68" s="28" t="s">
        <v>63</v>
      </c>
      <c r="O68" s="31" t="s">
        <v>89</v>
      </c>
      <c r="P68" s="28" t="s">
        <v>80</v>
      </c>
      <c r="Q68" s="28" t="s">
        <v>61</v>
      </c>
      <c r="R68" s="28"/>
      <c r="S68" s="28"/>
      <c r="T68" s="28" t="s">
        <v>40</v>
      </c>
      <c r="U68" s="28" t="s">
        <v>41</v>
      </c>
      <c r="V68" s="28" t="s">
        <v>43</v>
      </c>
      <c r="W68" s="28" t="s">
        <v>328</v>
      </c>
      <c r="X68" s="28" t="s">
        <v>103</v>
      </c>
      <c r="Y68" s="28">
        <v>1783.0</v>
      </c>
    </row>
    <row r="69" ht="56.25" customHeight="1">
      <c r="A69" s="28" t="s">
        <v>305</v>
      </c>
      <c r="B69" s="29" t="str">
        <f>IMAGE("https://storage.googleapis.com/acdb/wall-mounted/FtrCorkboard_Remake_2_1.png")</f>
        <v/>
      </c>
      <c r="C69" s="28" t="s">
        <v>112</v>
      </c>
      <c r="D69" s="30" t="s">
        <v>83</v>
      </c>
      <c r="E69" s="28" t="s">
        <v>311</v>
      </c>
      <c r="F69" s="30" t="s">
        <v>308</v>
      </c>
      <c r="G69" s="28" t="s">
        <v>40</v>
      </c>
      <c r="H69" s="28" t="s">
        <v>53</v>
      </c>
      <c r="I69" s="28">
        <v>1.0</v>
      </c>
      <c r="J69" s="28">
        <v>1400.0</v>
      </c>
      <c r="K69" s="28">
        <v>350.0</v>
      </c>
      <c r="L69" s="28" t="s">
        <v>88</v>
      </c>
      <c r="M69" s="28" t="s">
        <v>44</v>
      </c>
      <c r="N69" s="28" t="s">
        <v>63</v>
      </c>
      <c r="O69" s="31" t="s">
        <v>89</v>
      </c>
      <c r="P69" s="28" t="s">
        <v>80</v>
      </c>
      <c r="Q69" s="28" t="s">
        <v>61</v>
      </c>
      <c r="R69" s="28"/>
      <c r="S69" s="28"/>
      <c r="T69" s="28" t="s">
        <v>40</v>
      </c>
      <c r="U69" s="28" t="s">
        <v>41</v>
      </c>
      <c r="V69" s="28" t="s">
        <v>43</v>
      </c>
      <c r="W69" s="28" t="s">
        <v>331</v>
      </c>
      <c r="X69" s="28" t="s">
        <v>155</v>
      </c>
      <c r="Y69" s="28">
        <v>1783.0</v>
      </c>
    </row>
    <row r="70" ht="56.25" customHeight="1">
      <c r="A70" s="28" t="s">
        <v>305</v>
      </c>
      <c r="B70" s="29" t="str">
        <f>IMAGE("https://storage.googleapis.com/acdb/wall-mounted/FtrCorkboard_Remake_2_2.png")</f>
        <v/>
      </c>
      <c r="C70" s="28" t="s">
        <v>112</v>
      </c>
      <c r="D70" s="30" t="s">
        <v>83</v>
      </c>
      <c r="E70" s="28" t="s">
        <v>314</v>
      </c>
      <c r="F70" s="30" t="s">
        <v>308</v>
      </c>
      <c r="G70" s="28" t="s">
        <v>40</v>
      </c>
      <c r="H70" s="28" t="s">
        <v>53</v>
      </c>
      <c r="I70" s="28">
        <v>1.0</v>
      </c>
      <c r="J70" s="28">
        <v>1400.0</v>
      </c>
      <c r="K70" s="28">
        <v>350.0</v>
      </c>
      <c r="L70" s="28" t="s">
        <v>88</v>
      </c>
      <c r="M70" s="28" t="s">
        <v>44</v>
      </c>
      <c r="N70" s="28" t="s">
        <v>63</v>
      </c>
      <c r="O70" s="31" t="s">
        <v>89</v>
      </c>
      <c r="P70" s="28" t="s">
        <v>80</v>
      </c>
      <c r="Q70" s="28" t="s">
        <v>61</v>
      </c>
      <c r="R70" s="28"/>
      <c r="S70" s="28"/>
      <c r="T70" s="28" t="s">
        <v>40</v>
      </c>
      <c r="U70" s="28" t="s">
        <v>41</v>
      </c>
      <c r="V70" s="28" t="s">
        <v>43</v>
      </c>
      <c r="W70" s="28" t="s">
        <v>333</v>
      </c>
      <c r="X70" s="28" t="s">
        <v>335</v>
      </c>
      <c r="Y70" s="28">
        <v>1783.0</v>
      </c>
    </row>
    <row r="71" ht="56.25" customHeight="1">
      <c r="A71" s="28" t="s">
        <v>305</v>
      </c>
      <c r="B71" s="29" t="str">
        <f>IMAGE("https://storage.googleapis.com/acdb/wall-mounted/FtrCorkboard_Remake_0_0.png")</f>
        <v/>
      </c>
      <c r="C71" s="28" t="s">
        <v>83</v>
      </c>
      <c r="D71" s="30" t="s">
        <v>83</v>
      </c>
      <c r="E71" s="28" t="s">
        <v>307</v>
      </c>
      <c r="F71" s="30" t="s">
        <v>308</v>
      </c>
      <c r="G71" s="28" t="s">
        <v>40</v>
      </c>
      <c r="H71" s="28" t="s">
        <v>53</v>
      </c>
      <c r="I71" s="28">
        <v>1.0</v>
      </c>
      <c r="J71" s="28">
        <v>1400.0</v>
      </c>
      <c r="K71" s="28">
        <v>350.0</v>
      </c>
      <c r="L71" s="28" t="s">
        <v>88</v>
      </c>
      <c r="M71" s="28" t="s">
        <v>44</v>
      </c>
      <c r="N71" s="28" t="s">
        <v>63</v>
      </c>
      <c r="O71" s="31" t="s">
        <v>89</v>
      </c>
      <c r="P71" s="28" t="s">
        <v>80</v>
      </c>
      <c r="Q71" s="28" t="s">
        <v>61</v>
      </c>
      <c r="R71" s="28"/>
      <c r="S71" s="28"/>
      <c r="T71" s="28" t="s">
        <v>40</v>
      </c>
      <c r="U71" s="28" t="s">
        <v>41</v>
      </c>
      <c r="V71" s="28" t="s">
        <v>43</v>
      </c>
      <c r="W71" s="28" t="s">
        <v>310</v>
      </c>
      <c r="X71" s="28" t="s">
        <v>92</v>
      </c>
      <c r="Y71" s="28">
        <v>1783.0</v>
      </c>
    </row>
    <row r="72" ht="56.25" customHeight="1">
      <c r="A72" s="28" t="s">
        <v>305</v>
      </c>
      <c r="B72" s="29" t="str">
        <f>IMAGE("https://storage.googleapis.com/acdb/wall-mounted/FtrCorkboard_Remake_1_0.png")</f>
        <v/>
      </c>
      <c r="C72" s="28" t="s">
        <v>83</v>
      </c>
      <c r="D72" s="30" t="s">
        <v>83</v>
      </c>
      <c r="E72" s="28" t="s">
        <v>311</v>
      </c>
      <c r="F72" s="30" t="s">
        <v>308</v>
      </c>
      <c r="G72" s="28" t="s">
        <v>40</v>
      </c>
      <c r="H72" s="28" t="s">
        <v>53</v>
      </c>
      <c r="I72" s="28">
        <v>1.0</v>
      </c>
      <c r="J72" s="28">
        <v>1400.0</v>
      </c>
      <c r="K72" s="28">
        <v>350.0</v>
      </c>
      <c r="L72" s="28" t="s">
        <v>88</v>
      </c>
      <c r="M72" s="28" t="s">
        <v>44</v>
      </c>
      <c r="N72" s="28" t="s">
        <v>63</v>
      </c>
      <c r="O72" s="31" t="s">
        <v>89</v>
      </c>
      <c r="P72" s="28" t="s">
        <v>80</v>
      </c>
      <c r="Q72" s="28" t="s">
        <v>61</v>
      </c>
      <c r="R72" s="28"/>
      <c r="S72" s="28"/>
      <c r="T72" s="28" t="s">
        <v>40</v>
      </c>
      <c r="U72" s="28" t="s">
        <v>41</v>
      </c>
      <c r="V72" s="28" t="s">
        <v>43</v>
      </c>
      <c r="W72" s="28" t="s">
        <v>319</v>
      </c>
      <c r="X72" s="28" t="s">
        <v>97</v>
      </c>
      <c r="Y72" s="28">
        <v>1783.0</v>
      </c>
    </row>
    <row r="73" ht="56.25" customHeight="1">
      <c r="A73" s="28" t="s">
        <v>305</v>
      </c>
      <c r="B73" s="29" t="str">
        <f>IMAGE("https://storage.googleapis.com/acdb/wall-mounted/FtrCorkboard_Remake_2_0.png")</f>
        <v/>
      </c>
      <c r="C73" s="28" t="s">
        <v>83</v>
      </c>
      <c r="D73" s="30" t="s">
        <v>83</v>
      </c>
      <c r="E73" s="28" t="s">
        <v>314</v>
      </c>
      <c r="F73" s="30" t="s">
        <v>308</v>
      </c>
      <c r="G73" s="28" t="s">
        <v>40</v>
      </c>
      <c r="H73" s="28" t="s">
        <v>53</v>
      </c>
      <c r="I73" s="28">
        <v>1.0</v>
      </c>
      <c r="J73" s="28">
        <v>1400.0</v>
      </c>
      <c r="K73" s="28">
        <v>350.0</v>
      </c>
      <c r="L73" s="28" t="s">
        <v>88</v>
      </c>
      <c r="M73" s="28" t="s">
        <v>44</v>
      </c>
      <c r="N73" s="28" t="s">
        <v>63</v>
      </c>
      <c r="O73" s="31" t="s">
        <v>89</v>
      </c>
      <c r="P73" s="28" t="s">
        <v>80</v>
      </c>
      <c r="Q73" s="28" t="s">
        <v>61</v>
      </c>
      <c r="R73" s="28"/>
      <c r="S73" s="28"/>
      <c r="T73" s="28" t="s">
        <v>40</v>
      </c>
      <c r="U73" s="28" t="s">
        <v>41</v>
      </c>
      <c r="V73" s="28" t="s">
        <v>43</v>
      </c>
      <c r="W73" s="28" t="s">
        <v>328</v>
      </c>
      <c r="X73" s="28" t="s">
        <v>103</v>
      </c>
      <c r="Y73" s="28">
        <v>1783.0</v>
      </c>
    </row>
    <row r="74" ht="56.25" customHeight="1">
      <c r="A74" s="28" t="s">
        <v>342</v>
      </c>
      <c r="B74" s="29" t="str">
        <f>IMAGE("https://storage.googleapis.com/acdb/wall-mounted/FtrDoorOrnamentWreathCosmos.png")</f>
        <v/>
      </c>
      <c r="C74" s="28" t="s">
        <v>83</v>
      </c>
      <c r="D74" s="28" t="s">
        <v>83</v>
      </c>
      <c r="E74" s="28" t="s">
        <v>83</v>
      </c>
      <c r="F74" s="28" t="s">
        <v>83</v>
      </c>
      <c r="G74" s="28" t="s">
        <v>53</v>
      </c>
      <c r="H74" s="28" t="s">
        <v>40</v>
      </c>
      <c r="I74" s="28" t="s">
        <v>83</v>
      </c>
      <c r="J74" s="28" t="s">
        <v>51</v>
      </c>
      <c r="K74" s="28">
        <v>720.0</v>
      </c>
      <c r="L74" s="28" t="s">
        <v>123</v>
      </c>
      <c r="M74" s="28" t="s">
        <v>55</v>
      </c>
      <c r="N74" s="28"/>
      <c r="O74" s="31" t="s">
        <v>89</v>
      </c>
      <c r="P74" s="28" t="s">
        <v>36</v>
      </c>
      <c r="Q74" s="28"/>
      <c r="R74" s="28"/>
      <c r="S74" s="28"/>
      <c r="T74" s="28" t="s">
        <v>40</v>
      </c>
      <c r="U74" s="28" t="s">
        <v>41</v>
      </c>
      <c r="V74" s="28" t="s">
        <v>54</v>
      </c>
      <c r="W74" s="28" t="s">
        <v>343</v>
      </c>
      <c r="X74" s="28" t="s">
        <v>83</v>
      </c>
      <c r="Y74" s="28">
        <v>4293.0</v>
      </c>
    </row>
    <row r="75" ht="56.25" customHeight="1">
      <c r="A75" s="28" t="s">
        <v>344</v>
      </c>
      <c r="B75" s="29" t="str">
        <f>IMAGE("https://storage.googleapis.com/acdb/wall-mounted/FtrDoorOrnamentCrest_Remake_0_0.png")</f>
        <v/>
      </c>
      <c r="C75" s="28" t="s">
        <v>182</v>
      </c>
      <c r="D75" s="30" t="s">
        <v>199</v>
      </c>
      <c r="E75" s="28" t="s">
        <v>83</v>
      </c>
      <c r="F75" s="30" t="s">
        <v>83</v>
      </c>
      <c r="G75" s="28" t="s">
        <v>53</v>
      </c>
      <c r="H75" s="28" t="s">
        <v>53</v>
      </c>
      <c r="I75" s="28">
        <v>1.0</v>
      </c>
      <c r="J75" s="28" t="s">
        <v>51</v>
      </c>
      <c r="K75" s="28">
        <v>3000.0</v>
      </c>
      <c r="L75" s="28" t="s">
        <v>123</v>
      </c>
      <c r="M75" s="28" t="s">
        <v>55</v>
      </c>
      <c r="N75" s="28"/>
      <c r="O75" s="31" t="s">
        <v>89</v>
      </c>
      <c r="P75" s="28" t="s">
        <v>62</v>
      </c>
      <c r="Q75" s="28"/>
      <c r="R75" s="28"/>
      <c r="S75" s="28"/>
      <c r="T75" s="28" t="s">
        <v>40</v>
      </c>
      <c r="U75" s="28" t="s">
        <v>41</v>
      </c>
      <c r="V75" s="28" t="s">
        <v>54</v>
      </c>
      <c r="W75" s="28" t="s">
        <v>347</v>
      </c>
      <c r="X75" s="28" t="s">
        <v>92</v>
      </c>
      <c r="Y75" s="28">
        <v>5717.0</v>
      </c>
    </row>
    <row r="76" ht="56.25" customHeight="1">
      <c r="A76" s="28" t="s">
        <v>344</v>
      </c>
      <c r="B76" s="29" t="str">
        <f>IMAGE("https://storage.googleapis.com/acdb/wall-mounted/FtrDoorOrnamentCrest_Remake_1_0.png")</f>
        <v/>
      </c>
      <c r="C76" s="28" t="s">
        <v>351</v>
      </c>
      <c r="D76" s="30" t="s">
        <v>199</v>
      </c>
      <c r="E76" s="28" t="s">
        <v>83</v>
      </c>
      <c r="F76" s="30" t="s">
        <v>83</v>
      </c>
      <c r="G76" s="28" t="s">
        <v>53</v>
      </c>
      <c r="H76" s="28" t="s">
        <v>53</v>
      </c>
      <c r="I76" s="28">
        <v>1.0</v>
      </c>
      <c r="J76" s="28" t="s">
        <v>51</v>
      </c>
      <c r="K76" s="28">
        <v>3000.0</v>
      </c>
      <c r="L76" s="28" t="s">
        <v>123</v>
      </c>
      <c r="M76" s="28" t="s">
        <v>55</v>
      </c>
      <c r="N76" s="28"/>
      <c r="O76" s="31" t="s">
        <v>89</v>
      </c>
      <c r="P76" s="28" t="s">
        <v>62</v>
      </c>
      <c r="Q76" s="28"/>
      <c r="R76" s="28"/>
      <c r="S76" s="28"/>
      <c r="T76" s="28" t="s">
        <v>40</v>
      </c>
      <c r="U76" s="28" t="s">
        <v>41</v>
      </c>
      <c r="V76" s="28" t="s">
        <v>54</v>
      </c>
      <c r="W76" s="28" t="s">
        <v>352</v>
      </c>
      <c r="X76" s="28" t="s">
        <v>97</v>
      </c>
      <c r="Y76" s="28">
        <v>5717.0</v>
      </c>
    </row>
    <row r="77" ht="56.25" customHeight="1">
      <c r="A77" s="28" t="s">
        <v>344</v>
      </c>
      <c r="B77" s="29" t="str">
        <f>IMAGE("https://storage.googleapis.com/acdb/wall-mounted/FtrDoorOrnamentCrest_Remake_2_0.png")</f>
        <v/>
      </c>
      <c r="C77" s="28" t="s">
        <v>353</v>
      </c>
      <c r="D77" s="30" t="s">
        <v>199</v>
      </c>
      <c r="E77" s="28" t="s">
        <v>83</v>
      </c>
      <c r="F77" s="30" t="s">
        <v>83</v>
      </c>
      <c r="G77" s="28" t="s">
        <v>53</v>
      </c>
      <c r="H77" s="28" t="s">
        <v>53</v>
      </c>
      <c r="I77" s="28">
        <v>1.0</v>
      </c>
      <c r="J77" s="28" t="s">
        <v>51</v>
      </c>
      <c r="K77" s="28">
        <v>3000.0</v>
      </c>
      <c r="L77" s="28" t="s">
        <v>123</v>
      </c>
      <c r="M77" s="28" t="s">
        <v>55</v>
      </c>
      <c r="N77" s="28"/>
      <c r="O77" s="31" t="s">
        <v>89</v>
      </c>
      <c r="P77" s="28" t="s">
        <v>62</v>
      </c>
      <c r="Q77" s="28"/>
      <c r="R77" s="28"/>
      <c r="S77" s="28"/>
      <c r="T77" s="28" t="s">
        <v>40</v>
      </c>
      <c r="U77" s="28" t="s">
        <v>41</v>
      </c>
      <c r="V77" s="28" t="s">
        <v>54</v>
      </c>
      <c r="W77" s="28" t="s">
        <v>354</v>
      </c>
      <c r="X77" s="28" t="s">
        <v>103</v>
      </c>
      <c r="Y77" s="28">
        <v>5717.0</v>
      </c>
    </row>
    <row r="78" ht="56.25" customHeight="1">
      <c r="A78" s="28" t="s">
        <v>344</v>
      </c>
      <c r="B78" s="29" t="str">
        <f>IMAGE("https://storage.googleapis.com/acdb/wall-mounted/FtrDoorOrnamentCrest_Remake_3_0.png")</f>
        <v/>
      </c>
      <c r="C78" s="28" t="s">
        <v>357</v>
      </c>
      <c r="D78" s="30" t="s">
        <v>199</v>
      </c>
      <c r="E78" s="28" t="s">
        <v>83</v>
      </c>
      <c r="F78" s="30" t="s">
        <v>83</v>
      </c>
      <c r="G78" s="28" t="s">
        <v>53</v>
      </c>
      <c r="H78" s="28" t="s">
        <v>53</v>
      </c>
      <c r="I78" s="28">
        <v>1.0</v>
      </c>
      <c r="J78" s="28" t="s">
        <v>51</v>
      </c>
      <c r="K78" s="28">
        <v>3000.0</v>
      </c>
      <c r="L78" s="28" t="s">
        <v>123</v>
      </c>
      <c r="M78" s="28" t="s">
        <v>55</v>
      </c>
      <c r="N78" s="28"/>
      <c r="O78" s="31" t="s">
        <v>89</v>
      </c>
      <c r="P78" s="28" t="s">
        <v>62</v>
      </c>
      <c r="Q78" s="28"/>
      <c r="R78" s="28"/>
      <c r="S78" s="28"/>
      <c r="T78" s="28" t="s">
        <v>40</v>
      </c>
      <c r="U78" s="28" t="s">
        <v>41</v>
      </c>
      <c r="V78" s="28" t="s">
        <v>54</v>
      </c>
      <c r="W78" s="28" t="s">
        <v>358</v>
      </c>
      <c r="X78" s="28" t="s">
        <v>110</v>
      </c>
      <c r="Y78" s="28">
        <v>5717.0</v>
      </c>
    </row>
    <row r="79" ht="56.25" customHeight="1">
      <c r="A79" s="28" t="s">
        <v>344</v>
      </c>
      <c r="B79" s="29" t="str">
        <f>IMAGE("https://storage.googleapis.com/acdb/wall-mounted/FtrDoorOrnamentCrest_Remake_4_0.png")</f>
        <v/>
      </c>
      <c r="C79" s="28" t="s">
        <v>359</v>
      </c>
      <c r="D79" s="30" t="s">
        <v>199</v>
      </c>
      <c r="E79" s="28" t="s">
        <v>83</v>
      </c>
      <c r="F79" s="30" t="s">
        <v>83</v>
      </c>
      <c r="G79" s="28" t="s">
        <v>53</v>
      </c>
      <c r="H79" s="28" t="s">
        <v>53</v>
      </c>
      <c r="I79" s="28">
        <v>1.0</v>
      </c>
      <c r="J79" s="28" t="s">
        <v>51</v>
      </c>
      <c r="K79" s="28">
        <v>3000.0</v>
      </c>
      <c r="L79" s="28" t="s">
        <v>123</v>
      </c>
      <c r="M79" s="28" t="s">
        <v>55</v>
      </c>
      <c r="N79" s="28"/>
      <c r="O79" s="31" t="s">
        <v>89</v>
      </c>
      <c r="P79" s="28" t="s">
        <v>62</v>
      </c>
      <c r="Q79" s="28"/>
      <c r="R79" s="28"/>
      <c r="S79" s="28"/>
      <c r="T79" s="28" t="s">
        <v>40</v>
      </c>
      <c r="U79" s="28" t="s">
        <v>41</v>
      </c>
      <c r="V79" s="28" t="s">
        <v>54</v>
      </c>
      <c r="W79" s="28" t="s">
        <v>360</v>
      </c>
      <c r="X79" s="28" t="s">
        <v>115</v>
      </c>
      <c r="Y79" s="28">
        <v>5717.0</v>
      </c>
    </row>
    <row r="80" ht="56.25" customHeight="1">
      <c r="A80" s="28" t="s">
        <v>344</v>
      </c>
      <c r="B80" s="29" t="str">
        <f>IMAGE("https://storage.googleapis.com/acdb/wall-mounted/FtrDoorOrnamentCrest_Remake_5_0.png")</f>
        <v/>
      </c>
      <c r="C80" s="28" t="s">
        <v>258</v>
      </c>
      <c r="D80" s="30" t="s">
        <v>199</v>
      </c>
      <c r="E80" s="28" t="s">
        <v>83</v>
      </c>
      <c r="F80" s="30" t="s">
        <v>83</v>
      </c>
      <c r="G80" s="28" t="s">
        <v>53</v>
      </c>
      <c r="H80" s="28" t="s">
        <v>53</v>
      </c>
      <c r="I80" s="28">
        <v>1.0</v>
      </c>
      <c r="J80" s="28" t="s">
        <v>51</v>
      </c>
      <c r="K80" s="28">
        <v>3000.0</v>
      </c>
      <c r="L80" s="28" t="s">
        <v>123</v>
      </c>
      <c r="M80" s="28" t="s">
        <v>55</v>
      </c>
      <c r="N80" s="28"/>
      <c r="O80" s="31" t="s">
        <v>89</v>
      </c>
      <c r="P80" s="28" t="s">
        <v>62</v>
      </c>
      <c r="Q80" s="28"/>
      <c r="R80" s="28"/>
      <c r="S80" s="28"/>
      <c r="T80" s="28" t="s">
        <v>40</v>
      </c>
      <c r="U80" s="28" t="s">
        <v>41</v>
      </c>
      <c r="V80" s="28" t="s">
        <v>54</v>
      </c>
      <c r="W80" s="28" t="s">
        <v>363</v>
      </c>
      <c r="X80" s="28" t="s">
        <v>120</v>
      </c>
      <c r="Y80" s="28">
        <v>5717.0</v>
      </c>
    </row>
    <row r="81" ht="56.25" customHeight="1">
      <c r="A81" s="28" t="s">
        <v>364</v>
      </c>
      <c r="B81" s="29" t="str">
        <f>IMAGE("https://storage.googleapis.com/acdb/wall-mounted/FtrCuckooclock_Remake_0_0.png")</f>
        <v/>
      </c>
      <c r="C81" s="28" t="s">
        <v>126</v>
      </c>
      <c r="D81" s="30" t="s">
        <v>83</v>
      </c>
      <c r="E81" s="28" t="s">
        <v>83</v>
      </c>
      <c r="F81" s="30" t="s">
        <v>83</v>
      </c>
      <c r="G81" s="28" t="s">
        <v>40</v>
      </c>
      <c r="H81" s="28" t="s">
        <v>40</v>
      </c>
      <c r="I81" s="28" t="s">
        <v>83</v>
      </c>
      <c r="J81" s="28">
        <v>3200.0</v>
      </c>
      <c r="K81" s="28">
        <v>800.0</v>
      </c>
      <c r="L81" s="28" t="s">
        <v>251</v>
      </c>
      <c r="M81" s="28" t="s">
        <v>44</v>
      </c>
      <c r="N81" s="28" t="s">
        <v>63</v>
      </c>
      <c r="O81" s="31" t="s">
        <v>89</v>
      </c>
      <c r="P81" s="28" t="s">
        <v>60</v>
      </c>
      <c r="Q81" s="28" t="s">
        <v>113</v>
      </c>
      <c r="R81" s="28"/>
      <c r="S81" s="28"/>
      <c r="T81" s="28" t="s">
        <v>53</v>
      </c>
      <c r="U81" s="28" t="s">
        <v>41</v>
      </c>
      <c r="V81" s="28" t="s">
        <v>43</v>
      </c>
      <c r="W81" s="28" t="s">
        <v>366</v>
      </c>
      <c r="X81" s="28" t="s">
        <v>92</v>
      </c>
      <c r="Y81" s="28">
        <v>915.0</v>
      </c>
    </row>
    <row r="82" ht="56.25" customHeight="1">
      <c r="A82" s="28" t="s">
        <v>364</v>
      </c>
      <c r="B82" s="29" t="str">
        <f>IMAGE("https://storage.googleapis.com/acdb/wall-mounted/FtrCuckooclock_Remake_1_0.png")</f>
        <v/>
      </c>
      <c r="C82" s="28" t="s">
        <v>369</v>
      </c>
      <c r="D82" s="30" t="s">
        <v>83</v>
      </c>
      <c r="E82" s="28" t="s">
        <v>83</v>
      </c>
      <c r="F82" s="30" t="s">
        <v>83</v>
      </c>
      <c r="G82" s="28" t="s">
        <v>40</v>
      </c>
      <c r="H82" s="28" t="s">
        <v>40</v>
      </c>
      <c r="I82" s="28" t="s">
        <v>83</v>
      </c>
      <c r="J82" s="28">
        <v>3200.0</v>
      </c>
      <c r="K82" s="28">
        <v>800.0</v>
      </c>
      <c r="L82" s="28" t="s">
        <v>251</v>
      </c>
      <c r="M82" s="28" t="s">
        <v>44</v>
      </c>
      <c r="N82" s="28" t="s">
        <v>63</v>
      </c>
      <c r="O82" s="31" t="s">
        <v>89</v>
      </c>
      <c r="P82" s="28" t="s">
        <v>60</v>
      </c>
      <c r="Q82" s="28" t="s">
        <v>113</v>
      </c>
      <c r="R82" s="28"/>
      <c r="S82" s="28"/>
      <c r="T82" s="28" t="s">
        <v>53</v>
      </c>
      <c r="U82" s="28" t="s">
        <v>41</v>
      </c>
      <c r="V82" s="28" t="s">
        <v>43</v>
      </c>
      <c r="W82" s="28" t="s">
        <v>370</v>
      </c>
      <c r="X82" s="28" t="s">
        <v>97</v>
      </c>
      <c r="Y82" s="28">
        <v>915.0</v>
      </c>
    </row>
    <row r="83" ht="56.25" customHeight="1">
      <c r="A83" s="28" t="s">
        <v>364</v>
      </c>
      <c r="B83" s="29" t="str">
        <f>IMAGE("https://storage.googleapis.com/acdb/wall-mounted/FtrCuckooclock_Remake_2_0.png")</f>
        <v/>
      </c>
      <c r="C83" s="28" t="s">
        <v>112</v>
      </c>
      <c r="D83" s="30" t="s">
        <v>83</v>
      </c>
      <c r="E83" s="28" t="s">
        <v>83</v>
      </c>
      <c r="F83" s="30" t="s">
        <v>83</v>
      </c>
      <c r="G83" s="28" t="s">
        <v>40</v>
      </c>
      <c r="H83" s="28" t="s">
        <v>40</v>
      </c>
      <c r="I83" s="28" t="s">
        <v>83</v>
      </c>
      <c r="J83" s="28">
        <v>3200.0</v>
      </c>
      <c r="K83" s="28">
        <v>800.0</v>
      </c>
      <c r="L83" s="28" t="s">
        <v>251</v>
      </c>
      <c r="M83" s="28" t="s">
        <v>44</v>
      </c>
      <c r="N83" s="28" t="s">
        <v>63</v>
      </c>
      <c r="O83" s="31" t="s">
        <v>89</v>
      </c>
      <c r="P83" s="28" t="s">
        <v>60</v>
      </c>
      <c r="Q83" s="28" t="s">
        <v>113</v>
      </c>
      <c r="R83" s="28"/>
      <c r="S83" s="28"/>
      <c r="T83" s="28" t="s">
        <v>53</v>
      </c>
      <c r="U83" s="28" t="s">
        <v>41</v>
      </c>
      <c r="V83" s="28" t="s">
        <v>43</v>
      </c>
      <c r="W83" s="28" t="s">
        <v>372</v>
      </c>
      <c r="X83" s="28" t="s">
        <v>103</v>
      </c>
      <c r="Y83" s="28">
        <v>915.0</v>
      </c>
    </row>
    <row r="84" ht="56.25" customHeight="1">
      <c r="A84" s="28" t="s">
        <v>364</v>
      </c>
      <c r="B84" s="29" t="str">
        <f>IMAGE("https://storage.googleapis.com/acdb/wall-mounted/FtrCuckooclock_Remake_3_0.png")</f>
        <v/>
      </c>
      <c r="C84" s="28" t="s">
        <v>211</v>
      </c>
      <c r="D84" s="30" t="s">
        <v>83</v>
      </c>
      <c r="E84" s="28" t="s">
        <v>83</v>
      </c>
      <c r="F84" s="30" t="s">
        <v>83</v>
      </c>
      <c r="G84" s="28" t="s">
        <v>40</v>
      </c>
      <c r="H84" s="28" t="s">
        <v>40</v>
      </c>
      <c r="I84" s="28" t="s">
        <v>83</v>
      </c>
      <c r="J84" s="28">
        <v>3200.0</v>
      </c>
      <c r="K84" s="28">
        <v>800.0</v>
      </c>
      <c r="L84" s="28" t="s">
        <v>251</v>
      </c>
      <c r="M84" s="28" t="s">
        <v>44</v>
      </c>
      <c r="N84" s="28" t="s">
        <v>63</v>
      </c>
      <c r="O84" s="31" t="s">
        <v>89</v>
      </c>
      <c r="P84" s="28" t="s">
        <v>60</v>
      </c>
      <c r="Q84" s="28" t="s">
        <v>113</v>
      </c>
      <c r="R84" s="28"/>
      <c r="S84" s="28"/>
      <c r="T84" s="28" t="s">
        <v>53</v>
      </c>
      <c r="U84" s="28" t="s">
        <v>41</v>
      </c>
      <c r="V84" s="28" t="s">
        <v>43</v>
      </c>
      <c r="W84" s="28" t="s">
        <v>375</v>
      </c>
      <c r="X84" s="28" t="s">
        <v>110</v>
      </c>
      <c r="Y84" s="28">
        <v>915.0</v>
      </c>
    </row>
    <row r="85" ht="56.25" customHeight="1">
      <c r="A85" s="28" t="s">
        <v>364</v>
      </c>
      <c r="B85" s="29" t="str">
        <f>IMAGE("https://storage.googleapis.com/acdb/wall-mounted/FtrCuckooclock_Remake_4_0.png")</f>
        <v/>
      </c>
      <c r="C85" s="28" t="s">
        <v>208</v>
      </c>
      <c r="D85" s="30" t="s">
        <v>83</v>
      </c>
      <c r="E85" s="28" t="s">
        <v>83</v>
      </c>
      <c r="F85" s="30" t="s">
        <v>83</v>
      </c>
      <c r="G85" s="28" t="s">
        <v>40</v>
      </c>
      <c r="H85" s="28" t="s">
        <v>40</v>
      </c>
      <c r="I85" s="28" t="s">
        <v>83</v>
      </c>
      <c r="J85" s="28">
        <v>3200.0</v>
      </c>
      <c r="K85" s="28">
        <v>800.0</v>
      </c>
      <c r="L85" s="28" t="s">
        <v>251</v>
      </c>
      <c r="M85" s="28" t="s">
        <v>44</v>
      </c>
      <c r="N85" s="28" t="s">
        <v>63</v>
      </c>
      <c r="O85" s="31" t="s">
        <v>89</v>
      </c>
      <c r="P85" s="28" t="s">
        <v>60</v>
      </c>
      <c r="Q85" s="28" t="s">
        <v>113</v>
      </c>
      <c r="R85" s="28"/>
      <c r="S85" s="28"/>
      <c r="T85" s="28" t="s">
        <v>53</v>
      </c>
      <c r="U85" s="28" t="s">
        <v>41</v>
      </c>
      <c r="V85" s="28" t="s">
        <v>43</v>
      </c>
      <c r="W85" s="28" t="s">
        <v>376</v>
      </c>
      <c r="X85" s="28" t="s">
        <v>115</v>
      </c>
      <c r="Y85" s="28">
        <v>915.0</v>
      </c>
    </row>
    <row r="86" ht="56.25" customHeight="1">
      <c r="A86" s="28" t="s">
        <v>364</v>
      </c>
      <c r="B86" s="29" t="str">
        <f>IMAGE("https://storage.googleapis.com/acdb/wall-mounted/FtrCuckooclock_Remake_5_0.png")</f>
        <v/>
      </c>
      <c r="C86" s="28" t="s">
        <v>82</v>
      </c>
      <c r="D86" s="30" t="s">
        <v>83</v>
      </c>
      <c r="E86" s="28" t="s">
        <v>83</v>
      </c>
      <c r="F86" s="30" t="s">
        <v>83</v>
      </c>
      <c r="G86" s="28" t="s">
        <v>40</v>
      </c>
      <c r="H86" s="28" t="s">
        <v>40</v>
      </c>
      <c r="I86" s="28" t="s">
        <v>83</v>
      </c>
      <c r="J86" s="28">
        <v>3200.0</v>
      </c>
      <c r="K86" s="28">
        <v>800.0</v>
      </c>
      <c r="L86" s="28" t="s">
        <v>251</v>
      </c>
      <c r="M86" s="28" t="s">
        <v>44</v>
      </c>
      <c r="N86" s="28" t="s">
        <v>63</v>
      </c>
      <c r="O86" s="31" t="s">
        <v>89</v>
      </c>
      <c r="P86" s="28" t="s">
        <v>60</v>
      </c>
      <c r="Q86" s="28" t="s">
        <v>113</v>
      </c>
      <c r="R86" s="28"/>
      <c r="S86" s="28"/>
      <c r="T86" s="28" t="s">
        <v>53</v>
      </c>
      <c r="U86" s="28" t="s">
        <v>41</v>
      </c>
      <c r="V86" s="28" t="s">
        <v>43</v>
      </c>
      <c r="W86" s="28" t="s">
        <v>379</v>
      </c>
      <c r="X86" s="28" t="s">
        <v>120</v>
      </c>
      <c r="Y86" s="28">
        <v>915.0</v>
      </c>
    </row>
    <row r="87" ht="56.25" customHeight="1">
      <c r="A87" s="28" t="s">
        <v>364</v>
      </c>
      <c r="B87" s="29" t="str">
        <f>IMAGE("https://storage.googleapis.com/acdb/wall-mounted/FtrCuckooclock_Remake_6_0.png")</f>
        <v/>
      </c>
      <c r="C87" s="28" t="s">
        <v>99</v>
      </c>
      <c r="D87" s="30" t="s">
        <v>83</v>
      </c>
      <c r="E87" s="28" t="s">
        <v>83</v>
      </c>
      <c r="F87" s="30" t="s">
        <v>83</v>
      </c>
      <c r="G87" s="28" t="s">
        <v>40</v>
      </c>
      <c r="H87" s="28" t="s">
        <v>40</v>
      </c>
      <c r="I87" s="28" t="s">
        <v>83</v>
      </c>
      <c r="J87" s="28">
        <v>3200.0</v>
      </c>
      <c r="K87" s="28">
        <v>800.0</v>
      </c>
      <c r="L87" s="28" t="s">
        <v>251</v>
      </c>
      <c r="M87" s="28" t="s">
        <v>44</v>
      </c>
      <c r="N87" s="28" t="s">
        <v>63</v>
      </c>
      <c r="O87" s="31" t="s">
        <v>89</v>
      </c>
      <c r="P87" s="28" t="s">
        <v>60</v>
      </c>
      <c r="Q87" s="28" t="s">
        <v>113</v>
      </c>
      <c r="R87" s="28"/>
      <c r="S87" s="28"/>
      <c r="T87" s="28" t="s">
        <v>53</v>
      </c>
      <c r="U87" s="28" t="s">
        <v>41</v>
      </c>
      <c r="V87" s="28" t="s">
        <v>43</v>
      </c>
      <c r="W87" s="28" t="s">
        <v>381</v>
      </c>
      <c r="X87" s="28" t="s">
        <v>218</v>
      </c>
      <c r="Y87" s="28">
        <v>915.0</v>
      </c>
    </row>
    <row r="88" ht="56.25" customHeight="1">
      <c r="A88" s="28" t="s">
        <v>382</v>
      </c>
      <c r="B88" s="29" t="str">
        <f>IMAGE("https://storage.googleapis.com/acdb/wall-mounted/FtrCuteClockW_Remake_0_0.png")</f>
        <v/>
      </c>
      <c r="C88" s="28" t="s">
        <v>82</v>
      </c>
      <c r="D88" s="30" t="s">
        <v>83</v>
      </c>
      <c r="E88" s="28" t="s">
        <v>83</v>
      </c>
      <c r="F88" s="30" t="s">
        <v>83</v>
      </c>
      <c r="G88" s="28" t="s">
        <v>40</v>
      </c>
      <c r="H88" s="28" t="s">
        <v>40</v>
      </c>
      <c r="I88" s="28" t="s">
        <v>83</v>
      </c>
      <c r="J88" s="28">
        <v>1200.0</v>
      </c>
      <c r="K88" s="28">
        <v>300.0</v>
      </c>
      <c r="L88" s="28" t="s">
        <v>123</v>
      </c>
      <c r="M88" s="28" t="s">
        <v>44</v>
      </c>
      <c r="N88" s="28" t="s">
        <v>68</v>
      </c>
      <c r="O88" s="31" t="s">
        <v>89</v>
      </c>
      <c r="P88" s="28" t="s">
        <v>36</v>
      </c>
      <c r="Q88" s="28"/>
      <c r="R88" s="28" t="s">
        <v>384</v>
      </c>
      <c r="S88" s="28"/>
      <c r="T88" s="28" t="s">
        <v>53</v>
      </c>
      <c r="U88" s="28" t="s">
        <v>41</v>
      </c>
      <c r="V88" s="28" t="s">
        <v>43</v>
      </c>
      <c r="W88" s="28" t="s">
        <v>385</v>
      </c>
      <c r="X88" s="28" t="s">
        <v>92</v>
      </c>
      <c r="Y88" s="28">
        <v>3996.0</v>
      </c>
    </row>
    <row r="89" ht="56.25" customHeight="1">
      <c r="A89" s="28" t="s">
        <v>382</v>
      </c>
      <c r="B89" s="29" t="str">
        <f>IMAGE("https://storage.googleapis.com/acdb/wall-mounted/FtrCuteClockW_Remake_1_0.png")</f>
        <v/>
      </c>
      <c r="C89" s="28" t="s">
        <v>389</v>
      </c>
      <c r="D89" s="30" t="s">
        <v>83</v>
      </c>
      <c r="E89" s="28" t="s">
        <v>83</v>
      </c>
      <c r="F89" s="30" t="s">
        <v>83</v>
      </c>
      <c r="G89" s="28" t="s">
        <v>40</v>
      </c>
      <c r="H89" s="28" t="s">
        <v>40</v>
      </c>
      <c r="I89" s="28" t="s">
        <v>83</v>
      </c>
      <c r="J89" s="28">
        <v>1200.0</v>
      </c>
      <c r="K89" s="28">
        <v>300.0</v>
      </c>
      <c r="L89" s="28" t="s">
        <v>123</v>
      </c>
      <c r="M89" s="28" t="s">
        <v>44</v>
      </c>
      <c r="N89" s="28" t="s">
        <v>68</v>
      </c>
      <c r="O89" s="31" t="s">
        <v>89</v>
      </c>
      <c r="P89" s="28" t="s">
        <v>36</v>
      </c>
      <c r="Q89" s="28"/>
      <c r="R89" s="28" t="s">
        <v>384</v>
      </c>
      <c r="S89" s="28"/>
      <c r="T89" s="28" t="s">
        <v>53</v>
      </c>
      <c r="U89" s="28" t="s">
        <v>41</v>
      </c>
      <c r="V89" s="28" t="s">
        <v>43</v>
      </c>
      <c r="W89" s="28" t="s">
        <v>390</v>
      </c>
      <c r="X89" s="28" t="s">
        <v>97</v>
      </c>
      <c r="Y89" s="28">
        <v>3996.0</v>
      </c>
    </row>
    <row r="90" ht="56.25" customHeight="1">
      <c r="A90" s="28" t="s">
        <v>382</v>
      </c>
      <c r="B90" s="29" t="str">
        <f>IMAGE("https://storage.googleapis.com/acdb/wall-mounted/FtrCuteClockW_Remake_2_0.png")</f>
        <v/>
      </c>
      <c r="C90" s="28" t="s">
        <v>211</v>
      </c>
      <c r="D90" s="30" t="s">
        <v>83</v>
      </c>
      <c r="E90" s="28" t="s">
        <v>83</v>
      </c>
      <c r="F90" s="30" t="s">
        <v>83</v>
      </c>
      <c r="G90" s="28" t="s">
        <v>40</v>
      </c>
      <c r="H90" s="28" t="s">
        <v>40</v>
      </c>
      <c r="I90" s="28" t="s">
        <v>83</v>
      </c>
      <c r="J90" s="28">
        <v>1200.0</v>
      </c>
      <c r="K90" s="28">
        <v>300.0</v>
      </c>
      <c r="L90" s="28" t="s">
        <v>123</v>
      </c>
      <c r="M90" s="28" t="s">
        <v>44</v>
      </c>
      <c r="N90" s="28" t="s">
        <v>68</v>
      </c>
      <c r="O90" s="31" t="s">
        <v>89</v>
      </c>
      <c r="P90" s="28" t="s">
        <v>36</v>
      </c>
      <c r="Q90" s="28"/>
      <c r="R90" s="28" t="s">
        <v>384</v>
      </c>
      <c r="S90" s="28"/>
      <c r="T90" s="28" t="s">
        <v>53</v>
      </c>
      <c r="U90" s="28" t="s">
        <v>41</v>
      </c>
      <c r="V90" s="28" t="s">
        <v>43</v>
      </c>
      <c r="W90" s="28" t="s">
        <v>392</v>
      </c>
      <c r="X90" s="28" t="s">
        <v>103</v>
      </c>
      <c r="Y90" s="28">
        <v>3996.0</v>
      </c>
    </row>
    <row r="91" ht="56.25" customHeight="1">
      <c r="A91" s="28" t="s">
        <v>382</v>
      </c>
      <c r="B91" s="29" t="str">
        <f>IMAGE("https://storage.googleapis.com/acdb/wall-mounted/FtrCuteClockW_Remake_3_0.png")</f>
        <v/>
      </c>
      <c r="C91" s="28" t="s">
        <v>208</v>
      </c>
      <c r="D91" s="30" t="s">
        <v>83</v>
      </c>
      <c r="E91" s="28" t="s">
        <v>83</v>
      </c>
      <c r="F91" s="30" t="s">
        <v>83</v>
      </c>
      <c r="G91" s="28" t="s">
        <v>40</v>
      </c>
      <c r="H91" s="28" t="s">
        <v>40</v>
      </c>
      <c r="I91" s="28" t="s">
        <v>83</v>
      </c>
      <c r="J91" s="28">
        <v>1200.0</v>
      </c>
      <c r="K91" s="28">
        <v>300.0</v>
      </c>
      <c r="L91" s="28" t="s">
        <v>123</v>
      </c>
      <c r="M91" s="28" t="s">
        <v>44</v>
      </c>
      <c r="N91" s="28" t="s">
        <v>68</v>
      </c>
      <c r="O91" s="31" t="s">
        <v>89</v>
      </c>
      <c r="P91" s="28" t="s">
        <v>36</v>
      </c>
      <c r="Q91" s="28"/>
      <c r="R91" s="28" t="s">
        <v>384</v>
      </c>
      <c r="S91" s="28"/>
      <c r="T91" s="28" t="s">
        <v>53</v>
      </c>
      <c r="U91" s="28" t="s">
        <v>41</v>
      </c>
      <c r="V91" s="28" t="s">
        <v>43</v>
      </c>
      <c r="W91" s="28" t="s">
        <v>394</v>
      </c>
      <c r="X91" s="28" t="s">
        <v>110</v>
      </c>
      <c r="Y91" s="28">
        <v>3996.0</v>
      </c>
    </row>
    <row r="92" ht="56.25" customHeight="1">
      <c r="A92" s="28" t="s">
        <v>382</v>
      </c>
      <c r="B92" s="29" t="str">
        <f>IMAGE("https://storage.googleapis.com/acdb/wall-mounted/FtrCuteClockW_Remake_4_0.png")</f>
        <v/>
      </c>
      <c r="C92" s="28" t="s">
        <v>112</v>
      </c>
      <c r="D92" s="30" t="s">
        <v>83</v>
      </c>
      <c r="E92" s="28" t="s">
        <v>83</v>
      </c>
      <c r="F92" s="30" t="s">
        <v>83</v>
      </c>
      <c r="G92" s="28" t="s">
        <v>40</v>
      </c>
      <c r="H92" s="28" t="s">
        <v>40</v>
      </c>
      <c r="I92" s="28" t="s">
        <v>83</v>
      </c>
      <c r="J92" s="28">
        <v>1200.0</v>
      </c>
      <c r="K92" s="28">
        <v>300.0</v>
      </c>
      <c r="L92" s="28" t="s">
        <v>123</v>
      </c>
      <c r="M92" s="28" t="s">
        <v>44</v>
      </c>
      <c r="N92" s="28" t="s">
        <v>68</v>
      </c>
      <c r="O92" s="31" t="s">
        <v>89</v>
      </c>
      <c r="P92" s="28" t="s">
        <v>36</v>
      </c>
      <c r="Q92" s="28"/>
      <c r="R92" s="28" t="s">
        <v>384</v>
      </c>
      <c r="S92" s="28"/>
      <c r="T92" s="28" t="s">
        <v>53</v>
      </c>
      <c r="U92" s="28" t="s">
        <v>41</v>
      </c>
      <c r="V92" s="28" t="s">
        <v>43</v>
      </c>
      <c r="W92" s="28" t="s">
        <v>395</v>
      </c>
      <c r="X92" s="28" t="s">
        <v>115</v>
      </c>
      <c r="Y92" s="28">
        <v>3996.0</v>
      </c>
    </row>
    <row r="93" ht="56.25" customHeight="1">
      <c r="A93" s="28" t="s">
        <v>396</v>
      </c>
      <c r="B93" s="29" t="str">
        <f>IMAGE("https://storage.googleapis.com/acdb/wall-mounted/FtrDoorOrnamentWreathYuriRare.png")</f>
        <v/>
      </c>
      <c r="C93" s="28" t="s">
        <v>83</v>
      </c>
      <c r="D93" s="28" t="s">
        <v>83</v>
      </c>
      <c r="E93" s="28" t="s">
        <v>83</v>
      </c>
      <c r="F93" s="28" t="s">
        <v>83</v>
      </c>
      <c r="G93" s="28" t="s">
        <v>53</v>
      </c>
      <c r="H93" s="28" t="s">
        <v>40</v>
      </c>
      <c r="I93" s="28" t="s">
        <v>83</v>
      </c>
      <c r="J93" s="28" t="s">
        <v>51</v>
      </c>
      <c r="K93" s="28">
        <v>1600.0</v>
      </c>
      <c r="L93" s="28" t="s">
        <v>123</v>
      </c>
      <c r="M93" s="28" t="s">
        <v>55</v>
      </c>
      <c r="N93" s="28"/>
      <c r="O93" s="31" t="s">
        <v>89</v>
      </c>
      <c r="P93" s="28" t="s">
        <v>36</v>
      </c>
      <c r="Q93" s="28" t="s">
        <v>346</v>
      </c>
      <c r="R93" s="28"/>
      <c r="S93" s="28"/>
      <c r="T93" s="28" t="s">
        <v>40</v>
      </c>
      <c r="U93" s="28" t="s">
        <v>41</v>
      </c>
      <c r="V93" s="28" t="s">
        <v>54</v>
      </c>
      <c r="W93" s="28" t="s">
        <v>398</v>
      </c>
      <c r="X93" s="28" t="s">
        <v>83</v>
      </c>
      <c r="Y93" s="28">
        <v>5770.0</v>
      </c>
    </row>
    <row r="94" ht="56.25" customHeight="1">
      <c r="A94" s="28" t="s">
        <v>400</v>
      </c>
      <c r="B94" s="29" t="str">
        <f>IMAGE("https://storage.googleapis.com/acdb/wall-mounted/FtrDoorOrnamentWreathRoseRare.png")</f>
        <v/>
      </c>
      <c r="C94" s="28" t="s">
        <v>83</v>
      </c>
      <c r="D94" s="28" t="s">
        <v>83</v>
      </c>
      <c r="E94" s="28" t="s">
        <v>83</v>
      </c>
      <c r="F94" s="28" t="s">
        <v>83</v>
      </c>
      <c r="G94" s="28" t="s">
        <v>53</v>
      </c>
      <c r="H94" s="28" t="s">
        <v>40</v>
      </c>
      <c r="I94" s="28" t="s">
        <v>83</v>
      </c>
      <c r="J94" s="28" t="s">
        <v>51</v>
      </c>
      <c r="K94" s="28">
        <v>4320.0</v>
      </c>
      <c r="L94" s="28" t="s">
        <v>123</v>
      </c>
      <c r="M94" s="28" t="s">
        <v>55</v>
      </c>
      <c r="N94" s="28"/>
      <c r="O94" s="31" t="s">
        <v>89</v>
      </c>
      <c r="P94" s="28" t="s">
        <v>36</v>
      </c>
      <c r="Q94" s="28" t="s">
        <v>346</v>
      </c>
      <c r="R94" s="28"/>
      <c r="S94" s="28"/>
      <c r="T94" s="28" t="s">
        <v>40</v>
      </c>
      <c r="U94" s="28" t="s">
        <v>41</v>
      </c>
      <c r="V94" s="28" t="s">
        <v>54</v>
      </c>
      <c r="W94" s="28" t="s">
        <v>401</v>
      </c>
      <c r="X94" s="28" t="s">
        <v>83</v>
      </c>
      <c r="Y94" s="28">
        <v>5766.0</v>
      </c>
    </row>
    <row r="95" ht="56.25" customHeight="1">
      <c r="A95" s="28" t="s">
        <v>402</v>
      </c>
      <c r="B95" s="29" t="str">
        <f>IMAGE("https://storage.googleapis.com/acdb/wall-mounted/FtrDoorOrnamentWreathTulipRare.png")</f>
        <v/>
      </c>
      <c r="C95" s="28" t="s">
        <v>83</v>
      </c>
      <c r="D95" s="28" t="s">
        <v>83</v>
      </c>
      <c r="E95" s="28" t="s">
        <v>83</v>
      </c>
      <c r="F95" s="28" t="s">
        <v>83</v>
      </c>
      <c r="G95" s="28" t="s">
        <v>53</v>
      </c>
      <c r="H95" s="28" t="s">
        <v>40</v>
      </c>
      <c r="I95" s="28" t="s">
        <v>83</v>
      </c>
      <c r="J95" s="28" t="s">
        <v>51</v>
      </c>
      <c r="K95" s="28">
        <v>1600.0</v>
      </c>
      <c r="L95" s="28" t="s">
        <v>123</v>
      </c>
      <c r="M95" s="28" t="s">
        <v>55</v>
      </c>
      <c r="N95" s="28"/>
      <c r="O95" s="31" t="s">
        <v>89</v>
      </c>
      <c r="P95" s="28" t="s">
        <v>36</v>
      </c>
      <c r="Q95" s="28" t="s">
        <v>346</v>
      </c>
      <c r="R95" s="28"/>
      <c r="S95" s="28"/>
      <c r="T95" s="28" t="s">
        <v>40</v>
      </c>
      <c r="U95" s="28" t="s">
        <v>41</v>
      </c>
      <c r="V95" s="28" t="s">
        <v>54</v>
      </c>
      <c r="W95" s="28" t="s">
        <v>403</v>
      </c>
      <c r="X95" s="28" t="s">
        <v>83</v>
      </c>
      <c r="Y95" s="28">
        <v>5771.0</v>
      </c>
    </row>
    <row r="96" ht="56.25" customHeight="1">
      <c r="A96" s="28" t="s">
        <v>404</v>
      </c>
      <c r="B96" s="29" t="str">
        <f>IMAGE("https://storage.googleapis.com/acdb/wall-mounted/FtrHuntingtrophy_Remake_0_0.png")</f>
        <v/>
      </c>
      <c r="C96" s="28" t="s">
        <v>126</v>
      </c>
      <c r="D96" s="30" t="s">
        <v>407</v>
      </c>
      <c r="E96" s="28" t="s">
        <v>83</v>
      </c>
      <c r="F96" s="30" t="s">
        <v>83</v>
      </c>
      <c r="G96" s="28" t="s">
        <v>53</v>
      </c>
      <c r="H96" s="28" t="s">
        <v>53</v>
      </c>
      <c r="I96" s="28">
        <v>2.0</v>
      </c>
      <c r="J96" s="28" t="s">
        <v>51</v>
      </c>
      <c r="K96" s="28">
        <v>960.0</v>
      </c>
      <c r="L96" s="28" t="s">
        <v>251</v>
      </c>
      <c r="M96" s="28" t="s">
        <v>55</v>
      </c>
      <c r="N96" s="28"/>
      <c r="O96" s="31" t="s">
        <v>89</v>
      </c>
      <c r="P96" s="28" t="s">
        <v>60</v>
      </c>
      <c r="Q96" s="28"/>
      <c r="R96" s="28"/>
      <c r="S96" s="28"/>
      <c r="T96" s="28" t="s">
        <v>40</v>
      </c>
      <c r="U96" s="28" t="s">
        <v>41</v>
      </c>
      <c r="V96" s="28" t="s">
        <v>54</v>
      </c>
      <c r="W96" s="28" t="s">
        <v>408</v>
      </c>
      <c r="X96" s="28" t="s">
        <v>92</v>
      </c>
      <c r="Y96" s="28">
        <v>3340.0</v>
      </c>
    </row>
    <row r="97" ht="56.25" customHeight="1">
      <c r="A97" s="28" t="s">
        <v>404</v>
      </c>
      <c r="B97" s="29" t="str">
        <f>IMAGE("https://storage.googleapis.com/acdb/wall-mounted/FtrHuntingtrophy_Remake_1_0.png")</f>
        <v/>
      </c>
      <c r="C97" s="28" t="s">
        <v>409</v>
      </c>
      <c r="D97" s="30" t="s">
        <v>407</v>
      </c>
      <c r="E97" s="28" t="s">
        <v>83</v>
      </c>
      <c r="F97" s="30" t="s">
        <v>83</v>
      </c>
      <c r="G97" s="28" t="s">
        <v>53</v>
      </c>
      <c r="H97" s="28" t="s">
        <v>53</v>
      </c>
      <c r="I97" s="28">
        <v>2.0</v>
      </c>
      <c r="J97" s="28" t="s">
        <v>51</v>
      </c>
      <c r="K97" s="28">
        <v>960.0</v>
      </c>
      <c r="L97" s="28" t="s">
        <v>251</v>
      </c>
      <c r="M97" s="28" t="s">
        <v>55</v>
      </c>
      <c r="N97" s="28"/>
      <c r="O97" s="31" t="s">
        <v>89</v>
      </c>
      <c r="P97" s="28" t="s">
        <v>60</v>
      </c>
      <c r="Q97" s="28"/>
      <c r="R97" s="28"/>
      <c r="S97" s="28"/>
      <c r="T97" s="28" t="s">
        <v>40</v>
      </c>
      <c r="U97" s="28" t="s">
        <v>41</v>
      </c>
      <c r="V97" s="28" t="s">
        <v>54</v>
      </c>
      <c r="W97" s="28" t="s">
        <v>410</v>
      </c>
      <c r="X97" s="28" t="s">
        <v>97</v>
      </c>
      <c r="Y97" s="28">
        <v>3340.0</v>
      </c>
    </row>
    <row r="98" ht="56.25" customHeight="1">
      <c r="A98" s="28" t="s">
        <v>404</v>
      </c>
      <c r="B98" s="29" t="str">
        <f>IMAGE("https://storage.googleapis.com/acdb/wall-mounted/FtrHuntingtrophy_Remake_2_0.png")</f>
        <v/>
      </c>
      <c r="C98" s="28" t="s">
        <v>411</v>
      </c>
      <c r="D98" s="30" t="s">
        <v>407</v>
      </c>
      <c r="E98" s="28" t="s">
        <v>83</v>
      </c>
      <c r="F98" s="30" t="s">
        <v>83</v>
      </c>
      <c r="G98" s="28" t="s">
        <v>53</v>
      </c>
      <c r="H98" s="28" t="s">
        <v>53</v>
      </c>
      <c r="I98" s="28">
        <v>2.0</v>
      </c>
      <c r="J98" s="28" t="s">
        <v>51</v>
      </c>
      <c r="K98" s="28">
        <v>960.0</v>
      </c>
      <c r="L98" s="28" t="s">
        <v>251</v>
      </c>
      <c r="M98" s="28" t="s">
        <v>55</v>
      </c>
      <c r="N98" s="28"/>
      <c r="O98" s="31" t="s">
        <v>89</v>
      </c>
      <c r="P98" s="28" t="s">
        <v>60</v>
      </c>
      <c r="Q98" s="28"/>
      <c r="R98" s="28"/>
      <c r="S98" s="28"/>
      <c r="T98" s="28" t="s">
        <v>40</v>
      </c>
      <c r="U98" s="28" t="s">
        <v>41</v>
      </c>
      <c r="V98" s="28" t="s">
        <v>54</v>
      </c>
      <c r="W98" s="28" t="s">
        <v>413</v>
      </c>
      <c r="X98" s="28" t="s">
        <v>103</v>
      </c>
      <c r="Y98" s="28">
        <v>3340.0</v>
      </c>
    </row>
    <row r="99" ht="56.25" customHeight="1">
      <c r="A99" s="28" t="s">
        <v>404</v>
      </c>
      <c r="B99" s="29" t="str">
        <f>IMAGE("https://storage.googleapis.com/acdb/wall-mounted/FtrHuntingtrophy_Remake_3_0.png")</f>
        <v/>
      </c>
      <c r="C99" s="28" t="s">
        <v>82</v>
      </c>
      <c r="D99" s="30" t="s">
        <v>407</v>
      </c>
      <c r="E99" s="28" t="s">
        <v>83</v>
      </c>
      <c r="F99" s="30" t="s">
        <v>83</v>
      </c>
      <c r="G99" s="28" t="s">
        <v>53</v>
      </c>
      <c r="H99" s="28" t="s">
        <v>53</v>
      </c>
      <c r="I99" s="28">
        <v>2.0</v>
      </c>
      <c r="J99" s="28" t="s">
        <v>51</v>
      </c>
      <c r="K99" s="28">
        <v>960.0</v>
      </c>
      <c r="L99" s="28" t="s">
        <v>251</v>
      </c>
      <c r="M99" s="28" t="s">
        <v>55</v>
      </c>
      <c r="N99" s="28"/>
      <c r="O99" s="31" t="s">
        <v>89</v>
      </c>
      <c r="P99" s="28" t="s">
        <v>60</v>
      </c>
      <c r="Q99" s="28"/>
      <c r="R99" s="28"/>
      <c r="S99" s="28"/>
      <c r="T99" s="28" t="s">
        <v>40</v>
      </c>
      <c r="U99" s="28" t="s">
        <v>41</v>
      </c>
      <c r="V99" s="28" t="s">
        <v>54</v>
      </c>
      <c r="W99" s="28" t="s">
        <v>415</v>
      </c>
      <c r="X99" s="28" t="s">
        <v>110</v>
      </c>
      <c r="Y99" s="28">
        <v>3340.0</v>
      </c>
    </row>
    <row r="100" ht="56.25" customHeight="1">
      <c r="A100" s="28" t="s">
        <v>404</v>
      </c>
      <c r="B100" s="29" t="str">
        <f>IMAGE("https://storage.googleapis.com/acdb/wall-mounted/FtrHuntingtrophy_Remake_4_0.png")</f>
        <v/>
      </c>
      <c r="C100" s="28" t="s">
        <v>99</v>
      </c>
      <c r="D100" s="30" t="s">
        <v>407</v>
      </c>
      <c r="E100" s="28" t="s">
        <v>83</v>
      </c>
      <c r="F100" s="30" t="s">
        <v>83</v>
      </c>
      <c r="G100" s="28" t="s">
        <v>53</v>
      </c>
      <c r="H100" s="28" t="s">
        <v>53</v>
      </c>
      <c r="I100" s="28">
        <v>2.0</v>
      </c>
      <c r="J100" s="28" t="s">
        <v>51</v>
      </c>
      <c r="K100" s="28">
        <v>960.0</v>
      </c>
      <c r="L100" s="28" t="s">
        <v>251</v>
      </c>
      <c r="M100" s="28" t="s">
        <v>55</v>
      </c>
      <c r="N100" s="28"/>
      <c r="O100" s="31" t="s">
        <v>89</v>
      </c>
      <c r="P100" s="28" t="s">
        <v>60</v>
      </c>
      <c r="Q100" s="28"/>
      <c r="R100" s="28"/>
      <c r="S100" s="28"/>
      <c r="T100" s="28" t="s">
        <v>40</v>
      </c>
      <c r="U100" s="28" t="s">
        <v>41</v>
      </c>
      <c r="V100" s="28" t="s">
        <v>54</v>
      </c>
      <c r="W100" s="28" t="s">
        <v>416</v>
      </c>
      <c r="X100" s="28" t="s">
        <v>115</v>
      </c>
      <c r="Y100" s="28">
        <v>3340.0</v>
      </c>
    </row>
    <row r="101" ht="56.25" customHeight="1">
      <c r="A101" s="28" t="s">
        <v>417</v>
      </c>
      <c r="B101" s="29" t="str">
        <f>IMAGE("https://storage.googleapis.com/acdb/wall-mounted/FtrAmeretroClock_Remake_0_0.png")</f>
        <v/>
      </c>
      <c r="C101" s="28" t="s">
        <v>208</v>
      </c>
      <c r="D101" s="30" t="s">
        <v>83</v>
      </c>
      <c r="E101" s="28" t="s">
        <v>421</v>
      </c>
      <c r="F101" s="30" t="s">
        <v>422</v>
      </c>
      <c r="G101" s="28" t="s">
        <v>40</v>
      </c>
      <c r="H101" s="28" t="s">
        <v>53</v>
      </c>
      <c r="I101" s="28">
        <v>1.0</v>
      </c>
      <c r="J101" s="28">
        <v>1500.0</v>
      </c>
      <c r="K101" s="28">
        <v>375.0</v>
      </c>
      <c r="L101" s="28" t="s">
        <v>123</v>
      </c>
      <c r="M101" s="28" t="s">
        <v>44</v>
      </c>
      <c r="N101" s="28" t="s">
        <v>68</v>
      </c>
      <c r="O101" s="31" t="s">
        <v>89</v>
      </c>
      <c r="P101" s="28" t="s">
        <v>37</v>
      </c>
      <c r="Q101" s="28"/>
      <c r="R101" s="28" t="s">
        <v>423</v>
      </c>
      <c r="S101" s="28"/>
      <c r="T101" s="28" t="s">
        <v>53</v>
      </c>
      <c r="U101" s="28" t="s">
        <v>41</v>
      </c>
      <c r="V101" s="28" t="s">
        <v>43</v>
      </c>
      <c r="W101" s="28" t="s">
        <v>424</v>
      </c>
      <c r="X101" s="28" t="s">
        <v>92</v>
      </c>
      <c r="Y101" s="28">
        <v>4144.0</v>
      </c>
    </row>
    <row r="102" ht="56.25" customHeight="1">
      <c r="A102" s="28" t="s">
        <v>417</v>
      </c>
      <c r="B102" s="29" t="str">
        <f>IMAGE("https://storage.googleapis.com/acdb/wall-mounted/FtrAmeretroClock_Remake_0_1.png")</f>
        <v/>
      </c>
      <c r="C102" s="28" t="s">
        <v>208</v>
      </c>
      <c r="D102" s="30" t="s">
        <v>83</v>
      </c>
      <c r="E102" s="28" t="s">
        <v>425</v>
      </c>
      <c r="F102" s="30" t="s">
        <v>422</v>
      </c>
      <c r="G102" s="28" t="s">
        <v>40</v>
      </c>
      <c r="H102" s="28" t="s">
        <v>53</v>
      </c>
      <c r="I102" s="28">
        <v>1.0</v>
      </c>
      <c r="J102" s="28">
        <v>1500.0</v>
      </c>
      <c r="K102" s="28">
        <v>375.0</v>
      </c>
      <c r="L102" s="28" t="s">
        <v>123</v>
      </c>
      <c r="M102" s="28" t="s">
        <v>44</v>
      </c>
      <c r="N102" s="28" t="s">
        <v>68</v>
      </c>
      <c r="O102" s="31" t="s">
        <v>89</v>
      </c>
      <c r="P102" s="28" t="s">
        <v>37</v>
      </c>
      <c r="Q102" s="28"/>
      <c r="R102" s="28" t="s">
        <v>423</v>
      </c>
      <c r="S102" s="28"/>
      <c r="T102" s="28" t="s">
        <v>53</v>
      </c>
      <c r="U102" s="28" t="s">
        <v>41</v>
      </c>
      <c r="V102" s="28" t="s">
        <v>43</v>
      </c>
      <c r="W102" s="28" t="s">
        <v>426</v>
      </c>
      <c r="X102" s="28" t="s">
        <v>141</v>
      </c>
      <c r="Y102" s="28">
        <v>4144.0</v>
      </c>
    </row>
    <row r="103" ht="56.25" customHeight="1">
      <c r="A103" s="28" t="s">
        <v>417</v>
      </c>
      <c r="B103" s="29" t="str">
        <f>IMAGE("https://storage.googleapis.com/acdb/wall-mounted/FtrAmeretroClock_Remake_0_2.png")</f>
        <v/>
      </c>
      <c r="C103" s="28" t="s">
        <v>208</v>
      </c>
      <c r="D103" s="30" t="s">
        <v>83</v>
      </c>
      <c r="E103" s="28" t="s">
        <v>428</v>
      </c>
      <c r="F103" s="30" t="s">
        <v>422</v>
      </c>
      <c r="G103" s="28" t="s">
        <v>40</v>
      </c>
      <c r="H103" s="28" t="s">
        <v>53</v>
      </c>
      <c r="I103" s="28">
        <v>1.0</v>
      </c>
      <c r="J103" s="28">
        <v>1500.0</v>
      </c>
      <c r="K103" s="28">
        <v>375.0</v>
      </c>
      <c r="L103" s="28" t="s">
        <v>123</v>
      </c>
      <c r="M103" s="28" t="s">
        <v>44</v>
      </c>
      <c r="N103" s="28" t="s">
        <v>68</v>
      </c>
      <c r="O103" s="31" t="s">
        <v>89</v>
      </c>
      <c r="P103" s="28" t="s">
        <v>37</v>
      </c>
      <c r="Q103" s="28"/>
      <c r="R103" s="28" t="s">
        <v>423</v>
      </c>
      <c r="S103" s="28"/>
      <c r="T103" s="28" t="s">
        <v>53</v>
      </c>
      <c r="U103" s="28" t="s">
        <v>41</v>
      </c>
      <c r="V103" s="28" t="s">
        <v>43</v>
      </c>
      <c r="W103" s="28" t="s">
        <v>430</v>
      </c>
      <c r="X103" s="28" t="s">
        <v>317</v>
      </c>
      <c r="Y103" s="28">
        <v>4144.0</v>
      </c>
    </row>
    <row r="104" ht="56.25" customHeight="1">
      <c r="A104" s="28" t="s">
        <v>417</v>
      </c>
      <c r="B104" s="29" t="str">
        <f>IMAGE("https://storage.googleapis.com/acdb/wall-mounted/FtrAmeretroClock_Remake_1_0.png")</f>
        <v/>
      </c>
      <c r="C104" s="28" t="s">
        <v>112</v>
      </c>
      <c r="D104" s="30" t="s">
        <v>83</v>
      </c>
      <c r="E104" s="28" t="s">
        <v>421</v>
      </c>
      <c r="F104" s="30" t="s">
        <v>422</v>
      </c>
      <c r="G104" s="28" t="s">
        <v>40</v>
      </c>
      <c r="H104" s="28" t="s">
        <v>53</v>
      </c>
      <c r="I104" s="28">
        <v>1.0</v>
      </c>
      <c r="J104" s="28">
        <v>1500.0</v>
      </c>
      <c r="K104" s="28">
        <v>375.0</v>
      </c>
      <c r="L104" s="28" t="s">
        <v>123</v>
      </c>
      <c r="M104" s="28" t="s">
        <v>44</v>
      </c>
      <c r="N104" s="28" t="s">
        <v>68</v>
      </c>
      <c r="O104" s="31" t="s">
        <v>89</v>
      </c>
      <c r="P104" s="28" t="s">
        <v>37</v>
      </c>
      <c r="Q104" s="28"/>
      <c r="R104" s="28" t="s">
        <v>423</v>
      </c>
      <c r="S104" s="28"/>
      <c r="T104" s="28" t="s">
        <v>53</v>
      </c>
      <c r="U104" s="28" t="s">
        <v>41</v>
      </c>
      <c r="V104" s="28" t="s">
        <v>43</v>
      </c>
      <c r="W104" s="28" t="s">
        <v>431</v>
      </c>
      <c r="X104" s="28" t="s">
        <v>97</v>
      </c>
      <c r="Y104" s="28">
        <v>4144.0</v>
      </c>
    </row>
    <row r="105" ht="56.25" customHeight="1">
      <c r="A105" s="28" t="s">
        <v>417</v>
      </c>
      <c r="B105" s="29" t="str">
        <f>IMAGE("https://storage.googleapis.com/acdb/wall-mounted/FtrAmeretroClock_Remake_1_1.png")</f>
        <v/>
      </c>
      <c r="C105" s="28" t="s">
        <v>112</v>
      </c>
      <c r="D105" s="30" t="s">
        <v>83</v>
      </c>
      <c r="E105" s="28" t="s">
        <v>425</v>
      </c>
      <c r="F105" s="30" t="s">
        <v>422</v>
      </c>
      <c r="G105" s="28" t="s">
        <v>40</v>
      </c>
      <c r="H105" s="28" t="s">
        <v>53</v>
      </c>
      <c r="I105" s="28">
        <v>1.0</v>
      </c>
      <c r="J105" s="28">
        <v>1500.0</v>
      </c>
      <c r="K105" s="28">
        <v>375.0</v>
      </c>
      <c r="L105" s="28" t="s">
        <v>123</v>
      </c>
      <c r="M105" s="28" t="s">
        <v>44</v>
      </c>
      <c r="N105" s="28" t="s">
        <v>68</v>
      </c>
      <c r="O105" s="31" t="s">
        <v>89</v>
      </c>
      <c r="P105" s="28" t="s">
        <v>37</v>
      </c>
      <c r="Q105" s="28"/>
      <c r="R105" s="28" t="s">
        <v>423</v>
      </c>
      <c r="S105" s="28"/>
      <c r="T105" s="28" t="s">
        <v>53</v>
      </c>
      <c r="U105" s="28" t="s">
        <v>41</v>
      </c>
      <c r="V105" s="28" t="s">
        <v>43</v>
      </c>
      <c r="W105" s="28" t="s">
        <v>433</v>
      </c>
      <c r="X105" s="28" t="s">
        <v>148</v>
      </c>
      <c r="Y105" s="28">
        <v>4144.0</v>
      </c>
    </row>
    <row r="106" ht="56.25" customHeight="1">
      <c r="A106" s="28" t="s">
        <v>417</v>
      </c>
      <c r="B106" s="29" t="str">
        <f>IMAGE("https://storage.googleapis.com/acdb/wall-mounted/FtrAmeretroClock_Remake_1_2.png")</f>
        <v/>
      </c>
      <c r="C106" s="28" t="s">
        <v>112</v>
      </c>
      <c r="D106" s="30" t="s">
        <v>83</v>
      </c>
      <c r="E106" s="28" t="s">
        <v>428</v>
      </c>
      <c r="F106" s="30" t="s">
        <v>422</v>
      </c>
      <c r="G106" s="28" t="s">
        <v>40</v>
      </c>
      <c r="H106" s="28" t="s">
        <v>53</v>
      </c>
      <c r="I106" s="28">
        <v>1.0</v>
      </c>
      <c r="J106" s="28">
        <v>1500.0</v>
      </c>
      <c r="K106" s="28">
        <v>375.0</v>
      </c>
      <c r="L106" s="28" t="s">
        <v>123</v>
      </c>
      <c r="M106" s="28" t="s">
        <v>44</v>
      </c>
      <c r="N106" s="28" t="s">
        <v>68</v>
      </c>
      <c r="O106" s="31" t="s">
        <v>89</v>
      </c>
      <c r="P106" s="28" t="s">
        <v>37</v>
      </c>
      <c r="Q106" s="28"/>
      <c r="R106" s="28" t="s">
        <v>423</v>
      </c>
      <c r="S106" s="28"/>
      <c r="T106" s="28" t="s">
        <v>53</v>
      </c>
      <c r="U106" s="28" t="s">
        <v>41</v>
      </c>
      <c r="V106" s="28" t="s">
        <v>43</v>
      </c>
      <c r="W106" s="28" t="s">
        <v>436</v>
      </c>
      <c r="X106" s="28" t="s">
        <v>326</v>
      </c>
      <c r="Y106" s="28">
        <v>4144.0</v>
      </c>
    </row>
    <row r="107" ht="56.25" customHeight="1">
      <c r="A107" s="28" t="s">
        <v>417</v>
      </c>
      <c r="B107" s="29" t="str">
        <f>IMAGE("https://storage.googleapis.com/acdb/wall-mounted/FtrAmeretroClock_Remake_2_0.png")</f>
        <v/>
      </c>
      <c r="C107" s="28" t="s">
        <v>211</v>
      </c>
      <c r="D107" s="30" t="s">
        <v>83</v>
      </c>
      <c r="E107" s="28" t="s">
        <v>421</v>
      </c>
      <c r="F107" s="30" t="s">
        <v>422</v>
      </c>
      <c r="G107" s="28" t="s">
        <v>40</v>
      </c>
      <c r="H107" s="28" t="s">
        <v>53</v>
      </c>
      <c r="I107" s="28">
        <v>1.0</v>
      </c>
      <c r="J107" s="28">
        <v>1500.0</v>
      </c>
      <c r="K107" s="28">
        <v>375.0</v>
      </c>
      <c r="L107" s="28" t="s">
        <v>123</v>
      </c>
      <c r="M107" s="28" t="s">
        <v>44</v>
      </c>
      <c r="N107" s="28" t="s">
        <v>68</v>
      </c>
      <c r="O107" s="31" t="s">
        <v>89</v>
      </c>
      <c r="P107" s="28" t="s">
        <v>37</v>
      </c>
      <c r="Q107" s="28"/>
      <c r="R107" s="28" t="s">
        <v>423</v>
      </c>
      <c r="S107" s="28"/>
      <c r="T107" s="28" t="s">
        <v>53</v>
      </c>
      <c r="U107" s="28" t="s">
        <v>41</v>
      </c>
      <c r="V107" s="28" t="s">
        <v>43</v>
      </c>
      <c r="W107" s="28" t="s">
        <v>437</v>
      </c>
      <c r="X107" s="28" t="s">
        <v>103</v>
      </c>
      <c r="Y107" s="28">
        <v>4144.0</v>
      </c>
    </row>
    <row r="108" ht="56.25" customHeight="1">
      <c r="A108" s="28" t="s">
        <v>417</v>
      </c>
      <c r="B108" s="29" t="str">
        <f>IMAGE("https://storage.googleapis.com/acdb/wall-mounted/FtrAmeretroClock_Remake_2_1.png")</f>
        <v/>
      </c>
      <c r="C108" s="28" t="s">
        <v>211</v>
      </c>
      <c r="D108" s="30" t="s">
        <v>83</v>
      </c>
      <c r="E108" s="28" t="s">
        <v>425</v>
      </c>
      <c r="F108" s="30" t="s">
        <v>422</v>
      </c>
      <c r="G108" s="28" t="s">
        <v>40</v>
      </c>
      <c r="H108" s="28" t="s">
        <v>53</v>
      </c>
      <c r="I108" s="28">
        <v>1.0</v>
      </c>
      <c r="J108" s="28">
        <v>1500.0</v>
      </c>
      <c r="K108" s="28">
        <v>375.0</v>
      </c>
      <c r="L108" s="28" t="s">
        <v>123</v>
      </c>
      <c r="M108" s="28" t="s">
        <v>44</v>
      </c>
      <c r="N108" s="28" t="s">
        <v>68</v>
      </c>
      <c r="O108" s="31" t="s">
        <v>89</v>
      </c>
      <c r="P108" s="28" t="s">
        <v>37</v>
      </c>
      <c r="Q108" s="28"/>
      <c r="R108" s="28" t="s">
        <v>423</v>
      </c>
      <c r="S108" s="28"/>
      <c r="T108" s="28" t="s">
        <v>53</v>
      </c>
      <c r="U108" s="28" t="s">
        <v>41</v>
      </c>
      <c r="V108" s="28" t="s">
        <v>43</v>
      </c>
      <c r="W108" s="28" t="s">
        <v>439</v>
      </c>
      <c r="X108" s="28" t="s">
        <v>155</v>
      </c>
      <c r="Y108" s="28">
        <v>4144.0</v>
      </c>
    </row>
    <row r="109" ht="56.25" customHeight="1">
      <c r="A109" s="28" t="s">
        <v>417</v>
      </c>
      <c r="B109" s="29" t="str">
        <f>IMAGE("https://storage.googleapis.com/acdb/wall-mounted/FtrAmeretroClock_Remake_2_2.png")</f>
        <v/>
      </c>
      <c r="C109" s="28" t="s">
        <v>211</v>
      </c>
      <c r="D109" s="30" t="s">
        <v>83</v>
      </c>
      <c r="E109" s="28" t="s">
        <v>428</v>
      </c>
      <c r="F109" s="30" t="s">
        <v>422</v>
      </c>
      <c r="G109" s="28" t="s">
        <v>40</v>
      </c>
      <c r="H109" s="28" t="s">
        <v>53</v>
      </c>
      <c r="I109" s="28">
        <v>1.0</v>
      </c>
      <c r="J109" s="28">
        <v>1500.0</v>
      </c>
      <c r="K109" s="28">
        <v>375.0</v>
      </c>
      <c r="L109" s="28" t="s">
        <v>123</v>
      </c>
      <c r="M109" s="28" t="s">
        <v>44</v>
      </c>
      <c r="N109" s="28" t="s">
        <v>68</v>
      </c>
      <c r="O109" s="31" t="s">
        <v>89</v>
      </c>
      <c r="P109" s="28" t="s">
        <v>37</v>
      </c>
      <c r="Q109" s="28"/>
      <c r="R109" s="28" t="s">
        <v>423</v>
      </c>
      <c r="S109" s="28"/>
      <c r="T109" s="28" t="s">
        <v>53</v>
      </c>
      <c r="U109" s="28" t="s">
        <v>41</v>
      </c>
      <c r="V109" s="28" t="s">
        <v>43</v>
      </c>
      <c r="W109" s="28" t="s">
        <v>440</v>
      </c>
      <c r="X109" s="28" t="s">
        <v>335</v>
      </c>
      <c r="Y109" s="28">
        <v>4144.0</v>
      </c>
    </row>
    <row r="110" ht="56.25" customHeight="1">
      <c r="A110" s="28" t="s">
        <v>417</v>
      </c>
      <c r="B110" s="29" t="str">
        <f>IMAGE("https://storage.googleapis.com/acdb/wall-mounted/FtrAmeretroClock_Remake_3_0.png")</f>
        <v/>
      </c>
      <c r="C110" s="28" t="s">
        <v>441</v>
      </c>
      <c r="D110" s="30" t="s">
        <v>83</v>
      </c>
      <c r="E110" s="28" t="s">
        <v>421</v>
      </c>
      <c r="F110" s="30" t="s">
        <v>422</v>
      </c>
      <c r="G110" s="28" t="s">
        <v>40</v>
      </c>
      <c r="H110" s="28" t="s">
        <v>53</v>
      </c>
      <c r="I110" s="28">
        <v>1.0</v>
      </c>
      <c r="J110" s="28">
        <v>1500.0</v>
      </c>
      <c r="K110" s="28">
        <v>375.0</v>
      </c>
      <c r="L110" s="28" t="s">
        <v>123</v>
      </c>
      <c r="M110" s="28" t="s">
        <v>44</v>
      </c>
      <c r="N110" s="28" t="s">
        <v>68</v>
      </c>
      <c r="O110" s="31" t="s">
        <v>89</v>
      </c>
      <c r="P110" s="28" t="s">
        <v>37</v>
      </c>
      <c r="Q110" s="28"/>
      <c r="R110" s="28" t="s">
        <v>423</v>
      </c>
      <c r="S110" s="28"/>
      <c r="T110" s="28" t="s">
        <v>53</v>
      </c>
      <c r="U110" s="28" t="s">
        <v>41</v>
      </c>
      <c r="V110" s="28" t="s">
        <v>43</v>
      </c>
      <c r="W110" s="28" t="s">
        <v>443</v>
      </c>
      <c r="X110" s="28" t="s">
        <v>110</v>
      </c>
      <c r="Y110" s="28">
        <v>4144.0</v>
      </c>
    </row>
    <row r="111" ht="56.25" customHeight="1">
      <c r="A111" s="28" t="s">
        <v>417</v>
      </c>
      <c r="B111" s="29" t="str">
        <f>IMAGE("https://storage.googleapis.com/acdb/wall-mounted/FtrAmeretroClock_Remake_3_1.png")</f>
        <v/>
      </c>
      <c r="C111" s="28" t="s">
        <v>441</v>
      </c>
      <c r="D111" s="30" t="s">
        <v>83</v>
      </c>
      <c r="E111" s="28" t="s">
        <v>425</v>
      </c>
      <c r="F111" s="30" t="s">
        <v>422</v>
      </c>
      <c r="G111" s="28" t="s">
        <v>40</v>
      </c>
      <c r="H111" s="28" t="s">
        <v>53</v>
      </c>
      <c r="I111" s="28">
        <v>1.0</v>
      </c>
      <c r="J111" s="28">
        <v>1500.0</v>
      </c>
      <c r="K111" s="28">
        <v>375.0</v>
      </c>
      <c r="L111" s="28" t="s">
        <v>123</v>
      </c>
      <c r="M111" s="28" t="s">
        <v>44</v>
      </c>
      <c r="N111" s="28" t="s">
        <v>68</v>
      </c>
      <c r="O111" s="31" t="s">
        <v>89</v>
      </c>
      <c r="P111" s="28" t="s">
        <v>37</v>
      </c>
      <c r="Q111" s="28"/>
      <c r="R111" s="28" t="s">
        <v>423</v>
      </c>
      <c r="S111" s="28"/>
      <c r="T111" s="28" t="s">
        <v>53</v>
      </c>
      <c r="U111" s="28" t="s">
        <v>41</v>
      </c>
      <c r="V111" s="28" t="s">
        <v>43</v>
      </c>
      <c r="W111" s="28" t="s">
        <v>445</v>
      </c>
      <c r="X111" s="28" t="s">
        <v>163</v>
      </c>
      <c r="Y111" s="28">
        <v>4144.0</v>
      </c>
    </row>
    <row r="112" ht="56.25" customHeight="1">
      <c r="A112" s="28" t="s">
        <v>417</v>
      </c>
      <c r="B112" s="29" t="str">
        <f>IMAGE("https://storage.googleapis.com/acdb/wall-mounted/FtrAmeretroClock_Remake_3_2.png")</f>
        <v/>
      </c>
      <c r="C112" s="28" t="s">
        <v>441</v>
      </c>
      <c r="D112" s="30" t="s">
        <v>83</v>
      </c>
      <c r="E112" s="28" t="s">
        <v>428</v>
      </c>
      <c r="F112" s="30" t="s">
        <v>422</v>
      </c>
      <c r="G112" s="28" t="s">
        <v>40</v>
      </c>
      <c r="H112" s="28" t="s">
        <v>53</v>
      </c>
      <c r="I112" s="28">
        <v>1.0</v>
      </c>
      <c r="J112" s="28">
        <v>1500.0</v>
      </c>
      <c r="K112" s="28">
        <v>375.0</v>
      </c>
      <c r="L112" s="28" t="s">
        <v>123</v>
      </c>
      <c r="M112" s="28" t="s">
        <v>44</v>
      </c>
      <c r="N112" s="28" t="s">
        <v>68</v>
      </c>
      <c r="O112" s="31" t="s">
        <v>89</v>
      </c>
      <c r="P112" s="28" t="s">
        <v>37</v>
      </c>
      <c r="Q112" s="28"/>
      <c r="R112" s="28" t="s">
        <v>423</v>
      </c>
      <c r="S112" s="28"/>
      <c r="T112" s="28" t="s">
        <v>53</v>
      </c>
      <c r="U112" s="28" t="s">
        <v>41</v>
      </c>
      <c r="V112" s="28" t="s">
        <v>43</v>
      </c>
      <c r="W112" s="28" t="s">
        <v>446</v>
      </c>
      <c r="X112" s="28" t="s">
        <v>447</v>
      </c>
      <c r="Y112" s="28">
        <v>4144.0</v>
      </c>
    </row>
    <row r="113" ht="56.25" customHeight="1">
      <c r="A113" s="28" t="s">
        <v>417</v>
      </c>
      <c r="B113" s="29" t="str">
        <f>IMAGE("https://storage.googleapis.com/acdb/wall-mounted/FtrAmeretroClock_Remake_4_0.png")</f>
        <v/>
      </c>
      <c r="C113" s="28" t="s">
        <v>107</v>
      </c>
      <c r="D113" s="30" t="s">
        <v>83</v>
      </c>
      <c r="E113" s="28" t="s">
        <v>421</v>
      </c>
      <c r="F113" s="30" t="s">
        <v>422</v>
      </c>
      <c r="G113" s="28" t="s">
        <v>40</v>
      </c>
      <c r="H113" s="28" t="s">
        <v>53</v>
      </c>
      <c r="I113" s="28">
        <v>1.0</v>
      </c>
      <c r="J113" s="28">
        <v>1500.0</v>
      </c>
      <c r="K113" s="28">
        <v>375.0</v>
      </c>
      <c r="L113" s="28" t="s">
        <v>123</v>
      </c>
      <c r="M113" s="28" t="s">
        <v>44</v>
      </c>
      <c r="N113" s="28" t="s">
        <v>68</v>
      </c>
      <c r="O113" s="31" t="s">
        <v>89</v>
      </c>
      <c r="P113" s="28" t="s">
        <v>37</v>
      </c>
      <c r="Q113" s="28"/>
      <c r="R113" s="28" t="s">
        <v>423</v>
      </c>
      <c r="S113" s="28"/>
      <c r="T113" s="28" t="s">
        <v>53</v>
      </c>
      <c r="U113" s="28" t="s">
        <v>41</v>
      </c>
      <c r="V113" s="28" t="s">
        <v>43</v>
      </c>
      <c r="W113" s="28" t="s">
        <v>449</v>
      </c>
      <c r="X113" s="28" t="s">
        <v>115</v>
      </c>
      <c r="Y113" s="28">
        <v>4144.0</v>
      </c>
    </row>
    <row r="114" ht="56.25" customHeight="1">
      <c r="A114" s="28" t="s">
        <v>417</v>
      </c>
      <c r="B114" s="29" t="str">
        <f>IMAGE("https://storage.googleapis.com/acdb/wall-mounted/FtrAmeretroClock_Remake_4_1.png")</f>
        <v/>
      </c>
      <c r="C114" s="28" t="s">
        <v>107</v>
      </c>
      <c r="D114" s="30" t="s">
        <v>83</v>
      </c>
      <c r="E114" s="28" t="s">
        <v>425</v>
      </c>
      <c r="F114" s="30" t="s">
        <v>422</v>
      </c>
      <c r="G114" s="28" t="s">
        <v>40</v>
      </c>
      <c r="H114" s="28" t="s">
        <v>53</v>
      </c>
      <c r="I114" s="28">
        <v>1.0</v>
      </c>
      <c r="J114" s="28">
        <v>1500.0</v>
      </c>
      <c r="K114" s="28">
        <v>375.0</v>
      </c>
      <c r="L114" s="28" t="s">
        <v>123</v>
      </c>
      <c r="M114" s="28" t="s">
        <v>44</v>
      </c>
      <c r="N114" s="28" t="s">
        <v>68</v>
      </c>
      <c r="O114" s="31" t="s">
        <v>89</v>
      </c>
      <c r="P114" s="28" t="s">
        <v>37</v>
      </c>
      <c r="Q114" s="28"/>
      <c r="R114" s="28" t="s">
        <v>423</v>
      </c>
      <c r="S114" s="28"/>
      <c r="T114" s="28" t="s">
        <v>53</v>
      </c>
      <c r="U114" s="28" t="s">
        <v>41</v>
      </c>
      <c r="V114" s="28" t="s">
        <v>43</v>
      </c>
      <c r="W114" s="28" t="s">
        <v>450</v>
      </c>
      <c r="X114" s="28" t="s">
        <v>451</v>
      </c>
      <c r="Y114" s="28">
        <v>4144.0</v>
      </c>
    </row>
    <row r="115" ht="56.25" customHeight="1">
      <c r="A115" s="28" t="s">
        <v>417</v>
      </c>
      <c r="B115" s="29" t="str">
        <f>IMAGE("https://storage.googleapis.com/acdb/wall-mounted/FtrAmeretroClock_Remake_4_2.png")</f>
        <v/>
      </c>
      <c r="C115" s="28" t="s">
        <v>107</v>
      </c>
      <c r="D115" s="30" t="s">
        <v>83</v>
      </c>
      <c r="E115" s="28" t="s">
        <v>428</v>
      </c>
      <c r="F115" s="30" t="s">
        <v>422</v>
      </c>
      <c r="G115" s="28" t="s">
        <v>40</v>
      </c>
      <c r="H115" s="28" t="s">
        <v>53</v>
      </c>
      <c r="I115" s="28">
        <v>1.0</v>
      </c>
      <c r="J115" s="28">
        <v>1500.0</v>
      </c>
      <c r="K115" s="28">
        <v>375.0</v>
      </c>
      <c r="L115" s="28" t="s">
        <v>123</v>
      </c>
      <c r="M115" s="28" t="s">
        <v>44</v>
      </c>
      <c r="N115" s="28" t="s">
        <v>68</v>
      </c>
      <c r="O115" s="31" t="s">
        <v>89</v>
      </c>
      <c r="P115" s="28" t="s">
        <v>37</v>
      </c>
      <c r="Q115" s="28"/>
      <c r="R115" s="28" t="s">
        <v>423</v>
      </c>
      <c r="S115" s="28"/>
      <c r="T115" s="28" t="s">
        <v>53</v>
      </c>
      <c r="U115" s="28" t="s">
        <v>41</v>
      </c>
      <c r="V115" s="28" t="s">
        <v>43</v>
      </c>
      <c r="W115" s="28" t="s">
        <v>453</v>
      </c>
      <c r="X115" s="28" t="s">
        <v>454</v>
      </c>
      <c r="Y115" s="28">
        <v>4144.0</v>
      </c>
    </row>
    <row r="116" ht="56.25" customHeight="1">
      <c r="A116" s="28" t="s">
        <v>417</v>
      </c>
      <c r="B116" s="29" t="str">
        <f>IMAGE("https://storage.googleapis.com/acdb/wall-mounted/FtrAmeretroClock_Remake_5_0.png")</f>
        <v/>
      </c>
      <c r="C116" s="28" t="s">
        <v>456</v>
      </c>
      <c r="D116" s="30" t="s">
        <v>83</v>
      </c>
      <c r="E116" s="28" t="s">
        <v>421</v>
      </c>
      <c r="F116" s="30" t="s">
        <v>422</v>
      </c>
      <c r="G116" s="28" t="s">
        <v>40</v>
      </c>
      <c r="H116" s="28" t="s">
        <v>53</v>
      </c>
      <c r="I116" s="28">
        <v>1.0</v>
      </c>
      <c r="J116" s="28">
        <v>1500.0</v>
      </c>
      <c r="K116" s="28">
        <v>375.0</v>
      </c>
      <c r="L116" s="28" t="s">
        <v>123</v>
      </c>
      <c r="M116" s="28" t="s">
        <v>44</v>
      </c>
      <c r="N116" s="28" t="s">
        <v>68</v>
      </c>
      <c r="O116" s="31" t="s">
        <v>89</v>
      </c>
      <c r="P116" s="28" t="s">
        <v>37</v>
      </c>
      <c r="Q116" s="28"/>
      <c r="R116" s="28" t="s">
        <v>423</v>
      </c>
      <c r="S116" s="28"/>
      <c r="T116" s="28" t="s">
        <v>53</v>
      </c>
      <c r="U116" s="28" t="s">
        <v>41</v>
      </c>
      <c r="V116" s="28" t="s">
        <v>43</v>
      </c>
      <c r="W116" s="28" t="s">
        <v>457</v>
      </c>
      <c r="X116" s="28" t="s">
        <v>120</v>
      </c>
      <c r="Y116" s="28">
        <v>4144.0</v>
      </c>
    </row>
    <row r="117" ht="56.25" customHeight="1">
      <c r="A117" s="28" t="s">
        <v>417</v>
      </c>
      <c r="B117" s="29" t="str">
        <f>IMAGE("https://storage.googleapis.com/acdb/wall-mounted/FtrAmeretroClock_Remake_5_1.png")</f>
        <v/>
      </c>
      <c r="C117" s="28" t="s">
        <v>456</v>
      </c>
      <c r="D117" s="30" t="s">
        <v>83</v>
      </c>
      <c r="E117" s="28" t="s">
        <v>425</v>
      </c>
      <c r="F117" s="30" t="s">
        <v>422</v>
      </c>
      <c r="G117" s="28" t="s">
        <v>40</v>
      </c>
      <c r="H117" s="28" t="s">
        <v>53</v>
      </c>
      <c r="I117" s="28">
        <v>1.0</v>
      </c>
      <c r="J117" s="28">
        <v>1500.0</v>
      </c>
      <c r="K117" s="28">
        <v>375.0</v>
      </c>
      <c r="L117" s="28" t="s">
        <v>123</v>
      </c>
      <c r="M117" s="28" t="s">
        <v>44</v>
      </c>
      <c r="N117" s="28" t="s">
        <v>68</v>
      </c>
      <c r="O117" s="31" t="s">
        <v>89</v>
      </c>
      <c r="P117" s="28" t="s">
        <v>37</v>
      </c>
      <c r="Q117" s="28"/>
      <c r="R117" s="28" t="s">
        <v>423</v>
      </c>
      <c r="S117" s="28"/>
      <c r="T117" s="28" t="s">
        <v>53</v>
      </c>
      <c r="U117" s="28" t="s">
        <v>41</v>
      </c>
      <c r="V117" s="28" t="s">
        <v>43</v>
      </c>
      <c r="W117" s="28" t="s">
        <v>459</v>
      </c>
      <c r="X117" s="28" t="s">
        <v>460</v>
      </c>
      <c r="Y117" s="28">
        <v>4144.0</v>
      </c>
    </row>
    <row r="118" ht="56.25" customHeight="1">
      <c r="A118" s="28" t="s">
        <v>417</v>
      </c>
      <c r="B118" s="29" t="str">
        <f>IMAGE("https://storage.googleapis.com/acdb/wall-mounted/FtrAmeretroClock_Remake_5_2.png")</f>
        <v/>
      </c>
      <c r="C118" s="28" t="s">
        <v>456</v>
      </c>
      <c r="D118" s="30" t="s">
        <v>83</v>
      </c>
      <c r="E118" s="28" t="s">
        <v>428</v>
      </c>
      <c r="F118" s="30" t="s">
        <v>422</v>
      </c>
      <c r="G118" s="28" t="s">
        <v>40</v>
      </c>
      <c r="H118" s="28" t="s">
        <v>53</v>
      </c>
      <c r="I118" s="28">
        <v>1.0</v>
      </c>
      <c r="J118" s="28">
        <v>1500.0</v>
      </c>
      <c r="K118" s="28">
        <v>375.0</v>
      </c>
      <c r="L118" s="28" t="s">
        <v>123</v>
      </c>
      <c r="M118" s="28" t="s">
        <v>44</v>
      </c>
      <c r="N118" s="28" t="s">
        <v>68</v>
      </c>
      <c r="O118" s="31" t="s">
        <v>89</v>
      </c>
      <c r="P118" s="28" t="s">
        <v>37</v>
      </c>
      <c r="Q118" s="28"/>
      <c r="R118" s="28" t="s">
        <v>423</v>
      </c>
      <c r="S118" s="28"/>
      <c r="T118" s="28" t="s">
        <v>53</v>
      </c>
      <c r="U118" s="28" t="s">
        <v>41</v>
      </c>
      <c r="V118" s="28" t="s">
        <v>43</v>
      </c>
      <c r="W118" s="28" t="s">
        <v>462</v>
      </c>
      <c r="X118" s="28" t="s">
        <v>463</v>
      </c>
      <c r="Y118" s="28">
        <v>4144.0</v>
      </c>
    </row>
    <row r="119" ht="56.25" customHeight="1">
      <c r="A119" s="28" t="s">
        <v>417</v>
      </c>
      <c r="B119" s="29" t="str">
        <f>IMAGE("https://storage.googleapis.com/acdb/wall-mounted/FtrAmeretroClock_Remake_6_0.png")</f>
        <v/>
      </c>
      <c r="C119" s="28" t="s">
        <v>464</v>
      </c>
      <c r="D119" s="30" t="s">
        <v>83</v>
      </c>
      <c r="E119" s="28" t="s">
        <v>421</v>
      </c>
      <c r="F119" s="30" t="s">
        <v>422</v>
      </c>
      <c r="G119" s="28" t="s">
        <v>40</v>
      </c>
      <c r="H119" s="28" t="s">
        <v>53</v>
      </c>
      <c r="I119" s="28">
        <v>1.0</v>
      </c>
      <c r="J119" s="28">
        <v>1500.0</v>
      </c>
      <c r="K119" s="28">
        <v>375.0</v>
      </c>
      <c r="L119" s="28" t="s">
        <v>123</v>
      </c>
      <c r="M119" s="28" t="s">
        <v>44</v>
      </c>
      <c r="N119" s="28" t="s">
        <v>68</v>
      </c>
      <c r="O119" s="31" t="s">
        <v>89</v>
      </c>
      <c r="P119" s="28" t="s">
        <v>37</v>
      </c>
      <c r="Q119" s="28"/>
      <c r="R119" s="28" t="s">
        <v>423</v>
      </c>
      <c r="S119" s="28"/>
      <c r="T119" s="28" t="s">
        <v>53</v>
      </c>
      <c r="U119" s="28" t="s">
        <v>41</v>
      </c>
      <c r="V119" s="28" t="s">
        <v>43</v>
      </c>
      <c r="W119" s="28" t="s">
        <v>466</v>
      </c>
      <c r="X119" s="28" t="s">
        <v>218</v>
      </c>
      <c r="Y119" s="28">
        <v>4144.0</v>
      </c>
    </row>
    <row r="120" ht="56.25" customHeight="1">
      <c r="A120" s="28" t="s">
        <v>417</v>
      </c>
      <c r="B120" s="29" t="str">
        <f>IMAGE("https://storage.googleapis.com/acdb/wall-mounted/FtrAmeretroClock_Remake_6_1.png")</f>
        <v/>
      </c>
      <c r="C120" s="28" t="s">
        <v>464</v>
      </c>
      <c r="D120" s="30" t="s">
        <v>83</v>
      </c>
      <c r="E120" s="28" t="s">
        <v>425</v>
      </c>
      <c r="F120" s="30" t="s">
        <v>422</v>
      </c>
      <c r="G120" s="28" t="s">
        <v>40</v>
      </c>
      <c r="H120" s="28" t="s">
        <v>53</v>
      </c>
      <c r="I120" s="28">
        <v>1.0</v>
      </c>
      <c r="J120" s="28">
        <v>1500.0</v>
      </c>
      <c r="K120" s="28">
        <v>375.0</v>
      </c>
      <c r="L120" s="28" t="s">
        <v>123</v>
      </c>
      <c r="M120" s="28" t="s">
        <v>44</v>
      </c>
      <c r="N120" s="28" t="s">
        <v>68</v>
      </c>
      <c r="O120" s="31" t="s">
        <v>89</v>
      </c>
      <c r="P120" s="28" t="s">
        <v>37</v>
      </c>
      <c r="Q120" s="28"/>
      <c r="R120" s="28" t="s">
        <v>423</v>
      </c>
      <c r="S120" s="28"/>
      <c r="T120" s="28" t="s">
        <v>53</v>
      </c>
      <c r="U120" s="28" t="s">
        <v>41</v>
      </c>
      <c r="V120" s="28" t="s">
        <v>43</v>
      </c>
      <c r="W120" s="28" t="s">
        <v>468</v>
      </c>
      <c r="X120" s="28" t="s">
        <v>469</v>
      </c>
      <c r="Y120" s="28">
        <v>4144.0</v>
      </c>
    </row>
    <row r="121" ht="56.25" customHeight="1">
      <c r="A121" s="28" t="s">
        <v>417</v>
      </c>
      <c r="B121" s="29" t="str">
        <f>IMAGE("https://storage.googleapis.com/acdb/wall-mounted/FtrAmeretroClock_Remake_6_2.png")</f>
        <v/>
      </c>
      <c r="C121" s="28" t="s">
        <v>464</v>
      </c>
      <c r="D121" s="30" t="s">
        <v>83</v>
      </c>
      <c r="E121" s="28" t="s">
        <v>428</v>
      </c>
      <c r="F121" s="30" t="s">
        <v>422</v>
      </c>
      <c r="G121" s="28" t="s">
        <v>40</v>
      </c>
      <c r="H121" s="28" t="s">
        <v>53</v>
      </c>
      <c r="I121" s="28">
        <v>1.0</v>
      </c>
      <c r="J121" s="28">
        <v>1500.0</v>
      </c>
      <c r="K121" s="28">
        <v>375.0</v>
      </c>
      <c r="L121" s="28" t="s">
        <v>123</v>
      </c>
      <c r="M121" s="28" t="s">
        <v>44</v>
      </c>
      <c r="N121" s="28" t="s">
        <v>68</v>
      </c>
      <c r="O121" s="31" t="s">
        <v>89</v>
      </c>
      <c r="P121" s="28" t="s">
        <v>37</v>
      </c>
      <c r="Q121" s="28"/>
      <c r="R121" s="28" t="s">
        <v>423</v>
      </c>
      <c r="S121" s="28"/>
      <c r="T121" s="28" t="s">
        <v>53</v>
      </c>
      <c r="U121" s="28" t="s">
        <v>41</v>
      </c>
      <c r="V121" s="28" t="s">
        <v>43</v>
      </c>
      <c r="W121" s="28" t="s">
        <v>470</v>
      </c>
      <c r="X121" s="28" t="s">
        <v>471</v>
      </c>
      <c r="Y121" s="28">
        <v>4144.0</v>
      </c>
    </row>
    <row r="122" ht="56.25" customHeight="1">
      <c r="A122" s="28" t="s">
        <v>417</v>
      </c>
      <c r="B122" s="29" t="str">
        <f>IMAGE("https://storage.googleapis.com/acdb/wall-mounted/FtrAmeretroClock_Remake_0_0.png")</f>
        <v/>
      </c>
      <c r="C122" s="28" t="s">
        <v>83</v>
      </c>
      <c r="D122" s="30" t="s">
        <v>83</v>
      </c>
      <c r="E122" s="28" t="s">
        <v>421</v>
      </c>
      <c r="F122" s="30" t="s">
        <v>422</v>
      </c>
      <c r="G122" s="28" t="s">
        <v>40</v>
      </c>
      <c r="H122" s="28" t="s">
        <v>53</v>
      </c>
      <c r="I122" s="28">
        <v>1.0</v>
      </c>
      <c r="J122" s="28">
        <v>1500.0</v>
      </c>
      <c r="K122" s="28">
        <v>375.0</v>
      </c>
      <c r="L122" s="28" t="s">
        <v>123</v>
      </c>
      <c r="M122" s="28" t="s">
        <v>44</v>
      </c>
      <c r="N122" s="28" t="s">
        <v>68</v>
      </c>
      <c r="O122" s="31" t="s">
        <v>89</v>
      </c>
      <c r="P122" s="28" t="s">
        <v>37</v>
      </c>
      <c r="Q122" s="28"/>
      <c r="R122" s="28" t="s">
        <v>423</v>
      </c>
      <c r="S122" s="28"/>
      <c r="T122" s="28" t="s">
        <v>53</v>
      </c>
      <c r="U122" s="28" t="s">
        <v>41</v>
      </c>
      <c r="V122" s="28" t="s">
        <v>43</v>
      </c>
      <c r="W122" s="28" t="s">
        <v>424</v>
      </c>
      <c r="X122" s="28" t="s">
        <v>92</v>
      </c>
      <c r="Y122" s="28">
        <v>4144.0</v>
      </c>
    </row>
    <row r="123" ht="56.25" customHeight="1">
      <c r="A123" s="28" t="s">
        <v>417</v>
      </c>
      <c r="B123" s="29" t="str">
        <f>IMAGE("https://storage.googleapis.com/acdb/wall-mounted/FtrAmeretroClock_Remake_1_0.png")</f>
        <v/>
      </c>
      <c r="C123" s="28" t="s">
        <v>83</v>
      </c>
      <c r="D123" s="30" t="s">
        <v>83</v>
      </c>
      <c r="E123" s="28" t="s">
        <v>425</v>
      </c>
      <c r="F123" s="30" t="s">
        <v>422</v>
      </c>
      <c r="G123" s="28" t="s">
        <v>40</v>
      </c>
      <c r="H123" s="28" t="s">
        <v>53</v>
      </c>
      <c r="I123" s="28">
        <v>1.0</v>
      </c>
      <c r="J123" s="28">
        <v>1500.0</v>
      </c>
      <c r="K123" s="28">
        <v>375.0</v>
      </c>
      <c r="L123" s="28" t="s">
        <v>123</v>
      </c>
      <c r="M123" s="28" t="s">
        <v>44</v>
      </c>
      <c r="N123" s="28" t="s">
        <v>68</v>
      </c>
      <c r="O123" s="31" t="s">
        <v>89</v>
      </c>
      <c r="P123" s="28" t="s">
        <v>37</v>
      </c>
      <c r="Q123" s="28"/>
      <c r="R123" s="28" t="s">
        <v>423</v>
      </c>
      <c r="S123" s="28"/>
      <c r="T123" s="28" t="s">
        <v>53</v>
      </c>
      <c r="U123" s="28" t="s">
        <v>41</v>
      </c>
      <c r="V123" s="28" t="s">
        <v>43</v>
      </c>
      <c r="W123" s="28" t="s">
        <v>431</v>
      </c>
      <c r="X123" s="28" t="s">
        <v>97</v>
      </c>
      <c r="Y123" s="28">
        <v>4144.0</v>
      </c>
    </row>
    <row r="124" ht="56.25" customHeight="1">
      <c r="A124" s="28" t="s">
        <v>417</v>
      </c>
      <c r="B124" s="29" t="str">
        <f>IMAGE("https://storage.googleapis.com/acdb/wall-mounted/FtrAmeretroClock_Remake_2_0.png")</f>
        <v/>
      </c>
      <c r="C124" s="28" t="s">
        <v>83</v>
      </c>
      <c r="D124" s="30" t="s">
        <v>83</v>
      </c>
      <c r="E124" s="28" t="s">
        <v>428</v>
      </c>
      <c r="F124" s="30" t="s">
        <v>422</v>
      </c>
      <c r="G124" s="28" t="s">
        <v>40</v>
      </c>
      <c r="H124" s="28" t="s">
        <v>53</v>
      </c>
      <c r="I124" s="28">
        <v>1.0</v>
      </c>
      <c r="J124" s="28">
        <v>1500.0</v>
      </c>
      <c r="K124" s="28">
        <v>375.0</v>
      </c>
      <c r="L124" s="28" t="s">
        <v>123</v>
      </c>
      <c r="M124" s="28" t="s">
        <v>44</v>
      </c>
      <c r="N124" s="28" t="s">
        <v>68</v>
      </c>
      <c r="O124" s="31" t="s">
        <v>89</v>
      </c>
      <c r="P124" s="28" t="s">
        <v>37</v>
      </c>
      <c r="Q124" s="28"/>
      <c r="R124" s="28" t="s">
        <v>423</v>
      </c>
      <c r="S124" s="28"/>
      <c r="T124" s="28" t="s">
        <v>53</v>
      </c>
      <c r="U124" s="28" t="s">
        <v>41</v>
      </c>
      <c r="V124" s="28" t="s">
        <v>43</v>
      </c>
      <c r="W124" s="28" t="s">
        <v>437</v>
      </c>
      <c r="X124" s="28" t="s">
        <v>103</v>
      </c>
      <c r="Y124" s="28">
        <v>4144.0</v>
      </c>
    </row>
    <row r="125" ht="56.25" customHeight="1">
      <c r="A125" s="28" t="s">
        <v>476</v>
      </c>
      <c r="B125" s="29" t="str">
        <f>IMAGE("https://storage.googleapis.com/acdb/wall-mounted/FtrBothsideclockWall_Remake_0_0.png")</f>
        <v/>
      </c>
      <c r="C125" s="28" t="s">
        <v>99</v>
      </c>
      <c r="D125" s="30" t="s">
        <v>83</v>
      </c>
      <c r="E125" s="28" t="s">
        <v>83</v>
      </c>
      <c r="F125" s="30" t="s">
        <v>83</v>
      </c>
      <c r="G125" s="28" t="s">
        <v>40</v>
      </c>
      <c r="H125" s="28" t="s">
        <v>40</v>
      </c>
      <c r="I125" s="28" t="s">
        <v>83</v>
      </c>
      <c r="J125" s="28">
        <v>1100.0</v>
      </c>
      <c r="K125" s="28">
        <v>275.0</v>
      </c>
      <c r="L125" s="28" t="s">
        <v>171</v>
      </c>
      <c r="M125" s="28" t="s">
        <v>44</v>
      </c>
      <c r="N125" s="28" t="s">
        <v>68</v>
      </c>
      <c r="O125" s="31" t="s">
        <v>89</v>
      </c>
      <c r="P125" s="28" t="s">
        <v>90</v>
      </c>
      <c r="Q125" s="28"/>
      <c r="R125" s="28"/>
      <c r="S125" s="28"/>
      <c r="T125" s="28" t="s">
        <v>53</v>
      </c>
      <c r="U125" s="28" t="s">
        <v>41</v>
      </c>
      <c r="V125" s="28" t="s">
        <v>43</v>
      </c>
      <c r="W125" s="28" t="s">
        <v>477</v>
      </c>
      <c r="X125" s="28" t="s">
        <v>92</v>
      </c>
      <c r="Y125" s="28">
        <v>4133.0</v>
      </c>
    </row>
    <row r="126" ht="56.25" customHeight="1">
      <c r="A126" s="28" t="s">
        <v>476</v>
      </c>
      <c r="B126" s="29" t="str">
        <f>IMAGE("https://storage.googleapis.com/acdb/wall-mounted/FtrBothsideclockWall_Remake_1_0.png")</f>
        <v/>
      </c>
      <c r="C126" s="28" t="s">
        <v>82</v>
      </c>
      <c r="D126" s="30" t="s">
        <v>83</v>
      </c>
      <c r="E126" s="28" t="s">
        <v>83</v>
      </c>
      <c r="F126" s="30" t="s">
        <v>83</v>
      </c>
      <c r="G126" s="28" t="s">
        <v>40</v>
      </c>
      <c r="H126" s="28" t="s">
        <v>40</v>
      </c>
      <c r="I126" s="28" t="s">
        <v>83</v>
      </c>
      <c r="J126" s="28">
        <v>1100.0</v>
      </c>
      <c r="K126" s="28">
        <v>275.0</v>
      </c>
      <c r="L126" s="28" t="s">
        <v>171</v>
      </c>
      <c r="M126" s="28" t="s">
        <v>44</v>
      </c>
      <c r="N126" s="28" t="s">
        <v>68</v>
      </c>
      <c r="O126" s="31" t="s">
        <v>89</v>
      </c>
      <c r="P126" s="28" t="s">
        <v>90</v>
      </c>
      <c r="Q126" s="28"/>
      <c r="R126" s="28"/>
      <c r="S126" s="28"/>
      <c r="T126" s="28" t="s">
        <v>53</v>
      </c>
      <c r="U126" s="28" t="s">
        <v>41</v>
      </c>
      <c r="V126" s="28" t="s">
        <v>43</v>
      </c>
      <c r="W126" s="28" t="s">
        <v>479</v>
      </c>
      <c r="X126" s="28" t="s">
        <v>97</v>
      </c>
      <c r="Y126" s="28">
        <v>4133.0</v>
      </c>
    </row>
    <row r="127" ht="56.25" customHeight="1">
      <c r="A127" s="28" t="s">
        <v>476</v>
      </c>
      <c r="B127" s="29" t="str">
        <f>IMAGE("https://storage.googleapis.com/acdb/wall-mounted/FtrBothsideclockWall_Remake_2_0.png")</f>
        <v/>
      </c>
      <c r="C127" s="28" t="s">
        <v>182</v>
      </c>
      <c r="D127" s="30" t="s">
        <v>83</v>
      </c>
      <c r="E127" s="28" t="s">
        <v>83</v>
      </c>
      <c r="F127" s="30" t="s">
        <v>83</v>
      </c>
      <c r="G127" s="28" t="s">
        <v>40</v>
      </c>
      <c r="H127" s="28" t="s">
        <v>40</v>
      </c>
      <c r="I127" s="28" t="s">
        <v>83</v>
      </c>
      <c r="J127" s="28">
        <v>1100.0</v>
      </c>
      <c r="K127" s="28">
        <v>275.0</v>
      </c>
      <c r="L127" s="28" t="s">
        <v>171</v>
      </c>
      <c r="M127" s="28" t="s">
        <v>44</v>
      </c>
      <c r="N127" s="28" t="s">
        <v>68</v>
      </c>
      <c r="O127" s="31" t="s">
        <v>89</v>
      </c>
      <c r="P127" s="28" t="s">
        <v>90</v>
      </c>
      <c r="Q127" s="28"/>
      <c r="R127" s="28"/>
      <c r="S127" s="28"/>
      <c r="T127" s="28" t="s">
        <v>53</v>
      </c>
      <c r="U127" s="28" t="s">
        <v>41</v>
      </c>
      <c r="V127" s="28" t="s">
        <v>43</v>
      </c>
      <c r="W127" s="28" t="s">
        <v>481</v>
      </c>
      <c r="X127" s="28" t="s">
        <v>103</v>
      </c>
      <c r="Y127" s="28">
        <v>4133.0</v>
      </c>
    </row>
    <row r="128" ht="56.25" customHeight="1">
      <c r="A128" s="28" t="s">
        <v>476</v>
      </c>
      <c r="B128" s="29" t="str">
        <f>IMAGE("https://storage.googleapis.com/acdb/wall-mounted/FtrBothsideclockWall_Remake_3_0.png")</f>
        <v/>
      </c>
      <c r="C128" s="28" t="s">
        <v>369</v>
      </c>
      <c r="D128" s="30" t="s">
        <v>83</v>
      </c>
      <c r="E128" s="28" t="s">
        <v>83</v>
      </c>
      <c r="F128" s="30" t="s">
        <v>83</v>
      </c>
      <c r="G128" s="28" t="s">
        <v>40</v>
      </c>
      <c r="H128" s="28" t="s">
        <v>40</v>
      </c>
      <c r="I128" s="28" t="s">
        <v>83</v>
      </c>
      <c r="J128" s="28">
        <v>1100.0</v>
      </c>
      <c r="K128" s="28">
        <v>275.0</v>
      </c>
      <c r="L128" s="28" t="s">
        <v>171</v>
      </c>
      <c r="M128" s="28" t="s">
        <v>44</v>
      </c>
      <c r="N128" s="28" t="s">
        <v>68</v>
      </c>
      <c r="O128" s="31" t="s">
        <v>89</v>
      </c>
      <c r="P128" s="28" t="s">
        <v>90</v>
      </c>
      <c r="Q128" s="28"/>
      <c r="R128" s="28"/>
      <c r="S128" s="28"/>
      <c r="T128" s="28" t="s">
        <v>53</v>
      </c>
      <c r="U128" s="28" t="s">
        <v>41</v>
      </c>
      <c r="V128" s="28" t="s">
        <v>43</v>
      </c>
      <c r="W128" s="28" t="s">
        <v>483</v>
      </c>
      <c r="X128" s="28" t="s">
        <v>110</v>
      </c>
      <c r="Y128" s="28">
        <v>4133.0</v>
      </c>
    </row>
    <row r="129" ht="56.25" customHeight="1">
      <c r="A129" s="28" t="s">
        <v>476</v>
      </c>
      <c r="B129" s="29" t="str">
        <f>IMAGE("https://storage.googleapis.com/acdb/wall-mounted/FtrBothsideclockWall_Remake_4_0.png")</f>
        <v/>
      </c>
      <c r="C129" s="28" t="s">
        <v>208</v>
      </c>
      <c r="D129" s="30" t="s">
        <v>83</v>
      </c>
      <c r="E129" s="28" t="s">
        <v>83</v>
      </c>
      <c r="F129" s="30" t="s">
        <v>83</v>
      </c>
      <c r="G129" s="28" t="s">
        <v>40</v>
      </c>
      <c r="H129" s="28" t="s">
        <v>40</v>
      </c>
      <c r="I129" s="28" t="s">
        <v>83</v>
      </c>
      <c r="J129" s="28">
        <v>1100.0</v>
      </c>
      <c r="K129" s="28">
        <v>275.0</v>
      </c>
      <c r="L129" s="28" t="s">
        <v>171</v>
      </c>
      <c r="M129" s="28" t="s">
        <v>44</v>
      </c>
      <c r="N129" s="28" t="s">
        <v>68</v>
      </c>
      <c r="O129" s="31" t="s">
        <v>89</v>
      </c>
      <c r="P129" s="28" t="s">
        <v>90</v>
      </c>
      <c r="Q129" s="28"/>
      <c r="R129" s="28"/>
      <c r="S129" s="28"/>
      <c r="T129" s="28" t="s">
        <v>53</v>
      </c>
      <c r="U129" s="28" t="s">
        <v>41</v>
      </c>
      <c r="V129" s="28" t="s">
        <v>43</v>
      </c>
      <c r="W129" s="28" t="s">
        <v>485</v>
      </c>
      <c r="X129" s="28" t="s">
        <v>115</v>
      </c>
      <c r="Y129" s="28">
        <v>4133.0</v>
      </c>
    </row>
    <row r="130" ht="56.25" customHeight="1">
      <c r="A130" s="28" t="s">
        <v>476</v>
      </c>
      <c r="B130" s="29" t="str">
        <f>IMAGE("https://storage.googleapis.com/acdb/wall-mounted/FtrBothsideclockWall_Remake_5_0.png")</f>
        <v/>
      </c>
      <c r="C130" s="28" t="s">
        <v>211</v>
      </c>
      <c r="D130" s="30" t="s">
        <v>83</v>
      </c>
      <c r="E130" s="28" t="s">
        <v>83</v>
      </c>
      <c r="F130" s="30" t="s">
        <v>83</v>
      </c>
      <c r="G130" s="28" t="s">
        <v>40</v>
      </c>
      <c r="H130" s="28" t="s">
        <v>40</v>
      </c>
      <c r="I130" s="28" t="s">
        <v>83</v>
      </c>
      <c r="J130" s="28">
        <v>1100.0</v>
      </c>
      <c r="K130" s="28">
        <v>275.0</v>
      </c>
      <c r="L130" s="28" t="s">
        <v>171</v>
      </c>
      <c r="M130" s="28" t="s">
        <v>44</v>
      </c>
      <c r="N130" s="28" t="s">
        <v>68</v>
      </c>
      <c r="O130" s="31" t="s">
        <v>89</v>
      </c>
      <c r="P130" s="28" t="s">
        <v>90</v>
      </c>
      <c r="Q130" s="28"/>
      <c r="R130" s="28"/>
      <c r="S130" s="28"/>
      <c r="T130" s="28" t="s">
        <v>53</v>
      </c>
      <c r="U130" s="28" t="s">
        <v>41</v>
      </c>
      <c r="V130" s="28" t="s">
        <v>43</v>
      </c>
      <c r="W130" s="28" t="s">
        <v>487</v>
      </c>
      <c r="X130" s="28" t="s">
        <v>120</v>
      </c>
      <c r="Y130" s="28">
        <v>4133.0</v>
      </c>
    </row>
    <row r="131" ht="56.25" customHeight="1">
      <c r="A131" s="28" t="s">
        <v>488</v>
      </c>
      <c r="B131" s="29" t="str">
        <f>IMAGE("https://storage.googleapis.com/acdb/wall-mounted/FtrExit_Remake_0_0.png")</f>
        <v/>
      </c>
      <c r="C131" s="28" t="s">
        <v>490</v>
      </c>
      <c r="D131" s="30" t="s">
        <v>83</v>
      </c>
      <c r="E131" s="28" t="s">
        <v>83</v>
      </c>
      <c r="F131" s="30" t="s">
        <v>83</v>
      </c>
      <c r="G131" s="28" t="s">
        <v>40</v>
      </c>
      <c r="H131" s="28" t="s">
        <v>40</v>
      </c>
      <c r="I131" s="28" t="s">
        <v>83</v>
      </c>
      <c r="J131" s="28">
        <v>810.0</v>
      </c>
      <c r="K131" s="28">
        <v>202.0</v>
      </c>
      <c r="L131" s="28" t="s">
        <v>226</v>
      </c>
      <c r="M131" s="28" t="s">
        <v>44</v>
      </c>
      <c r="N131" s="28" t="s">
        <v>63</v>
      </c>
      <c r="O131" s="31" t="s">
        <v>89</v>
      </c>
      <c r="P131" s="28" t="s">
        <v>61</v>
      </c>
      <c r="Q131" s="28" t="s">
        <v>90</v>
      </c>
      <c r="R131" s="28"/>
      <c r="S131" s="28"/>
      <c r="T131" s="28" t="s">
        <v>53</v>
      </c>
      <c r="U131" s="28" t="s">
        <v>41</v>
      </c>
      <c r="V131" s="28" t="s">
        <v>43</v>
      </c>
      <c r="W131" s="28" t="s">
        <v>491</v>
      </c>
      <c r="X131" s="28" t="s">
        <v>92</v>
      </c>
      <c r="Y131" s="28">
        <v>955.0</v>
      </c>
    </row>
    <row r="132" ht="56.25" customHeight="1">
      <c r="A132" s="28" t="s">
        <v>488</v>
      </c>
      <c r="B132" s="29" t="str">
        <f>IMAGE("https://storage.googleapis.com/acdb/wall-mounted/FtrExit_Remake_1_0.png")</f>
        <v/>
      </c>
      <c r="C132" s="28" t="s">
        <v>494</v>
      </c>
      <c r="D132" s="30" t="s">
        <v>83</v>
      </c>
      <c r="E132" s="28" t="s">
        <v>83</v>
      </c>
      <c r="F132" s="30" t="s">
        <v>83</v>
      </c>
      <c r="G132" s="28" t="s">
        <v>40</v>
      </c>
      <c r="H132" s="28" t="s">
        <v>40</v>
      </c>
      <c r="I132" s="28" t="s">
        <v>83</v>
      </c>
      <c r="J132" s="28">
        <v>810.0</v>
      </c>
      <c r="K132" s="28">
        <v>202.0</v>
      </c>
      <c r="L132" s="28" t="s">
        <v>226</v>
      </c>
      <c r="M132" s="28" t="s">
        <v>44</v>
      </c>
      <c r="N132" s="28" t="s">
        <v>63</v>
      </c>
      <c r="O132" s="31" t="s">
        <v>89</v>
      </c>
      <c r="P132" s="28" t="s">
        <v>61</v>
      </c>
      <c r="Q132" s="28" t="s">
        <v>90</v>
      </c>
      <c r="R132" s="28"/>
      <c r="S132" s="28"/>
      <c r="T132" s="28" t="s">
        <v>53</v>
      </c>
      <c r="U132" s="28" t="s">
        <v>41</v>
      </c>
      <c r="V132" s="28" t="s">
        <v>43</v>
      </c>
      <c r="W132" s="28" t="s">
        <v>495</v>
      </c>
      <c r="X132" s="28" t="s">
        <v>97</v>
      </c>
      <c r="Y132" s="28">
        <v>955.0</v>
      </c>
    </row>
    <row r="133" ht="56.25" customHeight="1">
      <c r="A133" s="28" t="s">
        <v>488</v>
      </c>
      <c r="B133" s="29" t="str">
        <f>IMAGE("https://storage.googleapis.com/acdb/wall-mounted/FtrExit_Remake_2_0.png")</f>
        <v/>
      </c>
      <c r="C133" s="28" t="s">
        <v>499</v>
      </c>
      <c r="D133" s="30" t="s">
        <v>83</v>
      </c>
      <c r="E133" s="28" t="s">
        <v>83</v>
      </c>
      <c r="F133" s="30" t="s">
        <v>83</v>
      </c>
      <c r="G133" s="28" t="s">
        <v>40</v>
      </c>
      <c r="H133" s="28" t="s">
        <v>40</v>
      </c>
      <c r="I133" s="28" t="s">
        <v>83</v>
      </c>
      <c r="J133" s="28">
        <v>810.0</v>
      </c>
      <c r="K133" s="28">
        <v>202.0</v>
      </c>
      <c r="L133" s="28" t="s">
        <v>226</v>
      </c>
      <c r="M133" s="28" t="s">
        <v>44</v>
      </c>
      <c r="N133" s="28" t="s">
        <v>63</v>
      </c>
      <c r="O133" s="31" t="s">
        <v>89</v>
      </c>
      <c r="P133" s="28" t="s">
        <v>61</v>
      </c>
      <c r="Q133" s="28" t="s">
        <v>90</v>
      </c>
      <c r="R133" s="28"/>
      <c r="S133" s="28"/>
      <c r="T133" s="28" t="s">
        <v>53</v>
      </c>
      <c r="U133" s="28" t="s">
        <v>41</v>
      </c>
      <c r="V133" s="28" t="s">
        <v>43</v>
      </c>
      <c r="W133" s="28" t="s">
        <v>501</v>
      </c>
      <c r="X133" s="28" t="s">
        <v>103</v>
      </c>
      <c r="Y133" s="28">
        <v>955.0</v>
      </c>
    </row>
    <row r="134" ht="56.25" customHeight="1">
      <c r="A134" s="28" t="s">
        <v>488</v>
      </c>
      <c r="B134" s="29" t="str">
        <f>IMAGE("https://storage.googleapis.com/acdb/wall-mounted/FtrExit_Remake_3_0.png")</f>
        <v/>
      </c>
      <c r="C134" s="28" t="s">
        <v>502</v>
      </c>
      <c r="D134" s="30" t="s">
        <v>83</v>
      </c>
      <c r="E134" s="28" t="s">
        <v>83</v>
      </c>
      <c r="F134" s="30" t="s">
        <v>83</v>
      </c>
      <c r="G134" s="28" t="s">
        <v>40</v>
      </c>
      <c r="H134" s="28" t="s">
        <v>40</v>
      </c>
      <c r="I134" s="28" t="s">
        <v>83</v>
      </c>
      <c r="J134" s="28">
        <v>810.0</v>
      </c>
      <c r="K134" s="28">
        <v>202.0</v>
      </c>
      <c r="L134" s="28" t="s">
        <v>226</v>
      </c>
      <c r="M134" s="28" t="s">
        <v>44</v>
      </c>
      <c r="N134" s="28" t="s">
        <v>63</v>
      </c>
      <c r="O134" s="31" t="s">
        <v>89</v>
      </c>
      <c r="P134" s="28" t="s">
        <v>61</v>
      </c>
      <c r="Q134" s="28" t="s">
        <v>90</v>
      </c>
      <c r="R134" s="28"/>
      <c r="S134" s="28"/>
      <c r="T134" s="28" t="s">
        <v>53</v>
      </c>
      <c r="U134" s="28" t="s">
        <v>41</v>
      </c>
      <c r="V134" s="28" t="s">
        <v>43</v>
      </c>
      <c r="W134" s="28" t="s">
        <v>503</v>
      </c>
      <c r="X134" s="28" t="s">
        <v>110</v>
      </c>
      <c r="Y134" s="28">
        <v>955.0</v>
      </c>
    </row>
    <row r="135" ht="56.25" customHeight="1">
      <c r="A135" s="28" t="s">
        <v>504</v>
      </c>
      <c r="B135" s="29" t="str">
        <f>IMAGE("https://storage.googleapis.com/acdb/wall-mounted/FtrDoorOrnamentWreathYuriMix.png")</f>
        <v/>
      </c>
      <c r="C135" s="28" t="s">
        <v>83</v>
      </c>
      <c r="D135" s="28" t="s">
        <v>83</v>
      </c>
      <c r="E135" s="28" t="s">
        <v>83</v>
      </c>
      <c r="F135" s="28" t="s">
        <v>83</v>
      </c>
      <c r="G135" s="28" t="s">
        <v>53</v>
      </c>
      <c r="H135" s="28" t="s">
        <v>40</v>
      </c>
      <c r="I135" s="28" t="s">
        <v>83</v>
      </c>
      <c r="J135" s="28" t="s">
        <v>51</v>
      </c>
      <c r="K135" s="28">
        <v>1200.0</v>
      </c>
      <c r="L135" s="28" t="s">
        <v>123</v>
      </c>
      <c r="M135" s="28" t="s">
        <v>55</v>
      </c>
      <c r="N135" s="28"/>
      <c r="O135" s="31" t="s">
        <v>89</v>
      </c>
      <c r="P135" s="28" t="s">
        <v>36</v>
      </c>
      <c r="Q135" s="28"/>
      <c r="R135" s="28"/>
      <c r="S135" s="28"/>
      <c r="T135" s="28" t="s">
        <v>40</v>
      </c>
      <c r="U135" s="28" t="s">
        <v>41</v>
      </c>
      <c r="V135" s="28" t="s">
        <v>54</v>
      </c>
      <c r="W135" s="28" t="s">
        <v>507</v>
      </c>
      <c r="X135" s="28" t="s">
        <v>83</v>
      </c>
      <c r="Y135" s="28">
        <v>5677.0</v>
      </c>
    </row>
    <row r="136" ht="56.25" customHeight="1">
      <c r="A136" s="28" t="s">
        <v>508</v>
      </c>
      <c r="B136" s="29" t="str">
        <f>IMAGE("https://storage.googleapis.com/acdb/wall-mounted/FtrDoorOrnamentWreathMumMix.png")</f>
        <v/>
      </c>
      <c r="C136" s="28" t="s">
        <v>83</v>
      </c>
      <c r="D136" s="28" t="s">
        <v>83</v>
      </c>
      <c r="E136" s="28" t="s">
        <v>83</v>
      </c>
      <c r="F136" s="28" t="s">
        <v>83</v>
      </c>
      <c r="G136" s="28" t="s">
        <v>53</v>
      </c>
      <c r="H136" s="28" t="s">
        <v>40</v>
      </c>
      <c r="I136" s="28" t="s">
        <v>83</v>
      </c>
      <c r="J136" s="28" t="s">
        <v>51</v>
      </c>
      <c r="K136" s="28">
        <v>1200.0</v>
      </c>
      <c r="L136" s="28" t="s">
        <v>123</v>
      </c>
      <c r="M136" s="28" t="s">
        <v>55</v>
      </c>
      <c r="N136" s="28"/>
      <c r="O136" s="31" t="s">
        <v>89</v>
      </c>
      <c r="P136" s="28" t="s">
        <v>36</v>
      </c>
      <c r="Q136" s="28"/>
      <c r="R136" s="28"/>
      <c r="S136" s="28"/>
      <c r="T136" s="28" t="s">
        <v>40</v>
      </c>
      <c r="U136" s="28" t="s">
        <v>41</v>
      </c>
      <c r="V136" s="28" t="s">
        <v>54</v>
      </c>
      <c r="W136" s="28" t="s">
        <v>510</v>
      </c>
      <c r="X136" s="28" t="s">
        <v>83</v>
      </c>
      <c r="Y136" s="28">
        <v>5749.0</v>
      </c>
    </row>
    <row r="137" ht="56.25" customHeight="1">
      <c r="A137" s="28" t="s">
        <v>512</v>
      </c>
      <c r="B137" s="29" t="str">
        <f>IMAGE("https://storage.googleapis.com/acdb/wall-mounted/FtrDoorOrnamentWreathRoseMix.png")</f>
        <v/>
      </c>
      <c r="C137" s="28" t="s">
        <v>83</v>
      </c>
      <c r="D137" s="28" t="s">
        <v>83</v>
      </c>
      <c r="E137" s="28" t="s">
        <v>83</v>
      </c>
      <c r="F137" s="28" t="s">
        <v>83</v>
      </c>
      <c r="G137" s="28" t="s">
        <v>53</v>
      </c>
      <c r="H137" s="28" t="s">
        <v>40</v>
      </c>
      <c r="I137" s="28" t="s">
        <v>83</v>
      </c>
      <c r="J137" s="28" t="s">
        <v>51</v>
      </c>
      <c r="K137" s="28">
        <v>1200.0</v>
      </c>
      <c r="L137" s="28" t="s">
        <v>123</v>
      </c>
      <c r="M137" s="28" t="s">
        <v>55</v>
      </c>
      <c r="N137" s="28"/>
      <c r="O137" s="31" t="s">
        <v>89</v>
      </c>
      <c r="P137" s="28" t="s">
        <v>36</v>
      </c>
      <c r="Q137" s="28"/>
      <c r="R137" s="28"/>
      <c r="S137" s="28"/>
      <c r="T137" s="28" t="s">
        <v>40</v>
      </c>
      <c r="U137" s="28" t="s">
        <v>41</v>
      </c>
      <c r="V137" s="28" t="s">
        <v>54</v>
      </c>
      <c r="W137" s="28" t="s">
        <v>513</v>
      </c>
      <c r="X137" s="28" t="s">
        <v>83</v>
      </c>
      <c r="Y137" s="28">
        <v>5747.0</v>
      </c>
    </row>
    <row r="138" ht="56.25" customHeight="1">
      <c r="A138" s="28" t="s">
        <v>514</v>
      </c>
      <c r="B138" s="29" t="str">
        <f>IMAGE("https://storage.googleapis.com/acdb/wall-mounted/FtrDoorOrnamentFish_Remake_0_0.png")</f>
        <v/>
      </c>
      <c r="C138" s="28" t="s">
        <v>515</v>
      </c>
      <c r="D138" s="30" t="s">
        <v>199</v>
      </c>
      <c r="E138" s="28" t="s">
        <v>83</v>
      </c>
      <c r="F138" s="30" t="s">
        <v>83</v>
      </c>
      <c r="G138" s="28" t="s">
        <v>40</v>
      </c>
      <c r="H138" s="28" t="s">
        <v>53</v>
      </c>
      <c r="I138" s="28">
        <v>1.0</v>
      </c>
      <c r="J138" s="28" t="s">
        <v>51</v>
      </c>
      <c r="K138" s="28">
        <v>90.0</v>
      </c>
      <c r="L138" s="28" t="s">
        <v>123</v>
      </c>
      <c r="M138" s="28" t="s">
        <v>85</v>
      </c>
      <c r="N138" s="28"/>
      <c r="O138" s="31" t="s">
        <v>89</v>
      </c>
      <c r="P138" s="28" t="s">
        <v>113</v>
      </c>
      <c r="Q138" s="28" t="s">
        <v>36</v>
      </c>
      <c r="R138" s="28"/>
      <c r="S138" s="28"/>
      <c r="T138" s="28" t="s">
        <v>40</v>
      </c>
      <c r="U138" s="28" t="s">
        <v>41</v>
      </c>
      <c r="V138" s="28" t="s">
        <v>54</v>
      </c>
      <c r="W138" s="28" t="s">
        <v>518</v>
      </c>
      <c r="X138" s="28" t="s">
        <v>92</v>
      </c>
      <c r="Y138" s="28">
        <v>4764.0</v>
      </c>
    </row>
    <row r="139" ht="56.25" customHeight="1">
      <c r="A139" s="28" t="s">
        <v>514</v>
      </c>
      <c r="B139" s="29" t="str">
        <f>IMAGE("https://storage.googleapis.com/acdb/wall-mounted/FtrDoorOrnamentFish_Remake_1_0.png")</f>
        <v/>
      </c>
      <c r="C139" s="28" t="s">
        <v>208</v>
      </c>
      <c r="D139" s="30" t="s">
        <v>199</v>
      </c>
      <c r="E139" s="28" t="s">
        <v>83</v>
      </c>
      <c r="F139" s="30" t="s">
        <v>83</v>
      </c>
      <c r="G139" s="28" t="s">
        <v>40</v>
      </c>
      <c r="H139" s="28" t="s">
        <v>53</v>
      </c>
      <c r="I139" s="28">
        <v>1.0</v>
      </c>
      <c r="J139" s="28" t="s">
        <v>51</v>
      </c>
      <c r="K139" s="28">
        <v>90.0</v>
      </c>
      <c r="L139" s="28" t="s">
        <v>123</v>
      </c>
      <c r="M139" s="28" t="s">
        <v>85</v>
      </c>
      <c r="N139" s="28"/>
      <c r="O139" s="31" t="s">
        <v>89</v>
      </c>
      <c r="P139" s="28" t="s">
        <v>113</v>
      </c>
      <c r="Q139" s="28" t="s">
        <v>36</v>
      </c>
      <c r="R139" s="28"/>
      <c r="S139" s="28"/>
      <c r="T139" s="28" t="s">
        <v>40</v>
      </c>
      <c r="U139" s="28" t="s">
        <v>41</v>
      </c>
      <c r="V139" s="28" t="s">
        <v>54</v>
      </c>
      <c r="W139" s="28" t="s">
        <v>520</v>
      </c>
      <c r="X139" s="28" t="s">
        <v>97</v>
      </c>
      <c r="Y139" s="28">
        <v>4764.0</v>
      </c>
    </row>
    <row r="140" ht="56.25" customHeight="1">
      <c r="A140" s="28" t="s">
        <v>514</v>
      </c>
      <c r="B140" s="29" t="str">
        <f>IMAGE("https://storage.googleapis.com/acdb/wall-mounted/FtrDoorOrnamentFish_Remake_2_0.png")</f>
        <v/>
      </c>
      <c r="C140" s="28" t="s">
        <v>521</v>
      </c>
      <c r="D140" s="30" t="s">
        <v>199</v>
      </c>
      <c r="E140" s="28" t="s">
        <v>83</v>
      </c>
      <c r="F140" s="30" t="s">
        <v>83</v>
      </c>
      <c r="G140" s="28" t="s">
        <v>40</v>
      </c>
      <c r="H140" s="28" t="s">
        <v>53</v>
      </c>
      <c r="I140" s="28">
        <v>1.0</v>
      </c>
      <c r="J140" s="28" t="s">
        <v>51</v>
      </c>
      <c r="K140" s="28">
        <v>90.0</v>
      </c>
      <c r="L140" s="28" t="s">
        <v>123</v>
      </c>
      <c r="M140" s="28" t="s">
        <v>85</v>
      </c>
      <c r="N140" s="28"/>
      <c r="O140" s="31" t="s">
        <v>89</v>
      </c>
      <c r="P140" s="28" t="s">
        <v>113</v>
      </c>
      <c r="Q140" s="28" t="s">
        <v>36</v>
      </c>
      <c r="R140" s="28"/>
      <c r="S140" s="28"/>
      <c r="T140" s="28" t="s">
        <v>40</v>
      </c>
      <c r="U140" s="28" t="s">
        <v>41</v>
      </c>
      <c r="V140" s="28" t="s">
        <v>54</v>
      </c>
      <c r="W140" s="28" t="s">
        <v>522</v>
      </c>
      <c r="X140" s="28" t="s">
        <v>103</v>
      </c>
      <c r="Y140" s="28">
        <v>4764.0</v>
      </c>
    </row>
    <row r="141" ht="56.25" customHeight="1">
      <c r="A141" s="28" t="s">
        <v>514</v>
      </c>
      <c r="B141" s="29" t="str">
        <f>IMAGE("https://storage.googleapis.com/acdb/wall-mounted/FtrDoorOrnamentFish_Remake_3_0.png")</f>
        <v/>
      </c>
      <c r="C141" s="28" t="s">
        <v>211</v>
      </c>
      <c r="D141" s="30" t="s">
        <v>199</v>
      </c>
      <c r="E141" s="28" t="s">
        <v>83</v>
      </c>
      <c r="F141" s="30" t="s">
        <v>83</v>
      </c>
      <c r="G141" s="28" t="s">
        <v>40</v>
      </c>
      <c r="H141" s="28" t="s">
        <v>53</v>
      </c>
      <c r="I141" s="28">
        <v>1.0</v>
      </c>
      <c r="J141" s="28" t="s">
        <v>51</v>
      </c>
      <c r="K141" s="28">
        <v>90.0</v>
      </c>
      <c r="L141" s="28" t="s">
        <v>123</v>
      </c>
      <c r="M141" s="28" t="s">
        <v>85</v>
      </c>
      <c r="N141" s="28"/>
      <c r="O141" s="31" t="s">
        <v>89</v>
      </c>
      <c r="P141" s="28" t="s">
        <v>113</v>
      </c>
      <c r="Q141" s="28" t="s">
        <v>36</v>
      </c>
      <c r="R141" s="28"/>
      <c r="S141" s="28"/>
      <c r="T141" s="28" t="s">
        <v>40</v>
      </c>
      <c r="U141" s="28" t="s">
        <v>41</v>
      </c>
      <c r="V141" s="28" t="s">
        <v>54</v>
      </c>
      <c r="W141" s="28" t="s">
        <v>523</v>
      </c>
      <c r="X141" s="28" t="s">
        <v>110</v>
      </c>
      <c r="Y141" s="28">
        <v>4764.0</v>
      </c>
    </row>
    <row r="142" ht="56.25" customHeight="1">
      <c r="A142" s="28" t="s">
        <v>514</v>
      </c>
      <c r="B142" s="29" t="str">
        <f>IMAGE("https://storage.googleapis.com/acdb/wall-mounted/FtrDoorOrnamentFish_Remake_4_0.png")</f>
        <v/>
      </c>
      <c r="C142" s="28" t="s">
        <v>369</v>
      </c>
      <c r="D142" s="30" t="s">
        <v>199</v>
      </c>
      <c r="E142" s="28" t="s">
        <v>83</v>
      </c>
      <c r="F142" s="30" t="s">
        <v>83</v>
      </c>
      <c r="G142" s="28" t="s">
        <v>40</v>
      </c>
      <c r="H142" s="28" t="s">
        <v>53</v>
      </c>
      <c r="I142" s="28">
        <v>1.0</v>
      </c>
      <c r="J142" s="28" t="s">
        <v>51</v>
      </c>
      <c r="K142" s="28">
        <v>90.0</v>
      </c>
      <c r="L142" s="28" t="s">
        <v>123</v>
      </c>
      <c r="M142" s="28" t="s">
        <v>85</v>
      </c>
      <c r="N142" s="28"/>
      <c r="O142" s="31" t="s">
        <v>89</v>
      </c>
      <c r="P142" s="28" t="s">
        <v>113</v>
      </c>
      <c r="Q142" s="28" t="s">
        <v>36</v>
      </c>
      <c r="R142" s="28"/>
      <c r="S142" s="28"/>
      <c r="T142" s="28" t="s">
        <v>40</v>
      </c>
      <c r="U142" s="28" t="s">
        <v>41</v>
      </c>
      <c r="V142" s="28" t="s">
        <v>54</v>
      </c>
      <c r="W142" s="28" t="s">
        <v>525</v>
      </c>
      <c r="X142" s="28" t="s">
        <v>115</v>
      </c>
      <c r="Y142" s="28">
        <v>4764.0</v>
      </c>
    </row>
    <row r="143" ht="56.25" customHeight="1">
      <c r="A143" s="28" t="s">
        <v>514</v>
      </c>
      <c r="B143" s="29" t="str">
        <f>IMAGE("https://storage.googleapis.com/acdb/wall-mounted/FtrDoorOrnamentFish_Remake_5_0.png")</f>
        <v/>
      </c>
      <c r="C143" s="28" t="s">
        <v>112</v>
      </c>
      <c r="D143" s="30" t="s">
        <v>199</v>
      </c>
      <c r="E143" s="28" t="s">
        <v>83</v>
      </c>
      <c r="F143" s="30" t="s">
        <v>83</v>
      </c>
      <c r="G143" s="28" t="s">
        <v>40</v>
      </c>
      <c r="H143" s="28" t="s">
        <v>53</v>
      </c>
      <c r="I143" s="28">
        <v>1.0</v>
      </c>
      <c r="J143" s="28" t="s">
        <v>51</v>
      </c>
      <c r="K143" s="28">
        <v>90.0</v>
      </c>
      <c r="L143" s="28" t="s">
        <v>123</v>
      </c>
      <c r="M143" s="28" t="s">
        <v>85</v>
      </c>
      <c r="N143" s="28"/>
      <c r="O143" s="31" t="s">
        <v>89</v>
      </c>
      <c r="P143" s="28" t="s">
        <v>113</v>
      </c>
      <c r="Q143" s="28" t="s">
        <v>36</v>
      </c>
      <c r="R143" s="28"/>
      <c r="S143" s="28"/>
      <c r="T143" s="28" t="s">
        <v>40</v>
      </c>
      <c r="U143" s="28" t="s">
        <v>41</v>
      </c>
      <c r="V143" s="28" t="s">
        <v>54</v>
      </c>
      <c r="W143" s="28" t="s">
        <v>527</v>
      </c>
      <c r="X143" s="28" t="s">
        <v>120</v>
      </c>
      <c r="Y143" s="28">
        <v>4764.0</v>
      </c>
    </row>
    <row r="144" ht="56.25" customHeight="1">
      <c r="A144" s="28" t="s">
        <v>514</v>
      </c>
      <c r="B144" s="29" t="str">
        <f>IMAGE("https://storage.googleapis.com/acdb/wall-mounted/FtrDoorOrnamentFish_Remake_6_0.png")</f>
        <v/>
      </c>
      <c r="C144" s="28" t="s">
        <v>99</v>
      </c>
      <c r="D144" s="30" t="s">
        <v>199</v>
      </c>
      <c r="E144" s="28" t="s">
        <v>83</v>
      </c>
      <c r="F144" s="30" t="s">
        <v>83</v>
      </c>
      <c r="G144" s="28" t="s">
        <v>40</v>
      </c>
      <c r="H144" s="28" t="s">
        <v>53</v>
      </c>
      <c r="I144" s="28">
        <v>1.0</v>
      </c>
      <c r="J144" s="28" t="s">
        <v>51</v>
      </c>
      <c r="K144" s="28">
        <v>90.0</v>
      </c>
      <c r="L144" s="28" t="s">
        <v>123</v>
      </c>
      <c r="M144" s="28" t="s">
        <v>85</v>
      </c>
      <c r="N144" s="28"/>
      <c r="O144" s="31" t="s">
        <v>89</v>
      </c>
      <c r="P144" s="28" t="s">
        <v>113</v>
      </c>
      <c r="Q144" s="28" t="s">
        <v>36</v>
      </c>
      <c r="R144" s="28"/>
      <c r="S144" s="28"/>
      <c r="T144" s="28" t="s">
        <v>40</v>
      </c>
      <c r="U144" s="28" t="s">
        <v>41</v>
      </c>
      <c r="V144" s="28" t="s">
        <v>54</v>
      </c>
      <c r="W144" s="28" t="s">
        <v>528</v>
      </c>
      <c r="X144" s="28" t="s">
        <v>218</v>
      </c>
      <c r="Y144" s="28">
        <v>4764.0</v>
      </c>
    </row>
    <row r="145" ht="56.25" customHeight="1">
      <c r="A145" s="28" t="s">
        <v>514</v>
      </c>
      <c r="B145" s="29" t="str">
        <f>IMAGE("https://storage.googleapis.com/acdb/wall-mounted/FtrDoorOrnamentFish_Remake_7_0.png")</f>
        <v/>
      </c>
      <c r="C145" s="28" t="s">
        <v>94</v>
      </c>
      <c r="D145" s="30" t="s">
        <v>199</v>
      </c>
      <c r="E145" s="28" t="s">
        <v>83</v>
      </c>
      <c r="F145" s="30" t="s">
        <v>83</v>
      </c>
      <c r="G145" s="28" t="s">
        <v>40</v>
      </c>
      <c r="H145" s="28" t="s">
        <v>53</v>
      </c>
      <c r="I145" s="28">
        <v>1.0</v>
      </c>
      <c r="J145" s="28" t="s">
        <v>51</v>
      </c>
      <c r="K145" s="28">
        <v>90.0</v>
      </c>
      <c r="L145" s="28" t="s">
        <v>123</v>
      </c>
      <c r="M145" s="28" t="s">
        <v>85</v>
      </c>
      <c r="N145" s="28"/>
      <c r="O145" s="31" t="s">
        <v>89</v>
      </c>
      <c r="P145" s="28" t="s">
        <v>113</v>
      </c>
      <c r="Q145" s="28" t="s">
        <v>36</v>
      </c>
      <c r="R145" s="28"/>
      <c r="S145" s="28"/>
      <c r="T145" s="28" t="s">
        <v>40</v>
      </c>
      <c r="U145" s="28" t="s">
        <v>41</v>
      </c>
      <c r="V145" s="28" t="s">
        <v>54</v>
      </c>
      <c r="W145" s="28" t="s">
        <v>530</v>
      </c>
      <c r="X145" s="28" t="s">
        <v>223</v>
      </c>
      <c r="Y145" s="28">
        <v>4764.0</v>
      </c>
    </row>
    <row r="146" ht="56.25" customHeight="1">
      <c r="A146" s="28" t="s">
        <v>531</v>
      </c>
      <c r="B146" s="29" t="str">
        <f>IMAGE("https://storage.googleapis.com/acdb/wall-mounted/FtrFishprint_Remake_0_0.png")</f>
        <v/>
      </c>
      <c r="C146" s="28" t="s">
        <v>532</v>
      </c>
      <c r="D146" s="30" t="s">
        <v>3</v>
      </c>
      <c r="E146" s="28" t="s">
        <v>83</v>
      </c>
      <c r="F146" s="30" t="s">
        <v>83</v>
      </c>
      <c r="G146" s="28" t="s">
        <v>40</v>
      </c>
      <c r="H146" s="28" t="s">
        <v>53</v>
      </c>
      <c r="I146" s="28">
        <v>1.0</v>
      </c>
      <c r="J146" s="28" t="s">
        <v>51</v>
      </c>
      <c r="K146" s="28">
        <v>700.0</v>
      </c>
      <c r="L146" s="28" t="s">
        <v>88</v>
      </c>
      <c r="M146" s="28" t="s">
        <v>85</v>
      </c>
      <c r="N146" s="28"/>
      <c r="O146" s="31" t="s">
        <v>89</v>
      </c>
      <c r="P146" s="28" t="s">
        <v>84</v>
      </c>
      <c r="Q146" s="28" t="s">
        <v>60</v>
      </c>
      <c r="R146" s="28"/>
      <c r="S146" s="28"/>
      <c r="T146" s="28" t="s">
        <v>40</v>
      </c>
      <c r="U146" s="28" t="s">
        <v>41</v>
      </c>
      <c r="V146" s="28" t="s">
        <v>54</v>
      </c>
      <c r="W146" s="28" t="s">
        <v>533</v>
      </c>
      <c r="X146" s="28" t="s">
        <v>92</v>
      </c>
      <c r="Y146" s="28">
        <v>3699.0</v>
      </c>
    </row>
    <row r="147" ht="56.25" customHeight="1">
      <c r="A147" s="28" t="s">
        <v>531</v>
      </c>
      <c r="B147" s="29" t="str">
        <f>IMAGE("https://storage.googleapis.com/acdb/wall-mounted/FtrFishprint_Remake_1_0.png")</f>
        <v/>
      </c>
      <c r="C147" s="28" t="s">
        <v>534</v>
      </c>
      <c r="D147" s="30" t="s">
        <v>3</v>
      </c>
      <c r="E147" s="28" t="s">
        <v>83</v>
      </c>
      <c r="F147" s="30" t="s">
        <v>83</v>
      </c>
      <c r="G147" s="28" t="s">
        <v>40</v>
      </c>
      <c r="H147" s="28" t="s">
        <v>53</v>
      </c>
      <c r="I147" s="28">
        <v>1.0</v>
      </c>
      <c r="J147" s="28" t="s">
        <v>51</v>
      </c>
      <c r="K147" s="28">
        <v>700.0</v>
      </c>
      <c r="L147" s="28" t="s">
        <v>88</v>
      </c>
      <c r="M147" s="28" t="s">
        <v>85</v>
      </c>
      <c r="N147" s="28"/>
      <c r="O147" s="31" t="s">
        <v>89</v>
      </c>
      <c r="P147" s="28" t="s">
        <v>84</v>
      </c>
      <c r="Q147" s="28" t="s">
        <v>60</v>
      </c>
      <c r="R147" s="28"/>
      <c r="S147" s="28"/>
      <c r="T147" s="28" t="s">
        <v>40</v>
      </c>
      <c r="U147" s="28" t="s">
        <v>41</v>
      </c>
      <c r="V147" s="28" t="s">
        <v>54</v>
      </c>
      <c r="W147" s="28" t="s">
        <v>536</v>
      </c>
      <c r="X147" s="28" t="s">
        <v>97</v>
      </c>
      <c r="Y147" s="28">
        <v>3699.0</v>
      </c>
    </row>
    <row r="148" ht="56.25" customHeight="1">
      <c r="A148" s="28" t="s">
        <v>531</v>
      </c>
      <c r="B148" s="29" t="str">
        <f>IMAGE("https://storage.googleapis.com/acdb/wall-mounted/FtrFishprint_Remake_2_0.png")</f>
        <v/>
      </c>
      <c r="C148" s="28" t="s">
        <v>538</v>
      </c>
      <c r="D148" s="30" t="s">
        <v>3</v>
      </c>
      <c r="E148" s="28" t="s">
        <v>83</v>
      </c>
      <c r="F148" s="30" t="s">
        <v>83</v>
      </c>
      <c r="G148" s="28" t="s">
        <v>40</v>
      </c>
      <c r="H148" s="28" t="s">
        <v>53</v>
      </c>
      <c r="I148" s="28">
        <v>1.0</v>
      </c>
      <c r="J148" s="28" t="s">
        <v>51</v>
      </c>
      <c r="K148" s="28">
        <v>700.0</v>
      </c>
      <c r="L148" s="28" t="s">
        <v>88</v>
      </c>
      <c r="M148" s="28" t="s">
        <v>85</v>
      </c>
      <c r="N148" s="28"/>
      <c r="O148" s="31" t="s">
        <v>89</v>
      </c>
      <c r="P148" s="28" t="s">
        <v>84</v>
      </c>
      <c r="Q148" s="28" t="s">
        <v>60</v>
      </c>
      <c r="R148" s="28"/>
      <c r="S148" s="28"/>
      <c r="T148" s="28" t="s">
        <v>40</v>
      </c>
      <c r="U148" s="28" t="s">
        <v>41</v>
      </c>
      <c r="V148" s="28" t="s">
        <v>54</v>
      </c>
      <c r="W148" s="28" t="s">
        <v>539</v>
      </c>
      <c r="X148" s="28" t="s">
        <v>103</v>
      </c>
      <c r="Y148" s="28">
        <v>3699.0</v>
      </c>
    </row>
    <row r="149" ht="56.25" customHeight="1">
      <c r="A149" s="28" t="s">
        <v>531</v>
      </c>
      <c r="B149" s="29" t="str">
        <f>IMAGE("https://storage.googleapis.com/acdb/wall-mounted/FtrFishprint_Remake_3_0.png")</f>
        <v/>
      </c>
      <c r="C149" s="28" t="s">
        <v>540</v>
      </c>
      <c r="D149" s="30" t="s">
        <v>3</v>
      </c>
      <c r="E149" s="28" t="s">
        <v>83</v>
      </c>
      <c r="F149" s="30" t="s">
        <v>83</v>
      </c>
      <c r="G149" s="28" t="s">
        <v>40</v>
      </c>
      <c r="H149" s="28" t="s">
        <v>53</v>
      </c>
      <c r="I149" s="28">
        <v>1.0</v>
      </c>
      <c r="J149" s="28" t="s">
        <v>51</v>
      </c>
      <c r="K149" s="28">
        <v>700.0</v>
      </c>
      <c r="L149" s="28" t="s">
        <v>88</v>
      </c>
      <c r="M149" s="28" t="s">
        <v>85</v>
      </c>
      <c r="N149" s="28"/>
      <c r="O149" s="31" t="s">
        <v>89</v>
      </c>
      <c r="P149" s="28" t="s">
        <v>84</v>
      </c>
      <c r="Q149" s="28" t="s">
        <v>60</v>
      </c>
      <c r="R149" s="28"/>
      <c r="S149" s="28"/>
      <c r="T149" s="28" t="s">
        <v>40</v>
      </c>
      <c r="U149" s="28" t="s">
        <v>41</v>
      </c>
      <c r="V149" s="28" t="s">
        <v>54</v>
      </c>
      <c r="W149" s="28" t="s">
        <v>542</v>
      </c>
      <c r="X149" s="28" t="s">
        <v>110</v>
      </c>
      <c r="Y149" s="28">
        <v>3699.0</v>
      </c>
    </row>
    <row r="150" ht="56.25" customHeight="1">
      <c r="A150" s="28" t="s">
        <v>531</v>
      </c>
      <c r="B150" s="29" t="str">
        <f>IMAGE("https://storage.googleapis.com/acdb/wall-mounted/FtrFishprint_Remake_4_0.png")</f>
        <v/>
      </c>
      <c r="C150" s="28" t="s">
        <v>544</v>
      </c>
      <c r="D150" s="30" t="s">
        <v>3</v>
      </c>
      <c r="E150" s="28" t="s">
        <v>83</v>
      </c>
      <c r="F150" s="30" t="s">
        <v>83</v>
      </c>
      <c r="G150" s="28" t="s">
        <v>40</v>
      </c>
      <c r="H150" s="28" t="s">
        <v>53</v>
      </c>
      <c r="I150" s="28">
        <v>1.0</v>
      </c>
      <c r="J150" s="28" t="s">
        <v>51</v>
      </c>
      <c r="K150" s="28">
        <v>700.0</v>
      </c>
      <c r="L150" s="28" t="s">
        <v>88</v>
      </c>
      <c r="M150" s="28" t="s">
        <v>85</v>
      </c>
      <c r="N150" s="28"/>
      <c r="O150" s="31" t="s">
        <v>89</v>
      </c>
      <c r="P150" s="28" t="s">
        <v>84</v>
      </c>
      <c r="Q150" s="28" t="s">
        <v>60</v>
      </c>
      <c r="R150" s="28"/>
      <c r="S150" s="28"/>
      <c r="T150" s="28" t="s">
        <v>40</v>
      </c>
      <c r="U150" s="28" t="s">
        <v>41</v>
      </c>
      <c r="V150" s="28" t="s">
        <v>54</v>
      </c>
      <c r="W150" s="28" t="s">
        <v>545</v>
      </c>
      <c r="X150" s="28" t="s">
        <v>115</v>
      </c>
      <c r="Y150" s="28">
        <v>3699.0</v>
      </c>
    </row>
    <row r="151" ht="56.25" customHeight="1">
      <c r="A151" s="28" t="s">
        <v>531</v>
      </c>
      <c r="B151" s="29" t="str">
        <f>IMAGE("https://storage.googleapis.com/acdb/wall-mounted/FtrFishprint_Remake_5_0.png")</f>
        <v/>
      </c>
      <c r="C151" s="28" t="s">
        <v>546</v>
      </c>
      <c r="D151" s="30" t="s">
        <v>3</v>
      </c>
      <c r="E151" s="28" t="s">
        <v>83</v>
      </c>
      <c r="F151" s="30" t="s">
        <v>83</v>
      </c>
      <c r="G151" s="28" t="s">
        <v>40</v>
      </c>
      <c r="H151" s="28" t="s">
        <v>53</v>
      </c>
      <c r="I151" s="28">
        <v>1.0</v>
      </c>
      <c r="J151" s="28" t="s">
        <v>51</v>
      </c>
      <c r="K151" s="28">
        <v>700.0</v>
      </c>
      <c r="L151" s="28" t="s">
        <v>88</v>
      </c>
      <c r="M151" s="28" t="s">
        <v>85</v>
      </c>
      <c r="N151" s="28"/>
      <c r="O151" s="31" t="s">
        <v>89</v>
      </c>
      <c r="P151" s="28" t="s">
        <v>84</v>
      </c>
      <c r="Q151" s="28" t="s">
        <v>60</v>
      </c>
      <c r="R151" s="28"/>
      <c r="S151" s="28"/>
      <c r="T151" s="28" t="s">
        <v>40</v>
      </c>
      <c r="U151" s="28" t="s">
        <v>41</v>
      </c>
      <c r="V151" s="28" t="s">
        <v>54</v>
      </c>
      <c r="W151" s="28" t="s">
        <v>547</v>
      </c>
      <c r="X151" s="28" t="s">
        <v>120</v>
      </c>
      <c r="Y151" s="28">
        <v>3699.0</v>
      </c>
    </row>
    <row r="152" ht="56.25" customHeight="1">
      <c r="A152" s="28" t="s">
        <v>531</v>
      </c>
      <c r="B152" s="29" t="str">
        <f>IMAGE("https://storage.googleapis.com/acdb/wall-mounted/FtrFishprint_Remake_6_0.png")</f>
        <v/>
      </c>
      <c r="C152" s="28" t="s">
        <v>548</v>
      </c>
      <c r="D152" s="30" t="s">
        <v>3</v>
      </c>
      <c r="E152" s="28" t="s">
        <v>83</v>
      </c>
      <c r="F152" s="30" t="s">
        <v>83</v>
      </c>
      <c r="G152" s="28" t="s">
        <v>40</v>
      </c>
      <c r="H152" s="28" t="s">
        <v>53</v>
      </c>
      <c r="I152" s="28">
        <v>1.0</v>
      </c>
      <c r="J152" s="28" t="s">
        <v>51</v>
      </c>
      <c r="K152" s="28">
        <v>700.0</v>
      </c>
      <c r="L152" s="28" t="s">
        <v>88</v>
      </c>
      <c r="M152" s="28" t="s">
        <v>85</v>
      </c>
      <c r="N152" s="28"/>
      <c r="O152" s="31" t="s">
        <v>89</v>
      </c>
      <c r="P152" s="28" t="s">
        <v>84</v>
      </c>
      <c r="Q152" s="28" t="s">
        <v>60</v>
      </c>
      <c r="R152" s="28"/>
      <c r="S152" s="28"/>
      <c r="T152" s="28" t="s">
        <v>40</v>
      </c>
      <c r="U152" s="28" t="s">
        <v>41</v>
      </c>
      <c r="V152" s="28" t="s">
        <v>54</v>
      </c>
      <c r="W152" s="28" t="s">
        <v>549</v>
      </c>
      <c r="X152" s="28" t="s">
        <v>218</v>
      </c>
      <c r="Y152" s="28">
        <v>3699.0</v>
      </c>
    </row>
    <row r="153" ht="56.25" customHeight="1">
      <c r="A153" s="28" t="s">
        <v>551</v>
      </c>
      <c r="B153" s="29" t="str">
        <f>IMAGE("https://storage.googleapis.com/acdb/wall-mounted/FtrBigcatchflag_Remake_0_0.png")</f>
        <v/>
      </c>
      <c r="C153" s="28" t="s">
        <v>553</v>
      </c>
      <c r="D153" s="30" t="s">
        <v>83</v>
      </c>
      <c r="E153" s="28" t="s">
        <v>83</v>
      </c>
      <c r="F153" s="30" t="s">
        <v>83</v>
      </c>
      <c r="G153" s="34" t="s">
        <v>40</v>
      </c>
      <c r="H153" s="28" t="s">
        <v>40</v>
      </c>
      <c r="I153" s="28" t="s">
        <v>83</v>
      </c>
      <c r="J153" s="28">
        <v>2200.0</v>
      </c>
      <c r="K153" s="28">
        <v>550.0</v>
      </c>
      <c r="L153" s="28" t="s">
        <v>554</v>
      </c>
      <c r="M153" s="28" t="s">
        <v>44</v>
      </c>
      <c r="N153" s="28" t="s">
        <v>63</v>
      </c>
      <c r="O153" s="31" t="s">
        <v>89</v>
      </c>
      <c r="P153" s="28" t="s">
        <v>84</v>
      </c>
      <c r="Q153" s="28"/>
      <c r="R153" s="28"/>
      <c r="S153" s="28"/>
      <c r="T153" s="28" t="s">
        <v>40</v>
      </c>
      <c r="U153" s="28" t="s">
        <v>41</v>
      </c>
      <c r="V153" s="28" t="s">
        <v>43</v>
      </c>
      <c r="W153" s="28" t="s">
        <v>555</v>
      </c>
      <c r="X153" s="28" t="s">
        <v>92</v>
      </c>
      <c r="Y153" s="28">
        <v>3583.0</v>
      </c>
    </row>
    <row r="154" ht="56.25" customHeight="1">
      <c r="A154" s="28" t="s">
        <v>551</v>
      </c>
      <c r="B154" s="29" t="str">
        <f>IMAGE("https://storage.googleapis.com/acdb/wall-mounted/FtrBigcatchflag_Remake_1_0.png")</f>
        <v/>
      </c>
      <c r="C154" s="28" t="s">
        <v>556</v>
      </c>
      <c r="D154" s="30" t="s">
        <v>83</v>
      </c>
      <c r="E154" s="28" t="s">
        <v>83</v>
      </c>
      <c r="F154" s="30" t="s">
        <v>83</v>
      </c>
      <c r="G154" s="28" t="s">
        <v>40</v>
      </c>
      <c r="H154" s="28" t="s">
        <v>40</v>
      </c>
      <c r="I154" s="28" t="s">
        <v>83</v>
      </c>
      <c r="J154" s="28">
        <v>2200.0</v>
      </c>
      <c r="K154" s="28">
        <v>550.0</v>
      </c>
      <c r="L154" s="28" t="s">
        <v>554</v>
      </c>
      <c r="M154" s="28" t="s">
        <v>44</v>
      </c>
      <c r="N154" s="28" t="s">
        <v>63</v>
      </c>
      <c r="O154" s="31" t="s">
        <v>89</v>
      </c>
      <c r="P154" s="28" t="s">
        <v>84</v>
      </c>
      <c r="Q154" s="28"/>
      <c r="R154" s="28"/>
      <c r="S154" s="28"/>
      <c r="T154" s="28" t="s">
        <v>40</v>
      </c>
      <c r="U154" s="28" t="s">
        <v>41</v>
      </c>
      <c r="V154" s="28" t="s">
        <v>43</v>
      </c>
      <c r="W154" s="28" t="s">
        <v>557</v>
      </c>
      <c r="X154" s="28" t="s">
        <v>97</v>
      </c>
      <c r="Y154" s="28">
        <v>3583.0</v>
      </c>
    </row>
    <row r="155" ht="69.0" customHeight="1">
      <c r="A155" s="28" t="s">
        <v>551</v>
      </c>
      <c r="B155" s="29" t="str">
        <f>IMAGE("https://storage.googleapis.com/acdb/wall-mounted/FtrBigcatchflag_Remake_2_0.png")</f>
        <v/>
      </c>
      <c r="C155" s="28" t="s">
        <v>558</v>
      </c>
      <c r="D155" s="30" t="s">
        <v>83</v>
      </c>
      <c r="E155" s="28" t="s">
        <v>83</v>
      </c>
      <c r="F155" s="30" t="s">
        <v>83</v>
      </c>
      <c r="G155" s="28" t="s">
        <v>40</v>
      </c>
      <c r="H155" s="28" t="s">
        <v>40</v>
      </c>
      <c r="I155" s="28" t="s">
        <v>83</v>
      </c>
      <c r="J155" s="28">
        <v>2200.0</v>
      </c>
      <c r="K155" s="28">
        <v>550.0</v>
      </c>
      <c r="L155" s="28" t="s">
        <v>554</v>
      </c>
      <c r="M155" s="28" t="s">
        <v>44</v>
      </c>
      <c r="N155" s="28" t="s">
        <v>63</v>
      </c>
      <c r="O155" s="31" t="s">
        <v>89</v>
      </c>
      <c r="P155" s="28" t="s">
        <v>84</v>
      </c>
      <c r="Q155" s="28"/>
      <c r="R155" s="28"/>
      <c r="S155" s="28"/>
      <c r="T155" s="28" t="s">
        <v>40</v>
      </c>
      <c r="U155" s="28" t="s">
        <v>41</v>
      </c>
      <c r="V155" s="28" t="s">
        <v>43</v>
      </c>
      <c r="W155" s="28" t="s">
        <v>561</v>
      </c>
      <c r="X155" s="28" t="s">
        <v>103</v>
      </c>
      <c r="Y155" s="28">
        <v>3583.0</v>
      </c>
    </row>
    <row r="156" ht="69.0" customHeight="1">
      <c r="A156" s="28" t="s">
        <v>551</v>
      </c>
      <c r="B156" s="29" t="str">
        <f>IMAGE("https://storage.googleapis.com/acdb/wall-mounted/FtrBigcatchflag_Remake_3_0.png")</f>
        <v/>
      </c>
      <c r="C156" s="28" t="s">
        <v>562</v>
      </c>
      <c r="D156" s="30" t="s">
        <v>83</v>
      </c>
      <c r="E156" s="28" t="s">
        <v>83</v>
      </c>
      <c r="F156" s="30" t="s">
        <v>83</v>
      </c>
      <c r="G156" s="28" t="s">
        <v>40</v>
      </c>
      <c r="H156" s="28" t="s">
        <v>40</v>
      </c>
      <c r="I156" s="28" t="s">
        <v>83</v>
      </c>
      <c r="J156" s="28">
        <v>2200.0</v>
      </c>
      <c r="K156" s="28">
        <v>550.0</v>
      </c>
      <c r="L156" s="28" t="s">
        <v>554</v>
      </c>
      <c r="M156" s="28" t="s">
        <v>44</v>
      </c>
      <c r="N156" s="28" t="s">
        <v>63</v>
      </c>
      <c r="O156" s="31" t="s">
        <v>89</v>
      </c>
      <c r="P156" s="28" t="s">
        <v>84</v>
      </c>
      <c r="Q156" s="28"/>
      <c r="R156" s="28"/>
      <c r="S156" s="28"/>
      <c r="T156" s="28" t="s">
        <v>40</v>
      </c>
      <c r="U156" s="28" t="s">
        <v>41</v>
      </c>
      <c r="V156" s="28" t="s">
        <v>43</v>
      </c>
      <c r="W156" s="28" t="s">
        <v>564</v>
      </c>
      <c r="X156" s="28" t="s">
        <v>110</v>
      </c>
      <c r="Y156" s="28">
        <v>3583.0</v>
      </c>
    </row>
    <row r="157" ht="69.0" customHeight="1">
      <c r="A157" s="28" t="s">
        <v>566</v>
      </c>
      <c r="B157" s="29" t="str">
        <f>IMAGE("https://storage.googleapis.com/acdb/wall-mounted/FtrFlowerSwag_Remake_0_0.png")</f>
        <v/>
      </c>
      <c r="C157" s="28" t="s">
        <v>211</v>
      </c>
      <c r="D157" s="30" t="s">
        <v>199</v>
      </c>
      <c r="E157" s="28" t="s">
        <v>83</v>
      </c>
      <c r="F157" s="30" t="s">
        <v>83</v>
      </c>
      <c r="G157" s="28" t="s">
        <v>53</v>
      </c>
      <c r="H157" s="28" t="s">
        <v>53</v>
      </c>
      <c r="I157" s="28">
        <v>1.0</v>
      </c>
      <c r="J157" s="28" t="s">
        <v>51</v>
      </c>
      <c r="K157" s="28">
        <v>200.0</v>
      </c>
      <c r="L157" s="28" t="s">
        <v>123</v>
      </c>
      <c r="M157" s="28" t="s">
        <v>55</v>
      </c>
      <c r="N157" s="28"/>
      <c r="O157" s="31" t="s">
        <v>89</v>
      </c>
      <c r="P157" s="28" t="s">
        <v>60</v>
      </c>
      <c r="Q157" s="28"/>
      <c r="R157" s="28"/>
      <c r="S157" s="28"/>
      <c r="T157" s="28" t="s">
        <v>40</v>
      </c>
      <c r="U157" s="28" t="s">
        <v>41</v>
      </c>
      <c r="V157" s="28" t="s">
        <v>54</v>
      </c>
      <c r="W157" s="28" t="s">
        <v>569</v>
      </c>
      <c r="X157" s="28" t="s">
        <v>92</v>
      </c>
      <c r="Y157" s="28">
        <v>4027.0</v>
      </c>
    </row>
    <row r="158" ht="69.0" customHeight="1">
      <c r="A158" s="28" t="s">
        <v>566</v>
      </c>
      <c r="B158" s="29" t="str">
        <f>IMAGE("https://storage.googleapis.com/acdb/wall-mounted/FtrFlowerSwag_Remake_1_0.png")</f>
        <v/>
      </c>
      <c r="C158" s="28" t="s">
        <v>107</v>
      </c>
      <c r="D158" s="30" t="s">
        <v>199</v>
      </c>
      <c r="E158" s="28" t="s">
        <v>83</v>
      </c>
      <c r="F158" s="30" t="s">
        <v>83</v>
      </c>
      <c r="G158" s="28" t="s">
        <v>53</v>
      </c>
      <c r="H158" s="28" t="s">
        <v>53</v>
      </c>
      <c r="I158" s="28">
        <v>1.0</v>
      </c>
      <c r="J158" s="28" t="s">
        <v>51</v>
      </c>
      <c r="K158" s="28">
        <v>200.0</v>
      </c>
      <c r="L158" s="28" t="s">
        <v>123</v>
      </c>
      <c r="M158" s="28" t="s">
        <v>55</v>
      </c>
      <c r="N158" s="28"/>
      <c r="O158" s="31" t="s">
        <v>89</v>
      </c>
      <c r="P158" s="28" t="s">
        <v>60</v>
      </c>
      <c r="Q158" s="28"/>
      <c r="R158" s="28"/>
      <c r="S158" s="28"/>
      <c r="T158" s="28" t="s">
        <v>40</v>
      </c>
      <c r="U158" s="28" t="s">
        <v>41</v>
      </c>
      <c r="V158" s="28" t="s">
        <v>54</v>
      </c>
      <c r="W158" s="28" t="s">
        <v>570</v>
      </c>
      <c r="X158" s="28" t="s">
        <v>97</v>
      </c>
      <c r="Y158" s="28">
        <v>4027.0</v>
      </c>
    </row>
    <row r="159" ht="69.0" customHeight="1">
      <c r="A159" s="28" t="s">
        <v>566</v>
      </c>
      <c r="B159" s="29" t="str">
        <f>IMAGE("https://storage.googleapis.com/acdb/wall-mounted/FtrFlowerSwag_Remake_2_0.png")</f>
        <v/>
      </c>
      <c r="C159" s="28" t="s">
        <v>112</v>
      </c>
      <c r="D159" s="30" t="s">
        <v>199</v>
      </c>
      <c r="E159" s="28" t="s">
        <v>83</v>
      </c>
      <c r="F159" s="30" t="s">
        <v>83</v>
      </c>
      <c r="G159" s="28" t="s">
        <v>53</v>
      </c>
      <c r="H159" s="28" t="s">
        <v>53</v>
      </c>
      <c r="I159" s="28">
        <v>1.0</v>
      </c>
      <c r="J159" s="28" t="s">
        <v>51</v>
      </c>
      <c r="K159" s="28">
        <v>200.0</v>
      </c>
      <c r="L159" s="28" t="s">
        <v>123</v>
      </c>
      <c r="M159" s="28" t="s">
        <v>55</v>
      </c>
      <c r="N159" s="28"/>
      <c r="O159" s="31" t="s">
        <v>89</v>
      </c>
      <c r="P159" s="28" t="s">
        <v>60</v>
      </c>
      <c r="Q159" s="28"/>
      <c r="R159" s="28"/>
      <c r="S159" s="28"/>
      <c r="T159" s="28" t="s">
        <v>40</v>
      </c>
      <c r="U159" s="28" t="s">
        <v>41</v>
      </c>
      <c r="V159" s="28" t="s">
        <v>54</v>
      </c>
      <c r="W159" s="28" t="s">
        <v>573</v>
      </c>
      <c r="X159" s="28" t="s">
        <v>103</v>
      </c>
      <c r="Y159" s="28">
        <v>4027.0</v>
      </c>
    </row>
    <row r="160" ht="69.0" customHeight="1">
      <c r="A160" s="28" t="s">
        <v>566</v>
      </c>
      <c r="B160" s="29" t="str">
        <f>IMAGE("https://storage.googleapis.com/acdb/wall-mounted/FtrFlowerSwag_Remake_3_0.png")</f>
        <v/>
      </c>
      <c r="C160" s="28" t="s">
        <v>82</v>
      </c>
      <c r="D160" s="30" t="s">
        <v>199</v>
      </c>
      <c r="E160" s="28" t="s">
        <v>83</v>
      </c>
      <c r="F160" s="30" t="s">
        <v>83</v>
      </c>
      <c r="G160" s="28" t="s">
        <v>53</v>
      </c>
      <c r="H160" s="28" t="s">
        <v>53</v>
      </c>
      <c r="I160" s="28">
        <v>1.0</v>
      </c>
      <c r="J160" s="28" t="s">
        <v>51</v>
      </c>
      <c r="K160" s="28">
        <v>200.0</v>
      </c>
      <c r="L160" s="28" t="s">
        <v>123</v>
      </c>
      <c r="M160" s="28" t="s">
        <v>55</v>
      </c>
      <c r="N160" s="28"/>
      <c r="O160" s="31" t="s">
        <v>89</v>
      </c>
      <c r="P160" s="28" t="s">
        <v>60</v>
      </c>
      <c r="Q160" s="28"/>
      <c r="R160" s="28"/>
      <c r="S160" s="28"/>
      <c r="T160" s="28" t="s">
        <v>40</v>
      </c>
      <c r="U160" s="28" t="s">
        <v>41</v>
      </c>
      <c r="V160" s="28" t="s">
        <v>54</v>
      </c>
      <c r="W160" s="28" t="s">
        <v>576</v>
      </c>
      <c r="X160" s="28" t="s">
        <v>110</v>
      </c>
      <c r="Y160" s="28">
        <v>4027.0</v>
      </c>
    </row>
    <row r="161" ht="69.0" customHeight="1">
      <c r="A161" s="28" t="s">
        <v>566</v>
      </c>
      <c r="B161" s="29" t="str">
        <f>IMAGE("https://storage.googleapis.com/acdb/wall-mounted/FtrFlowerSwag_Remake_4_0.png")</f>
        <v/>
      </c>
      <c r="C161" s="28" t="s">
        <v>258</v>
      </c>
      <c r="D161" s="30" t="s">
        <v>199</v>
      </c>
      <c r="E161" s="28" t="s">
        <v>83</v>
      </c>
      <c r="F161" s="30" t="s">
        <v>83</v>
      </c>
      <c r="G161" s="28" t="s">
        <v>53</v>
      </c>
      <c r="H161" s="28" t="s">
        <v>53</v>
      </c>
      <c r="I161" s="28">
        <v>1.0</v>
      </c>
      <c r="J161" s="28" t="s">
        <v>51</v>
      </c>
      <c r="K161" s="28">
        <v>200.0</v>
      </c>
      <c r="L161" s="28" t="s">
        <v>123</v>
      </c>
      <c r="M161" s="28" t="s">
        <v>55</v>
      </c>
      <c r="N161" s="28"/>
      <c r="O161" s="31" t="s">
        <v>89</v>
      </c>
      <c r="P161" s="28" t="s">
        <v>60</v>
      </c>
      <c r="Q161" s="28"/>
      <c r="R161" s="28"/>
      <c r="S161" s="28"/>
      <c r="T161" s="28" t="s">
        <v>40</v>
      </c>
      <c r="U161" s="28" t="s">
        <v>41</v>
      </c>
      <c r="V161" s="28" t="s">
        <v>54</v>
      </c>
      <c r="W161" s="28" t="s">
        <v>578</v>
      </c>
      <c r="X161" s="28" t="s">
        <v>115</v>
      </c>
      <c r="Y161" s="28">
        <v>4027.0</v>
      </c>
    </row>
    <row r="162" ht="69.0" customHeight="1">
      <c r="A162" s="28" t="s">
        <v>579</v>
      </c>
      <c r="B162" s="29" t="str">
        <f>IMAGE("https://storage.googleapis.com/acdb/wall-mounted/FtrTestimonial_Remake_0_0.png")</f>
        <v/>
      </c>
      <c r="C162" s="28" t="s">
        <v>118</v>
      </c>
      <c r="D162" s="30" t="s">
        <v>83</v>
      </c>
      <c r="E162" s="28" t="s">
        <v>83</v>
      </c>
      <c r="F162" s="30" t="s">
        <v>83</v>
      </c>
      <c r="G162" s="28" t="s">
        <v>40</v>
      </c>
      <c r="H162" s="28" t="s">
        <v>40</v>
      </c>
      <c r="I162" s="28" t="s">
        <v>83</v>
      </c>
      <c r="J162" s="28">
        <v>620.0</v>
      </c>
      <c r="K162" s="28">
        <v>155.0</v>
      </c>
      <c r="L162" s="28" t="s">
        <v>123</v>
      </c>
      <c r="M162" s="28" t="s">
        <v>44</v>
      </c>
      <c r="N162" s="28" t="s">
        <v>63</v>
      </c>
      <c r="O162" s="31" t="s">
        <v>89</v>
      </c>
      <c r="P162" s="28" t="s">
        <v>80</v>
      </c>
      <c r="Q162" s="28" t="s">
        <v>136</v>
      </c>
      <c r="R162" s="28"/>
      <c r="S162" s="28"/>
      <c r="T162" s="28" t="s">
        <v>40</v>
      </c>
      <c r="U162" s="28" t="s">
        <v>41</v>
      </c>
      <c r="V162" s="28" t="s">
        <v>43</v>
      </c>
      <c r="W162" s="28" t="s">
        <v>581</v>
      </c>
      <c r="X162" s="28" t="s">
        <v>92</v>
      </c>
      <c r="Y162" s="28">
        <v>4099.0</v>
      </c>
    </row>
    <row r="163" ht="56.25" customHeight="1">
      <c r="A163" s="28" t="s">
        <v>579</v>
      </c>
      <c r="B163" s="29" t="str">
        <f>IMAGE("https://storage.googleapis.com/acdb/wall-mounted/FtrTestimonial_Remake_1_0.png")</f>
        <v/>
      </c>
      <c r="C163" s="28" t="s">
        <v>582</v>
      </c>
      <c r="D163" s="30" t="s">
        <v>83</v>
      </c>
      <c r="E163" s="28" t="s">
        <v>83</v>
      </c>
      <c r="F163" s="30" t="s">
        <v>83</v>
      </c>
      <c r="G163" s="28" t="s">
        <v>40</v>
      </c>
      <c r="H163" s="28" t="s">
        <v>40</v>
      </c>
      <c r="I163" s="28" t="s">
        <v>83</v>
      </c>
      <c r="J163" s="28">
        <v>620.0</v>
      </c>
      <c r="K163" s="28">
        <v>155.0</v>
      </c>
      <c r="L163" s="28" t="s">
        <v>123</v>
      </c>
      <c r="M163" s="28" t="s">
        <v>44</v>
      </c>
      <c r="N163" s="28" t="s">
        <v>63</v>
      </c>
      <c r="O163" s="31" t="s">
        <v>89</v>
      </c>
      <c r="P163" s="28" t="s">
        <v>80</v>
      </c>
      <c r="Q163" s="28" t="s">
        <v>136</v>
      </c>
      <c r="R163" s="28"/>
      <c r="S163" s="28"/>
      <c r="T163" s="28" t="s">
        <v>40</v>
      </c>
      <c r="U163" s="28" t="s">
        <v>41</v>
      </c>
      <c r="V163" s="28" t="s">
        <v>43</v>
      </c>
      <c r="W163" s="28" t="s">
        <v>583</v>
      </c>
      <c r="X163" s="28" t="s">
        <v>97</v>
      </c>
      <c r="Y163" s="28">
        <v>4099.0</v>
      </c>
    </row>
    <row r="164" ht="56.25" customHeight="1">
      <c r="A164" s="28" t="s">
        <v>579</v>
      </c>
      <c r="B164" s="29" t="str">
        <f>IMAGE("https://storage.googleapis.com/acdb/wall-mounted/FtrTestimonial_Remake_2_0.png")</f>
        <v/>
      </c>
      <c r="C164" s="28" t="s">
        <v>233</v>
      </c>
      <c r="D164" s="30" t="s">
        <v>83</v>
      </c>
      <c r="E164" s="28" t="s">
        <v>83</v>
      </c>
      <c r="F164" s="30" t="s">
        <v>83</v>
      </c>
      <c r="G164" s="28" t="s">
        <v>40</v>
      </c>
      <c r="H164" s="28" t="s">
        <v>40</v>
      </c>
      <c r="I164" s="28" t="s">
        <v>83</v>
      </c>
      <c r="J164" s="28">
        <v>620.0</v>
      </c>
      <c r="K164" s="28">
        <v>155.0</v>
      </c>
      <c r="L164" s="28" t="s">
        <v>123</v>
      </c>
      <c r="M164" s="28" t="s">
        <v>44</v>
      </c>
      <c r="N164" s="28" t="s">
        <v>63</v>
      </c>
      <c r="O164" s="31" t="s">
        <v>89</v>
      </c>
      <c r="P164" s="28" t="s">
        <v>80</v>
      </c>
      <c r="Q164" s="28" t="s">
        <v>136</v>
      </c>
      <c r="R164" s="28"/>
      <c r="S164" s="28"/>
      <c r="T164" s="28" t="s">
        <v>40</v>
      </c>
      <c r="U164" s="28" t="s">
        <v>41</v>
      </c>
      <c r="V164" s="28" t="s">
        <v>43</v>
      </c>
      <c r="W164" s="28" t="s">
        <v>585</v>
      </c>
      <c r="X164" s="28" t="s">
        <v>103</v>
      </c>
      <c r="Y164" s="28">
        <v>4099.0</v>
      </c>
    </row>
    <row r="165" ht="56.25" customHeight="1">
      <c r="A165" s="28" t="s">
        <v>586</v>
      </c>
      <c r="B165" s="29" t="str">
        <f>IMAGE("https://storage.googleapis.com/acdb/wall-mounted/FtrDoorOrnamentFossil_Remake_0_0.png")</f>
        <v/>
      </c>
      <c r="C165" s="28" t="s">
        <v>94</v>
      </c>
      <c r="D165" s="30" t="s">
        <v>199</v>
      </c>
      <c r="E165" s="28" t="s">
        <v>83</v>
      </c>
      <c r="F165" s="30" t="s">
        <v>83</v>
      </c>
      <c r="G165" s="28" t="s">
        <v>53</v>
      </c>
      <c r="H165" s="28" t="s">
        <v>53</v>
      </c>
      <c r="I165" s="28">
        <v>1.0</v>
      </c>
      <c r="J165" s="28" t="s">
        <v>51</v>
      </c>
      <c r="K165" s="28">
        <v>500.0</v>
      </c>
      <c r="L165" s="28" t="s">
        <v>123</v>
      </c>
      <c r="M165" s="28" t="s">
        <v>55</v>
      </c>
      <c r="N165" s="28"/>
      <c r="O165" s="31" t="s">
        <v>89</v>
      </c>
      <c r="P165" s="28" t="s">
        <v>90</v>
      </c>
      <c r="Q165" s="28"/>
      <c r="R165" s="28"/>
      <c r="S165" s="28"/>
      <c r="T165" s="28" t="s">
        <v>40</v>
      </c>
      <c r="U165" s="28" t="s">
        <v>41</v>
      </c>
      <c r="V165" s="28" t="s">
        <v>54</v>
      </c>
      <c r="W165" s="28" t="s">
        <v>588</v>
      </c>
      <c r="X165" s="28" t="s">
        <v>92</v>
      </c>
      <c r="Y165" s="28">
        <v>5719.0</v>
      </c>
    </row>
    <row r="166" ht="56.25" customHeight="1">
      <c r="A166" s="28" t="s">
        <v>586</v>
      </c>
      <c r="B166" s="29" t="str">
        <f>IMAGE("https://storage.googleapis.com/acdb/wall-mounted/FtrDoorOrnamentFossil_Remake_1_0.png")</f>
        <v/>
      </c>
      <c r="C166" s="28" t="s">
        <v>112</v>
      </c>
      <c r="D166" s="30" t="s">
        <v>199</v>
      </c>
      <c r="E166" s="28" t="s">
        <v>83</v>
      </c>
      <c r="F166" s="30" t="s">
        <v>83</v>
      </c>
      <c r="G166" s="28" t="s">
        <v>53</v>
      </c>
      <c r="H166" s="28" t="s">
        <v>53</v>
      </c>
      <c r="I166" s="28">
        <v>1.0</v>
      </c>
      <c r="J166" s="28" t="s">
        <v>51</v>
      </c>
      <c r="K166" s="28">
        <v>500.0</v>
      </c>
      <c r="L166" s="28" t="s">
        <v>123</v>
      </c>
      <c r="M166" s="28" t="s">
        <v>55</v>
      </c>
      <c r="N166" s="28"/>
      <c r="O166" s="31" t="s">
        <v>89</v>
      </c>
      <c r="P166" s="28" t="s">
        <v>90</v>
      </c>
      <c r="Q166" s="28"/>
      <c r="R166" s="28"/>
      <c r="S166" s="28"/>
      <c r="T166" s="28" t="s">
        <v>40</v>
      </c>
      <c r="U166" s="28" t="s">
        <v>41</v>
      </c>
      <c r="V166" s="28" t="s">
        <v>54</v>
      </c>
      <c r="W166" s="28" t="s">
        <v>590</v>
      </c>
      <c r="X166" s="28" t="s">
        <v>97</v>
      </c>
      <c r="Y166" s="28">
        <v>5719.0</v>
      </c>
    </row>
    <row r="167" ht="56.25" customHeight="1">
      <c r="A167" s="28" t="s">
        <v>591</v>
      </c>
      <c r="B167" s="29" t="str">
        <f>IMAGE("https://storage.googleapis.com/acdb/wall-mounted/FtrDoorOrnamentWreathFruit.png")</f>
        <v/>
      </c>
      <c r="C167" s="28" t="s">
        <v>83</v>
      </c>
      <c r="D167" s="28" t="s">
        <v>83</v>
      </c>
      <c r="E167" s="28" t="s">
        <v>83</v>
      </c>
      <c r="F167" s="28" t="s">
        <v>83</v>
      </c>
      <c r="G167" s="28" t="s">
        <v>53</v>
      </c>
      <c r="H167" s="28" t="s">
        <v>40</v>
      </c>
      <c r="I167" s="28" t="s">
        <v>83</v>
      </c>
      <c r="J167" s="28" t="s">
        <v>51</v>
      </c>
      <c r="K167" s="28">
        <v>2000.0</v>
      </c>
      <c r="L167" s="28" t="s">
        <v>123</v>
      </c>
      <c r="M167" s="28" t="s">
        <v>55</v>
      </c>
      <c r="N167" s="28"/>
      <c r="O167" s="31" t="s">
        <v>89</v>
      </c>
      <c r="P167" s="28" t="s">
        <v>36</v>
      </c>
      <c r="Q167" s="28"/>
      <c r="R167" s="28"/>
      <c r="S167" s="28"/>
      <c r="T167" s="28" t="s">
        <v>40</v>
      </c>
      <c r="U167" s="28" t="s">
        <v>41</v>
      </c>
      <c r="V167" s="28" t="s">
        <v>54</v>
      </c>
      <c r="W167" s="28" t="s">
        <v>593</v>
      </c>
      <c r="X167" s="28" t="s">
        <v>83</v>
      </c>
      <c r="Y167" s="28">
        <v>4378.0</v>
      </c>
    </row>
    <row r="168" ht="56.25" customHeight="1">
      <c r="A168" s="28" t="s">
        <v>594</v>
      </c>
      <c r="B168" s="29" t="str">
        <f>IMAGE("https://storage.googleapis.com/acdb/wall-mounted/FtrGearWall_Remake_0_0.png")</f>
        <v/>
      </c>
      <c r="C168" s="28" t="s">
        <v>182</v>
      </c>
      <c r="D168" s="30" t="s">
        <v>83</v>
      </c>
      <c r="E168" s="28" t="s">
        <v>83</v>
      </c>
      <c r="F168" s="30" t="s">
        <v>83</v>
      </c>
      <c r="G168" s="28" t="s">
        <v>40</v>
      </c>
      <c r="H168" s="28" t="s">
        <v>40</v>
      </c>
      <c r="I168" s="28" t="s">
        <v>83</v>
      </c>
      <c r="J168" s="28">
        <v>1500.0</v>
      </c>
      <c r="K168" s="28">
        <v>375.0</v>
      </c>
      <c r="L168" s="28" t="s">
        <v>88</v>
      </c>
      <c r="M168" s="28" t="s">
        <v>44</v>
      </c>
      <c r="N168" s="28" t="s">
        <v>68</v>
      </c>
      <c r="O168" s="31" t="s">
        <v>89</v>
      </c>
      <c r="P168" s="28" t="s">
        <v>90</v>
      </c>
      <c r="Q168" s="28" t="s">
        <v>243</v>
      </c>
      <c r="R168" s="28"/>
      <c r="S168" s="28"/>
      <c r="T168" s="28" t="s">
        <v>53</v>
      </c>
      <c r="U168" s="28" t="s">
        <v>41</v>
      </c>
      <c r="V168" s="28" t="s">
        <v>43</v>
      </c>
      <c r="W168" s="28" t="s">
        <v>596</v>
      </c>
      <c r="X168" s="28" t="s">
        <v>92</v>
      </c>
      <c r="Y168" s="28">
        <v>7280.0</v>
      </c>
    </row>
    <row r="169" ht="56.25" customHeight="1">
      <c r="A169" s="28" t="s">
        <v>594</v>
      </c>
      <c r="B169" s="29" t="str">
        <f>IMAGE("https://storage.googleapis.com/acdb/wall-mounted/FtrGearWall_Remake_1_0.png")</f>
        <v/>
      </c>
      <c r="C169" s="28" t="s">
        <v>190</v>
      </c>
      <c r="D169" s="30" t="s">
        <v>83</v>
      </c>
      <c r="E169" s="28" t="s">
        <v>83</v>
      </c>
      <c r="F169" s="30" t="s">
        <v>83</v>
      </c>
      <c r="G169" s="28" t="s">
        <v>40</v>
      </c>
      <c r="H169" s="28" t="s">
        <v>40</v>
      </c>
      <c r="I169" s="28" t="s">
        <v>83</v>
      </c>
      <c r="J169" s="28">
        <v>1500.0</v>
      </c>
      <c r="K169" s="28">
        <v>375.0</v>
      </c>
      <c r="L169" s="28" t="s">
        <v>88</v>
      </c>
      <c r="M169" s="28" t="s">
        <v>44</v>
      </c>
      <c r="N169" s="28" t="s">
        <v>68</v>
      </c>
      <c r="O169" s="31" t="s">
        <v>89</v>
      </c>
      <c r="P169" s="28" t="s">
        <v>90</v>
      </c>
      <c r="Q169" s="28" t="s">
        <v>243</v>
      </c>
      <c r="R169" s="28"/>
      <c r="S169" s="28"/>
      <c r="T169" s="28" t="s">
        <v>53</v>
      </c>
      <c r="U169" s="28" t="s">
        <v>41</v>
      </c>
      <c r="V169" s="28" t="s">
        <v>43</v>
      </c>
      <c r="W169" s="28" t="s">
        <v>599</v>
      </c>
      <c r="X169" s="28" t="s">
        <v>97</v>
      </c>
      <c r="Y169" s="28">
        <v>7280.0</v>
      </c>
    </row>
    <row r="170" ht="56.25" customHeight="1">
      <c r="A170" s="28" t="s">
        <v>594</v>
      </c>
      <c r="B170" s="29" t="str">
        <f>IMAGE("https://storage.googleapis.com/acdb/wall-mounted/FtrGearWall_Remake_2_0.png")</f>
        <v/>
      </c>
      <c r="C170" s="28" t="s">
        <v>99</v>
      </c>
      <c r="D170" s="30" t="s">
        <v>83</v>
      </c>
      <c r="E170" s="28" t="s">
        <v>83</v>
      </c>
      <c r="F170" s="30" t="s">
        <v>83</v>
      </c>
      <c r="G170" s="28" t="s">
        <v>40</v>
      </c>
      <c r="H170" s="28" t="s">
        <v>40</v>
      </c>
      <c r="I170" s="28" t="s">
        <v>83</v>
      </c>
      <c r="J170" s="28">
        <v>1500.0</v>
      </c>
      <c r="K170" s="28">
        <v>375.0</v>
      </c>
      <c r="L170" s="28" t="s">
        <v>88</v>
      </c>
      <c r="M170" s="28" t="s">
        <v>44</v>
      </c>
      <c r="N170" s="28" t="s">
        <v>68</v>
      </c>
      <c r="O170" s="31" t="s">
        <v>89</v>
      </c>
      <c r="P170" s="28" t="s">
        <v>90</v>
      </c>
      <c r="Q170" s="28" t="s">
        <v>243</v>
      </c>
      <c r="R170" s="28"/>
      <c r="S170" s="28"/>
      <c r="T170" s="28" t="s">
        <v>53</v>
      </c>
      <c r="U170" s="28" t="s">
        <v>41</v>
      </c>
      <c r="V170" s="28" t="s">
        <v>43</v>
      </c>
      <c r="W170" s="28" t="s">
        <v>601</v>
      </c>
      <c r="X170" s="28" t="s">
        <v>103</v>
      </c>
      <c r="Y170" s="28">
        <v>7280.0</v>
      </c>
    </row>
    <row r="171" ht="56.25" customHeight="1">
      <c r="A171" s="28" t="s">
        <v>594</v>
      </c>
      <c r="B171" s="29" t="str">
        <f>IMAGE("https://storage.googleapis.com/acdb/wall-mounted/FtrGearWall_Remake_3_0.png")</f>
        <v/>
      </c>
      <c r="C171" s="28" t="s">
        <v>258</v>
      </c>
      <c r="D171" s="30" t="s">
        <v>83</v>
      </c>
      <c r="E171" s="28" t="s">
        <v>83</v>
      </c>
      <c r="F171" s="30" t="s">
        <v>83</v>
      </c>
      <c r="G171" s="28" t="s">
        <v>40</v>
      </c>
      <c r="H171" s="28" t="s">
        <v>40</v>
      </c>
      <c r="I171" s="28" t="s">
        <v>83</v>
      </c>
      <c r="J171" s="28">
        <v>1500.0</v>
      </c>
      <c r="K171" s="28">
        <v>375.0</v>
      </c>
      <c r="L171" s="28" t="s">
        <v>88</v>
      </c>
      <c r="M171" s="28" t="s">
        <v>44</v>
      </c>
      <c r="N171" s="28" t="s">
        <v>68</v>
      </c>
      <c r="O171" s="31" t="s">
        <v>89</v>
      </c>
      <c r="P171" s="28" t="s">
        <v>90</v>
      </c>
      <c r="Q171" s="28" t="s">
        <v>243</v>
      </c>
      <c r="R171" s="28"/>
      <c r="S171" s="28"/>
      <c r="T171" s="28" t="s">
        <v>53</v>
      </c>
      <c r="U171" s="28" t="s">
        <v>41</v>
      </c>
      <c r="V171" s="28" t="s">
        <v>43</v>
      </c>
      <c r="W171" s="28" t="s">
        <v>603</v>
      </c>
      <c r="X171" s="28" t="s">
        <v>110</v>
      </c>
      <c r="Y171" s="28">
        <v>7280.0</v>
      </c>
    </row>
    <row r="172" ht="56.25" customHeight="1">
      <c r="A172" s="28" t="s">
        <v>594</v>
      </c>
      <c r="B172" s="29" t="str">
        <f>IMAGE("https://storage.googleapis.com/acdb/wall-mounted/FtrGearWall_Remake_4_0.png")</f>
        <v/>
      </c>
      <c r="C172" s="28" t="s">
        <v>605</v>
      </c>
      <c r="D172" s="30" t="s">
        <v>83</v>
      </c>
      <c r="E172" s="28" t="s">
        <v>83</v>
      </c>
      <c r="F172" s="30" t="s">
        <v>83</v>
      </c>
      <c r="G172" s="28" t="s">
        <v>40</v>
      </c>
      <c r="H172" s="28" t="s">
        <v>40</v>
      </c>
      <c r="I172" s="28" t="s">
        <v>83</v>
      </c>
      <c r="J172" s="28">
        <v>1500.0</v>
      </c>
      <c r="K172" s="28">
        <v>375.0</v>
      </c>
      <c r="L172" s="28" t="s">
        <v>88</v>
      </c>
      <c r="M172" s="28" t="s">
        <v>44</v>
      </c>
      <c r="N172" s="28" t="s">
        <v>68</v>
      </c>
      <c r="O172" s="31" t="s">
        <v>89</v>
      </c>
      <c r="P172" s="28" t="s">
        <v>90</v>
      </c>
      <c r="Q172" s="28" t="s">
        <v>243</v>
      </c>
      <c r="R172" s="28"/>
      <c r="S172" s="28"/>
      <c r="T172" s="28" t="s">
        <v>53</v>
      </c>
      <c r="U172" s="28" t="s">
        <v>41</v>
      </c>
      <c r="V172" s="28" t="s">
        <v>43</v>
      </c>
      <c r="W172" s="28" t="s">
        <v>606</v>
      </c>
      <c r="X172" s="28" t="s">
        <v>115</v>
      </c>
      <c r="Y172" s="28">
        <v>7280.0</v>
      </c>
    </row>
    <row r="173" ht="56.25" customHeight="1">
      <c r="A173" s="28" t="s">
        <v>607</v>
      </c>
      <c r="B173" s="29" t="str">
        <f>IMAGE("https://storage.googleapis.com/acdb/wall-mounted/FtrShieldHhaGold.png")</f>
        <v/>
      </c>
      <c r="C173" s="28" t="s">
        <v>83</v>
      </c>
      <c r="D173" s="28" t="s">
        <v>83</v>
      </c>
      <c r="E173" s="28" t="s">
        <v>83</v>
      </c>
      <c r="F173" s="28" t="s">
        <v>83</v>
      </c>
      <c r="G173" s="34" t="s">
        <v>40</v>
      </c>
      <c r="H173" s="28" t="s">
        <v>40</v>
      </c>
      <c r="I173" s="28" t="s">
        <v>83</v>
      </c>
      <c r="J173" s="28" t="s">
        <v>51</v>
      </c>
      <c r="K173" s="28">
        <v>450.0</v>
      </c>
      <c r="L173" s="28" t="s">
        <v>123</v>
      </c>
      <c r="M173" s="28" t="s">
        <v>247</v>
      </c>
      <c r="N173" s="28"/>
      <c r="O173" s="31" t="s">
        <v>89</v>
      </c>
      <c r="P173" s="28" t="s">
        <v>60</v>
      </c>
      <c r="Q173" s="28" t="s">
        <v>62</v>
      </c>
      <c r="R173" s="28"/>
      <c r="S173" s="28"/>
      <c r="T173" s="28" t="s">
        <v>40</v>
      </c>
      <c r="U173" s="28" t="s">
        <v>41</v>
      </c>
      <c r="V173" s="28" t="s">
        <v>54</v>
      </c>
      <c r="W173" s="28" t="s">
        <v>610</v>
      </c>
      <c r="X173" s="28" t="s">
        <v>83</v>
      </c>
      <c r="Y173" s="28">
        <v>7035.0</v>
      </c>
    </row>
    <row r="174" ht="56.25" customHeight="1">
      <c r="A174" s="28" t="s">
        <v>612</v>
      </c>
      <c r="B174" s="29" t="str">
        <f>IMAGE("https://storage.googleapis.com/acdb/wall-mounted/FtrDoorOrnamentWreathRoseGold.png")</f>
        <v/>
      </c>
      <c r="C174" s="28" t="s">
        <v>83</v>
      </c>
      <c r="D174" s="28" t="s">
        <v>83</v>
      </c>
      <c r="E174" s="28" t="s">
        <v>83</v>
      </c>
      <c r="F174" s="28" t="s">
        <v>83</v>
      </c>
      <c r="G174" s="28" t="s">
        <v>53</v>
      </c>
      <c r="H174" s="28" t="s">
        <v>40</v>
      </c>
      <c r="I174" s="28" t="s">
        <v>83</v>
      </c>
      <c r="J174" s="28" t="s">
        <v>51</v>
      </c>
      <c r="K174" s="28">
        <v>20000.0</v>
      </c>
      <c r="L174" s="28" t="s">
        <v>123</v>
      </c>
      <c r="M174" s="28" t="s">
        <v>55</v>
      </c>
      <c r="N174" s="28"/>
      <c r="O174" s="31" t="s">
        <v>89</v>
      </c>
      <c r="P174" s="28" t="s">
        <v>62</v>
      </c>
      <c r="Q174" s="28"/>
      <c r="R174" s="28"/>
      <c r="S174" s="28"/>
      <c r="T174" s="28" t="s">
        <v>40</v>
      </c>
      <c r="U174" s="28" t="s">
        <v>41</v>
      </c>
      <c r="V174" s="28" t="s">
        <v>54</v>
      </c>
      <c r="W174" s="28" t="s">
        <v>614</v>
      </c>
      <c r="X174" s="28" t="s">
        <v>83</v>
      </c>
      <c r="Y174" s="28">
        <v>5820.0</v>
      </c>
    </row>
    <row r="175" ht="56.25" customHeight="1">
      <c r="A175" s="28" t="s">
        <v>615</v>
      </c>
      <c r="B175" s="29" t="str">
        <f>IMAGE("https://storage.googleapis.com/acdb/wall-mounted/FtrGearWallGold.png")</f>
        <v/>
      </c>
      <c r="C175" s="28" t="s">
        <v>83</v>
      </c>
      <c r="D175" s="28" t="s">
        <v>83</v>
      </c>
      <c r="E175" s="28" t="s">
        <v>83</v>
      </c>
      <c r="F175" s="28" t="s">
        <v>83</v>
      </c>
      <c r="G175" s="28" t="s">
        <v>53</v>
      </c>
      <c r="H175" s="28" t="s">
        <v>40</v>
      </c>
      <c r="I175" s="28" t="s">
        <v>83</v>
      </c>
      <c r="J175" s="28" t="s">
        <v>51</v>
      </c>
      <c r="K175" s="28">
        <v>11125.0</v>
      </c>
      <c r="L175" s="28" t="s">
        <v>88</v>
      </c>
      <c r="M175" s="28" t="s">
        <v>55</v>
      </c>
      <c r="N175" s="28"/>
      <c r="O175" s="31" t="s">
        <v>89</v>
      </c>
      <c r="P175" s="28" t="s">
        <v>62</v>
      </c>
      <c r="Q175" s="28"/>
      <c r="R175" s="28"/>
      <c r="S175" s="28"/>
      <c r="T175" s="28" t="s">
        <v>53</v>
      </c>
      <c r="U175" s="28" t="s">
        <v>41</v>
      </c>
      <c r="V175" s="28" t="s">
        <v>54</v>
      </c>
      <c r="W175" s="28" t="s">
        <v>617</v>
      </c>
      <c r="X175" s="28" t="s">
        <v>83</v>
      </c>
      <c r="Y175" s="28">
        <v>11261.0</v>
      </c>
    </row>
    <row r="176" ht="56.25" customHeight="1">
      <c r="A176" s="28" t="s">
        <v>618</v>
      </c>
      <c r="B176" s="29" t="str">
        <f>IMAGE("https://storage.googleapis.com/acdb/wall-mounted/FtrInsectTonosamabattaFace.png")</f>
        <v/>
      </c>
      <c r="C176" s="28" t="s">
        <v>83</v>
      </c>
      <c r="D176" s="28" t="s">
        <v>83</v>
      </c>
      <c r="E176" s="28" t="s">
        <v>83</v>
      </c>
      <c r="F176" s="28" t="s">
        <v>83</v>
      </c>
      <c r="G176" s="34" t="s">
        <v>40</v>
      </c>
      <c r="H176" s="28" t="s">
        <v>40</v>
      </c>
      <c r="I176" s="28" t="s">
        <v>83</v>
      </c>
      <c r="J176" s="28">
        <v>1400.0</v>
      </c>
      <c r="K176" s="28">
        <v>350.0</v>
      </c>
      <c r="L176" s="28" t="s">
        <v>123</v>
      </c>
      <c r="M176" s="28" t="s">
        <v>44</v>
      </c>
      <c r="N176" s="28" t="s">
        <v>68</v>
      </c>
      <c r="O176" s="31" t="s">
        <v>89</v>
      </c>
      <c r="P176" s="28" t="s">
        <v>90</v>
      </c>
      <c r="Q176" s="28"/>
      <c r="R176" s="28"/>
      <c r="S176" s="28"/>
      <c r="T176" s="28" t="s">
        <v>40</v>
      </c>
      <c r="U176" s="28" t="s">
        <v>41</v>
      </c>
      <c r="V176" s="28" t="s">
        <v>43</v>
      </c>
      <c r="W176" s="28" t="s">
        <v>620</v>
      </c>
      <c r="X176" s="28" t="s">
        <v>83</v>
      </c>
      <c r="Y176" s="28">
        <v>11099.0</v>
      </c>
    </row>
    <row r="177" ht="56.25" customHeight="1">
      <c r="A177" s="28" t="s">
        <v>621</v>
      </c>
      <c r="B177" s="29" t="str">
        <f>IMAGE("https://storage.googleapis.com/acdb/wall-mounted/FtrHangingscroll_Remake_0_0.png")</f>
        <v/>
      </c>
      <c r="C177" s="28" t="s">
        <v>369</v>
      </c>
      <c r="D177" s="30" t="s">
        <v>83</v>
      </c>
      <c r="E177" s="28" t="s">
        <v>622</v>
      </c>
      <c r="F177" s="30" t="s">
        <v>225</v>
      </c>
      <c r="G177" s="28" t="s">
        <v>40</v>
      </c>
      <c r="H177" s="28" t="s">
        <v>53</v>
      </c>
      <c r="I177" s="28">
        <v>7.0</v>
      </c>
      <c r="J177" s="28">
        <v>140000.0</v>
      </c>
      <c r="K177" s="28">
        <v>35000.0</v>
      </c>
      <c r="L177" s="28" t="s">
        <v>623</v>
      </c>
      <c r="M177" s="28" t="s">
        <v>44</v>
      </c>
      <c r="N177" s="28" t="s">
        <v>65</v>
      </c>
      <c r="O177" s="31" t="s">
        <v>89</v>
      </c>
      <c r="P177" s="28" t="s">
        <v>161</v>
      </c>
      <c r="Q177" s="28" t="s">
        <v>62</v>
      </c>
      <c r="R177" s="28"/>
      <c r="S177" s="28"/>
      <c r="T177" s="28" t="s">
        <v>40</v>
      </c>
      <c r="U177" s="28" t="s">
        <v>41</v>
      </c>
      <c r="V177" s="28" t="s">
        <v>43</v>
      </c>
      <c r="W177" s="28" t="s">
        <v>625</v>
      </c>
      <c r="X177" s="28" t="s">
        <v>92</v>
      </c>
      <c r="Y177" s="28">
        <v>7282.0</v>
      </c>
    </row>
    <row r="178" ht="56.25" customHeight="1">
      <c r="A178" s="28" t="s">
        <v>621</v>
      </c>
      <c r="B178" s="29" t="str">
        <f>IMAGE("https://storage.googleapis.com/acdb/wall-mounted/FtrHangingscroll_Remake_0_1.png")</f>
        <v/>
      </c>
      <c r="C178" s="28" t="s">
        <v>369</v>
      </c>
      <c r="D178" s="30" t="s">
        <v>83</v>
      </c>
      <c r="E178" s="28" t="s">
        <v>627</v>
      </c>
      <c r="F178" s="30" t="s">
        <v>225</v>
      </c>
      <c r="G178" s="28" t="s">
        <v>40</v>
      </c>
      <c r="H178" s="28" t="s">
        <v>53</v>
      </c>
      <c r="I178" s="28">
        <v>7.0</v>
      </c>
      <c r="J178" s="28">
        <v>140000.0</v>
      </c>
      <c r="K178" s="28">
        <v>35000.0</v>
      </c>
      <c r="L178" s="28" t="s">
        <v>623</v>
      </c>
      <c r="M178" s="28" t="s">
        <v>44</v>
      </c>
      <c r="N178" s="28" t="s">
        <v>65</v>
      </c>
      <c r="O178" s="31" t="s">
        <v>89</v>
      </c>
      <c r="P178" s="28" t="s">
        <v>161</v>
      </c>
      <c r="Q178" s="28" t="s">
        <v>62</v>
      </c>
      <c r="R178" s="28"/>
      <c r="S178" s="28"/>
      <c r="T178" s="28" t="s">
        <v>40</v>
      </c>
      <c r="U178" s="28" t="s">
        <v>41</v>
      </c>
      <c r="V178" s="28" t="s">
        <v>43</v>
      </c>
      <c r="W178" s="28" t="s">
        <v>628</v>
      </c>
      <c r="X178" s="28" t="s">
        <v>141</v>
      </c>
      <c r="Y178" s="28">
        <v>7282.0</v>
      </c>
    </row>
    <row r="179" ht="56.25" customHeight="1">
      <c r="A179" s="28" t="s">
        <v>621</v>
      </c>
      <c r="B179" s="29" t="str">
        <f>IMAGE("https://storage.googleapis.com/acdb/wall-mounted/FtrHangingscroll_Remake_0_2.png")</f>
        <v/>
      </c>
      <c r="C179" s="28" t="s">
        <v>369</v>
      </c>
      <c r="D179" s="30" t="s">
        <v>83</v>
      </c>
      <c r="E179" s="28" t="s">
        <v>311</v>
      </c>
      <c r="F179" s="30" t="s">
        <v>225</v>
      </c>
      <c r="G179" s="28" t="s">
        <v>40</v>
      </c>
      <c r="H179" s="28" t="s">
        <v>53</v>
      </c>
      <c r="I179" s="28">
        <v>7.0</v>
      </c>
      <c r="J179" s="28">
        <v>140000.0</v>
      </c>
      <c r="K179" s="28">
        <v>35000.0</v>
      </c>
      <c r="L179" s="28" t="s">
        <v>623</v>
      </c>
      <c r="M179" s="28" t="s">
        <v>44</v>
      </c>
      <c r="N179" s="28" t="s">
        <v>65</v>
      </c>
      <c r="O179" s="31" t="s">
        <v>89</v>
      </c>
      <c r="P179" s="28" t="s">
        <v>161</v>
      </c>
      <c r="Q179" s="28" t="s">
        <v>62</v>
      </c>
      <c r="R179" s="28"/>
      <c r="S179" s="28"/>
      <c r="T179" s="28" t="s">
        <v>40</v>
      </c>
      <c r="U179" s="28" t="s">
        <v>41</v>
      </c>
      <c r="V179" s="28" t="s">
        <v>43</v>
      </c>
      <c r="W179" s="28" t="s">
        <v>629</v>
      </c>
      <c r="X179" s="28" t="s">
        <v>317</v>
      </c>
      <c r="Y179" s="28">
        <v>7282.0</v>
      </c>
    </row>
    <row r="180" ht="56.25" customHeight="1">
      <c r="A180" s="28" t="s">
        <v>621</v>
      </c>
      <c r="B180" s="29" t="str">
        <f>IMAGE("https://storage.googleapis.com/acdb/wall-mounted/FtrHangingscroll_Remake_0_3.png")</f>
        <v/>
      </c>
      <c r="C180" s="28" t="s">
        <v>369</v>
      </c>
      <c r="D180" s="30" t="s">
        <v>83</v>
      </c>
      <c r="E180" s="28" t="s">
        <v>632</v>
      </c>
      <c r="F180" s="30" t="s">
        <v>225</v>
      </c>
      <c r="G180" s="28" t="s">
        <v>40</v>
      </c>
      <c r="H180" s="28" t="s">
        <v>53</v>
      </c>
      <c r="I180" s="28">
        <v>7.0</v>
      </c>
      <c r="J180" s="28">
        <v>140000.0</v>
      </c>
      <c r="K180" s="28">
        <v>35000.0</v>
      </c>
      <c r="L180" s="28" t="s">
        <v>623</v>
      </c>
      <c r="M180" s="28" t="s">
        <v>44</v>
      </c>
      <c r="N180" s="28" t="s">
        <v>65</v>
      </c>
      <c r="O180" s="31" t="s">
        <v>89</v>
      </c>
      <c r="P180" s="28" t="s">
        <v>161</v>
      </c>
      <c r="Q180" s="28" t="s">
        <v>62</v>
      </c>
      <c r="R180" s="28"/>
      <c r="S180" s="28"/>
      <c r="T180" s="28" t="s">
        <v>40</v>
      </c>
      <c r="U180" s="28" t="s">
        <v>41</v>
      </c>
      <c r="V180" s="28" t="s">
        <v>43</v>
      </c>
      <c r="W180" s="28" t="s">
        <v>633</v>
      </c>
      <c r="X180" s="28" t="s">
        <v>634</v>
      </c>
      <c r="Y180" s="28">
        <v>7282.0</v>
      </c>
    </row>
    <row r="181" ht="56.25" customHeight="1">
      <c r="A181" s="28" t="s">
        <v>621</v>
      </c>
      <c r="B181" s="29" t="str">
        <f>IMAGE("https://storage.googleapis.com/acdb/wall-mounted/FtrHangingscroll_Remake_0_4.png")</f>
        <v/>
      </c>
      <c r="C181" s="28" t="s">
        <v>369</v>
      </c>
      <c r="D181" s="30" t="s">
        <v>83</v>
      </c>
      <c r="E181" s="28" t="s">
        <v>314</v>
      </c>
      <c r="F181" s="30" t="s">
        <v>225</v>
      </c>
      <c r="G181" s="28" t="s">
        <v>40</v>
      </c>
      <c r="H181" s="28" t="s">
        <v>53</v>
      </c>
      <c r="I181" s="28">
        <v>7.0</v>
      </c>
      <c r="J181" s="28">
        <v>140000.0</v>
      </c>
      <c r="K181" s="28">
        <v>35000.0</v>
      </c>
      <c r="L181" s="28" t="s">
        <v>623</v>
      </c>
      <c r="M181" s="28" t="s">
        <v>44</v>
      </c>
      <c r="N181" s="28" t="s">
        <v>65</v>
      </c>
      <c r="O181" s="31" t="s">
        <v>89</v>
      </c>
      <c r="P181" s="28" t="s">
        <v>161</v>
      </c>
      <c r="Q181" s="28" t="s">
        <v>62</v>
      </c>
      <c r="R181" s="28"/>
      <c r="S181" s="28"/>
      <c r="T181" s="28" t="s">
        <v>40</v>
      </c>
      <c r="U181" s="28" t="s">
        <v>41</v>
      </c>
      <c r="V181" s="28" t="s">
        <v>43</v>
      </c>
      <c r="W181" s="28" t="s">
        <v>635</v>
      </c>
      <c r="X181" s="28" t="s">
        <v>636</v>
      </c>
      <c r="Y181" s="28">
        <v>7282.0</v>
      </c>
    </row>
    <row r="182" ht="56.25" customHeight="1">
      <c r="A182" s="28" t="s">
        <v>621</v>
      </c>
      <c r="B182" s="29" t="str">
        <f>IMAGE("https://storage.googleapis.com/acdb/wall-mounted/FtrHangingscroll_Remake_1_0.png")</f>
        <v/>
      </c>
      <c r="C182" s="28" t="s">
        <v>118</v>
      </c>
      <c r="D182" s="30" t="s">
        <v>83</v>
      </c>
      <c r="E182" s="28" t="s">
        <v>622</v>
      </c>
      <c r="F182" s="30" t="s">
        <v>225</v>
      </c>
      <c r="G182" s="28" t="s">
        <v>40</v>
      </c>
      <c r="H182" s="28" t="s">
        <v>53</v>
      </c>
      <c r="I182" s="28">
        <v>7.0</v>
      </c>
      <c r="J182" s="28">
        <v>140000.0</v>
      </c>
      <c r="K182" s="28">
        <v>35000.0</v>
      </c>
      <c r="L182" s="28" t="s">
        <v>623</v>
      </c>
      <c r="M182" s="28" t="s">
        <v>44</v>
      </c>
      <c r="N182" s="28" t="s">
        <v>65</v>
      </c>
      <c r="O182" s="31" t="s">
        <v>89</v>
      </c>
      <c r="P182" s="28" t="s">
        <v>161</v>
      </c>
      <c r="Q182" s="28" t="s">
        <v>62</v>
      </c>
      <c r="R182" s="28"/>
      <c r="S182" s="28"/>
      <c r="T182" s="28" t="s">
        <v>40</v>
      </c>
      <c r="U182" s="28" t="s">
        <v>41</v>
      </c>
      <c r="V182" s="28" t="s">
        <v>43</v>
      </c>
      <c r="W182" s="28" t="s">
        <v>639</v>
      </c>
      <c r="X182" s="28" t="s">
        <v>97</v>
      </c>
      <c r="Y182" s="28">
        <v>7282.0</v>
      </c>
    </row>
    <row r="183" ht="56.25" customHeight="1">
      <c r="A183" s="28" t="s">
        <v>621</v>
      </c>
      <c r="B183" s="29" t="str">
        <f>IMAGE("https://storage.googleapis.com/acdb/wall-mounted/FtrHangingscroll_Remake_1_1.png")</f>
        <v/>
      </c>
      <c r="C183" s="28" t="s">
        <v>118</v>
      </c>
      <c r="D183" s="30" t="s">
        <v>83</v>
      </c>
      <c r="E183" s="28" t="s">
        <v>627</v>
      </c>
      <c r="F183" s="30" t="s">
        <v>225</v>
      </c>
      <c r="G183" s="28" t="s">
        <v>40</v>
      </c>
      <c r="H183" s="28" t="s">
        <v>53</v>
      </c>
      <c r="I183" s="28">
        <v>7.0</v>
      </c>
      <c r="J183" s="28">
        <v>140000.0</v>
      </c>
      <c r="K183" s="28">
        <v>35000.0</v>
      </c>
      <c r="L183" s="28" t="s">
        <v>623</v>
      </c>
      <c r="M183" s="28" t="s">
        <v>44</v>
      </c>
      <c r="N183" s="28" t="s">
        <v>65</v>
      </c>
      <c r="O183" s="31" t="s">
        <v>89</v>
      </c>
      <c r="P183" s="28" t="s">
        <v>161</v>
      </c>
      <c r="Q183" s="28" t="s">
        <v>62</v>
      </c>
      <c r="R183" s="28"/>
      <c r="S183" s="28"/>
      <c r="T183" s="28" t="s">
        <v>40</v>
      </c>
      <c r="U183" s="28" t="s">
        <v>41</v>
      </c>
      <c r="V183" s="28" t="s">
        <v>43</v>
      </c>
      <c r="W183" s="28" t="s">
        <v>641</v>
      </c>
      <c r="X183" s="28" t="s">
        <v>148</v>
      </c>
      <c r="Y183" s="28">
        <v>7282.0</v>
      </c>
    </row>
    <row r="184" ht="56.25" customHeight="1">
      <c r="A184" s="28" t="s">
        <v>621</v>
      </c>
      <c r="B184" s="29" t="str">
        <f>IMAGE("https://storage.googleapis.com/acdb/wall-mounted/FtrHangingscroll_Remake_1_2.png")</f>
        <v/>
      </c>
      <c r="C184" s="28" t="s">
        <v>118</v>
      </c>
      <c r="D184" s="30" t="s">
        <v>83</v>
      </c>
      <c r="E184" s="28" t="s">
        <v>311</v>
      </c>
      <c r="F184" s="30" t="s">
        <v>225</v>
      </c>
      <c r="G184" s="28" t="s">
        <v>40</v>
      </c>
      <c r="H184" s="28" t="s">
        <v>53</v>
      </c>
      <c r="I184" s="28">
        <v>7.0</v>
      </c>
      <c r="J184" s="28">
        <v>140000.0</v>
      </c>
      <c r="K184" s="28">
        <v>35000.0</v>
      </c>
      <c r="L184" s="28" t="s">
        <v>623</v>
      </c>
      <c r="M184" s="28" t="s">
        <v>44</v>
      </c>
      <c r="N184" s="28" t="s">
        <v>65</v>
      </c>
      <c r="O184" s="31" t="s">
        <v>89</v>
      </c>
      <c r="P184" s="28" t="s">
        <v>161</v>
      </c>
      <c r="Q184" s="28" t="s">
        <v>62</v>
      </c>
      <c r="R184" s="28"/>
      <c r="S184" s="28"/>
      <c r="T184" s="28" t="s">
        <v>40</v>
      </c>
      <c r="U184" s="28" t="s">
        <v>41</v>
      </c>
      <c r="V184" s="28" t="s">
        <v>43</v>
      </c>
      <c r="W184" s="28" t="s">
        <v>643</v>
      </c>
      <c r="X184" s="28" t="s">
        <v>326</v>
      </c>
      <c r="Y184" s="28">
        <v>7282.0</v>
      </c>
    </row>
    <row r="185" ht="56.25" customHeight="1">
      <c r="A185" s="28" t="s">
        <v>621</v>
      </c>
      <c r="B185" s="29" t="str">
        <f>IMAGE("https://storage.googleapis.com/acdb/wall-mounted/FtrHangingscroll_Remake_1_3.png")</f>
        <v/>
      </c>
      <c r="C185" s="28" t="s">
        <v>118</v>
      </c>
      <c r="D185" s="30" t="s">
        <v>83</v>
      </c>
      <c r="E185" s="28" t="s">
        <v>632</v>
      </c>
      <c r="F185" s="30" t="s">
        <v>225</v>
      </c>
      <c r="G185" s="28" t="s">
        <v>40</v>
      </c>
      <c r="H185" s="28" t="s">
        <v>53</v>
      </c>
      <c r="I185" s="28">
        <v>7.0</v>
      </c>
      <c r="J185" s="28">
        <v>140000.0</v>
      </c>
      <c r="K185" s="28">
        <v>35000.0</v>
      </c>
      <c r="L185" s="28" t="s">
        <v>623</v>
      </c>
      <c r="M185" s="28" t="s">
        <v>44</v>
      </c>
      <c r="N185" s="28" t="s">
        <v>65</v>
      </c>
      <c r="O185" s="31" t="s">
        <v>89</v>
      </c>
      <c r="P185" s="28" t="s">
        <v>161</v>
      </c>
      <c r="Q185" s="28" t="s">
        <v>62</v>
      </c>
      <c r="R185" s="28"/>
      <c r="S185" s="28"/>
      <c r="T185" s="28" t="s">
        <v>40</v>
      </c>
      <c r="U185" s="28" t="s">
        <v>41</v>
      </c>
      <c r="V185" s="28" t="s">
        <v>43</v>
      </c>
      <c r="W185" s="28" t="s">
        <v>645</v>
      </c>
      <c r="X185" s="28" t="s">
        <v>646</v>
      </c>
      <c r="Y185" s="28">
        <v>7282.0</v>
      </c>
    </row>
    <row r="186" ht="56.25" customHeight="1">
      <c r="A186" s="28" t="s">
        <v>621</v>
      </c>
      <c r="B186" s="29" t="str">
        <f>IMAGE("https://storage.googleapis.com/acdb/wall-mounted/FtrHangingscroll_Remake_1_4.png")</f>
        <v/>
      </c>
      <c r="C186" s="28" t="s">
        <v>118</v>
      </c>
      <c r="D186" s="30" t="s">
        <v>83</v>
      </c>
      <c r="E186" s="28" t="s">
        <v>314</v>
      </c>
      <c r="F186" s="30" t="s">
        <v>225</v>
      </c>
      <c r="G186" s="28" t="s">
        <v>40</v>
      </c>
      <c r="H186" s="28" t="s">
        <v>53</v>
      </c>
      <c r="I186" s="28">
        <v>7.0</v>
      </c>
      <c r="J186" s="28">
        <v>140000.0</v>
      </c>
      <c r="K186" s="28">
        <v>35000.0</v>
      </c>
      <c r="L186" s="28" t="s">
        <v>623</v>
      </c>
      <c r="M186" s="28" t="s">
        <v>44</v>
      </c>
      <c r="N186" s="28" t="s">
        <v>65</v>
      </c>
      <c r="O186" s="31" t="s">
        <v>89</v>
      </c>
      <c r="P186" s="28" t="s">
        <v>161</v>
      </c>
      <c r="Q186" s="28" t="s">
        <v>62</v>
      </c>
      <c r="R186" s="28"/>
      <c r="S186" s="28"/>
      <c r="T186" s="28" t="s">
        <v>40</v>
      </c>
      <c r="U186" s="28" t="s">
        <v>41</v>
      </c>
      <c r="V186" s="28" t="s">
        <v>43</v>
      </c>
      <c r="W186" s="28" t="s">
        <v>648</v>
      </c>
      <c r="X186" s="28" t="s">
        <v>649</v>
      </c>
      <c r="Y186" s="28">
        <v>7282.0</v>
      </c>
    </row>
    <row r="187" ht="56.25" customHeight="1">
      <c r="A187" s="28" t="s">
        <v>621</v>
      </c>
      <c r="B187" s="29" t="str">
        <f>IMAGE("https://storage.googleapis.com/acdb/wall-mounted/FtrHangingscroll_Remake_2_0.png")</f>
        <v/>
      </c>
      <c r="C187" s="28" t="s">
        <v>107</v>
      </c>
      <c r="D187" s="30" t="s">
        <v>83</v>
      </c>
      <c r="E187" s="28" t="s">
        <v>622</v>
      </c>
      <c r="F187" s="30" t="s">
        <v>225</v>
      </c>
      <c r="G187" s="28" t="s">
        <v>40</v>
      </c>
      <c r="H187" s="28" t="s">
        <v>53</v>
      </c>
      <c r="I187" s="28">
        <v>7.0</v>
      </c>
      <c r="J187" s="28">
        <v>140000.0</v>
      </c>
      <c r="K187" s="28">
        <v>35000.0</v>
      </c>
      <c r="L187" s="28" t="s">
        <v>623</v>
      </c>
      <c r="M187" s="28" t="s">
        <v>44</v>
      </c>
      <c r="N187" s="28" t="s">
        <v>65</v>
      </c>
      <c r="O187" s="31" t="s">
        <v>89</v>
      </c>
      <c r="P187" s="28" t="s">
        <v>161</v>
      </c>
      <c r="Q187" s="28" t="s">
        <v>62</v>
      </c>
      <c r="R187" s="28"/>
      <c r="S187" s="28"/>
      <c r="T187" s="28" t="s">
        <v>40</v>
      </c>
      <c r="U187" s="28" t="s">
        <v>41</v>
      </c>
      <c r="V187" s="28" t="s">
        <v>43</v>
      </c>
      <c r="W187" s="28" t="s">
        <v>651</v>
      </c>
      <c r="X187" s="28" t="s">
        <v>103</v>
      </c>
      <c r="Y187" s="28">
        <v>7282.0</v>
      </c>
    </row>
    <row r="188" ht="56.25" customHeight="1">
      <c r="A188" s="28" t="s">
        <v>621</v>
      </c>
      <c r="B188" s="29" t="str">
        <f>IMAGE("https://storage.googleapis.com/acdb/wall-mounted/FtrHangingscroll_Remake_2_1.png")</f>
        <v/>
      </c>
      <c r="C188" s="28" t="s">
        <v>107</v>
      </c>
      <c r="D188" s="30" t="s">
        <v>83</v>
      </c>
      <c r="E188" s="28" t="s">
        <v>627</v>
      </c>
      <c r="F188" s="30" t="s">
        <v>225</v>
      </c>
      <c r="G188" s="28" t="s">
        <v>40</v>
      </c>
      <c r="H188" s="28" t="s">
        <v>53</v>
      </c>
      <c r="I188" s="28">
        <v>7.0</v>
      </c>
      <c r="J188" s="28">
        <v>140000.0</v>
      </c>
      <c r="K188" s="28">
        <v>35000.0</v>
      </c>
      <c r="L188" s="28" t="s">
        <v>623</v>
      </c>
      <c r="M188" s="28" t="s">
        <v>44</v>
      </c>
      <c r="N188" s="28" t="s">
        <v>65</v>
      </c>
      <c r="O188" s="31" t="s">
        <v>89</v>
      </c>
      <c r="P188" s="28" t="s">
        <v>161</v>
      </c>
      <c r="Q188" s="28" t="s">
        <v>62</v>
      </c>
      <c r="R188" s="28"/>
      <c r="S188" s="28"/>
      <c r="T188" s="28" t="s">
        <v>40</v>
      </c>
      <c r="U188" s="28" t="s">
        <v>41</v>
      </c>
      <c r="V188" s="28" t="s">
        <v>43</v>
      </c>
      <c r="W188" s="28" t="s">
        <v>653</v>
      </c>
      <c r="X188" s="28" t="s">
        <v>155</v>
      </c>
      <c r="Y188" s="28">
        <v>7282.0</v>
      </c>
    </row>
    <row r="189" ht="56.25" customHeight="1">
      <c r="A189" s="28" t="s">
        <v>621</v>
      </c>
      <c r="B189" s="29" t="str">
        <f>IMAGE("https://storage.googleapis.com/acdb/wall-mounted/FtrHangingscroll_Remake_2_2.png")</f>
        <v/>
      </c>
      <c r="C189" s="28" t="s">
        <v>107</v>
      </c>
      <c r="D189" s="30" t="s">
        <v>83</v>
      </c>
      <c r="E189" s="28" t="s">
        <v>311</v>
      </c>
      <c r="F189" s="30" t="s">
        <v>225</v>
      </c>
      <c r="G189" s="28" t="s">
        <v>40</v>
      </c>
      <c r="H189" s="28" t="s">
        <v>53</v>
      </c>
      <c r="I189" s="28">
        <v>7.0</v>
      </c>
      <c r="J189" s="28">
        <v>140000.0</v>
      </c>
      <c r="K189" s="28">
        <v>35000.0</v>
      </c>
      <c r="L189" s="28" t="s">
        <v>623</v>
      </c>
      <c r="M189" s="28" t="s">
        <v>44</v>
      </c>
      <c r="N189" s="28" t="s">
        <v>65</v>
      </c>
      <c r="O189" s="31" t="s">
        <v>89</v>
      </c>
      <c r="P189" s="28" t="s">
        <v>161</v>
      </c>
      <c r="Q189" s="28" t="s">
        <v>62</v>
      </c>
      <c r="R189" s="28"/>
      <c r="S189" s="28"/>
      <c r="T189" s="28" t="s">
        <v>40</v>
      </c>
      <c r="U189" s="28" t="s">
        <v>41</v>
      </c>
      <c r="V189" s="28" t="s">
        <v>43</v>
      </c>
      <c r="W189" s="28" t="s">
        <v>655</v>
      </c>
      <c r="X189" s="28" t="s">
        <v>335</v>
      </c>
      <c r="Y189" s="28">
        <v>7282.0</v>
      </c>
    </row>
    <row r="190" ht="56.25" customHeight="1">
      <c r="A190" s="28" t="s">
        <v>621</v>
      </c>
      <c r="B190" s="29" t="str">
        <f>IMAGE("https://storage.googleapis.com/acdb/wall-mounted/FtrHangingscroll_Remake_2_3.png")</f>
        <v/>
      </c>
      <c r="C190" s="28" t="s">
        <v>107</v>
      </c>
      <c r="D190" s="30" t="s">
        <v>83</v>
      </c>
      <c r="E190" s="28" t="s">
        <v>632</v>
      </c>
      <c r="F190" s="30" t="s">
        <v>225</v>
      </c>
      <c r="G190" s="28" t="s">
        <v>40</v>
      </c>
      <c r="H190" s="28" t="s">
        <v>53</v>
      </c>
      <c r="I190" s="28">
        <v>7.0</v>
      </c>
      <c r="J190" s="28">
        <v>140000.0</v>
      </c>
      <c r="K190" s="28">
        <v>35000.0</v>
      </c>
      <c r="L190" s="28" t="s">
        <v>623</v>
      </c>
      <c r="M190" s="28" t="s">
        <v>44</v>
      </c>
      <c r="N190" s="28" t="s">
        <v>65</v>
      </c>
      <c r="O190" s="31" t="s">
        <v>89</v>
      </c>
      <c r="P190" s="28" t="s">
        <v>161</v>
      </c>
      <c r="Q190" s="28" t="s">
        <v>62</v>
      </c>
      <c r="R190" s="28"/>
      <c r="S190" s="28"/>
      <c r="T190" s="28" t="s">
        <v>40</v>
      </c>
      <c r="U190" s="28" t="s">
        <v>41</v>
      </c>
      <c r="V190" s="28" t="s">
        <v>43</v>
      </c>
      <c r="W190" s="28" t="s">
        <v>657</v>
      </c>
      <c r="X190" s="28" t="s">
        <v>658</v>
      </c>
      <c r="Y190" s="28">
        <v>7282.0</v>
      </c>
    </row>
    <row r="191" ht="56.25" customHeight="1">
      <c r="A191" s="28" t="s">
        <v>621</v>
      </c>
      <c r="B191" s="29" t="str">
        <f>IMAGE("https://storage.googleapis.com/acdb/wall-mounted/FtrHangingscroll_Remake_2_4.png")</f>
        <v/>
      </c>
      <c r="C191" s="28" t="s">
        <v>107</v>
      </c>
      <c r="D191" s="30" t="s">
        <v>83</v>
      </c>
      <c r="E191" s="28" t="s">
        <v>314</v>
      </c>
      <c r="F191" s="30" t="s">
        <v>225</v>
      </c>
      <c r="G191" s="28" t="s">
        <v>40</v>
      </c>
      <c r="H191" s="28" t="s">
        <v>53</v>
      </c>
      <c r="I191" s="28">
        <v>7.0</v>
      </c>
      <c r="J191" s="28">
        <v>140000.0</v>
      </c>
      <c r="K191" s="28">
        <v>35000.0</v>
      </c>
      <c r="L191" s="28" t="s">
        <v>623</v>
      </c>
      <c r="M191" s="28" t="s">
        <v>44</v>
      </c>
      <c r="N191" s="28" t="s">
        <v>65</v>
      </c>
      <c r="O191" s="31" t="s">
        <v>89</v>
      </c>
      <c r="P191" s="28" t="s">
        <v>161</v>
      </c>
      <c r="Q191" s="28" t="s">
        <v>62</v>
      </c>
      <c r="R191" s="28"/>
      <c r="S191" s="28"/>
      <c r="T191" s="28" t="s">
        <v>40</v>
      </c>
      <c r="U191" s="28" t="s">
        <v>41</v>
      </c>
      <c r="V191" s="28" t="s">
        <v>43</v>
      </c>
      <c r="W191" s="28" t="s">
        <v>659</v>
      </c>
      <c r="X191" s="28" t="s">
        <v>660</v>
      </c>
      <c r="Y191" s="28">
        <v>7282.0</v>
      </c>
    </row>
    <row r="192" ht="56.25" customHeight="1">
      <c r="A192" s="28" t="s">
        <v>621</v>
      </c>
      <c r="B192" s="29" t="str">
        <f>IMAGE("https://storage.googleapis.com/acdb/wall-mounted/FtrHangingscroll_Remake_3_0.png")</f>
        <v/>
      </c>
      <c r="C192" s="28" t="s">
        <v>112</v>
      </c>
      <c r="D192" s="30" t="s">
        <v>83</v>
      </c>
      <c r="E192" s="28" t="s">
        <v>622</v>
      </c>
      <c r="F192" s="30" t="s">
        <v>225</v>
      </c>
      <c r="G192" s="28" t="s">
        <v>40</v>
      </c>
      <c r="H192" s="28" t="s">
        <v>53</v>
      </c>
      <c r="I192" s="28">
        <v>7.0</v>
      </c>
      <c r="J192" s="28">
        <v>140000.0</v>
      </c>
      <c r="K192" s="28">
        <v>35000.0</v>
      </c>
      <c r="L192" s="28" t="s">
        <v>623</v>
      </c>
      <c r="M192" s="28" t="s">
        <v>44</v>
      </c>
      <c r="N192" s="28" t="s">
        <v>65</v>
      </c>
      <c r="O192" s="31" t="s">
        <v>89</v>
      </c>
      <c r="P192" s="28" t="s">
        <v>161</v>
      </c>
      <c r="Q192" s="28" t="s">
        <v>62</v>
      </c>
      <c r="R192" s="28"/>
      <c r="S192" s="28"/>
      <c r="T192" s="28" t="s">
        <v>40</v>
      </c>
      <c r="U192" s="28" t="s">
        <v>41</v>
      </c>
      <c r="V192" s="28" t="s">
        <v>43</v>
      </c>
      <c r="W192" s="28" t="s">
        <v>663</v>
      </c>
      <c r="X192" s="28" t="s">
        <v>110</v>
      </c>
      <c r="Y192" s="28">
        <v>7282.0</v>
      </c>
    </row>
    <row r="193" ht="56.25" customHeight="1">
      <c r="A193" s="28" t="s">
        <v>621</v>
      </c>
      <c r="B193" s="29" t="str">
        <f>IMAGE("https://storage.googleapis.com/acdb/wall-mounted/FtrHangingscroll_Remake_3_1.png")</f>
        <v/>
      </c>
      <c r="C193" s="28" t="s">
        <v>112</v>
      </c>
      <c r="D193" s="30" t="s">
        <v>83</v>
      </c>
      <c r="E193" s="28" t="s">
        <v>627</v>
      </c>
      <c r="F193" s="30" t="s">
        <v>225</v>
      </c>
      <c r="G193" s="28" t="s">
        <v>40</v>
      </c>
      <c r="H193" s="28" t="s">
        <v>53</v>
      </c>
      <c r="I193" s="28">
        <v>7.0</v>
      </c>
      <c r="J193" s="28">
        <v>140000.0</v>
      </c>
      <c r="K193" s="28">
        <v>35000.0</v>
      </c>
      <c r="L193" s="28" t="s">
        <v>623</v>
      </c>
      <c r="M193" s="28" t="s">
        <v>44</v>
      </c>
      <c r="N193" s="28" t="s">
        <v>65</v>
      </c>
      <c r="O193" s="31" t="s">
        <v>89</v>
      </c>
      <c r="P193" s="28" t="s">
        <v>161</v>
      </c>
      <c r="Q193" s="28" t="s">
        <v>62</v>
      </c>
      <c r="R193" s="28"/>
      <c r="S193" s="28"/>
      <c r="T193" s="28" t="s">
        <v>40</v>
      </c>
      <c r="U193" s="28" t="s">
        <v>41</v>
      </c>
      <c r="V193" s="28" t="s">
        <v>43</v>
      </c>
      <c r="W193" s="28" t="s">
        <v>664</v>
      </c>
      <c r="X193" s="28" t="s">
        <v>163</v>
      </c>
      <c r="Y193" s="28">
        <v>7282.0</v>
      </c>
    </row>
    <row r="194" ht="56.25" customHeight="1">
      <c r="A194" s="28" t="s">
        <v>621</v>
      </c>
      <c r="B194" s="29" t="str">
        <f>IMAGE("https://storage.googleapis.com/acdb/wall-mounted/FtrHangingscroll_Remake_3_2.png")</f>
        <v/>
      </c>
      <c r="C194" s="28" t="s">
        <v>112</v>
      </c>
      <c r="D194" s="30" t="s">
        <v>83</v>
      </c>
      <c r="E194" s="28" t="s">
        <v>311</v>
      </c>
      <c r="F194" s="30" t="s">
        <v>225</v>
      </c>
      <c r="G194" s="28" t="s">
        <v>40</v>
      </c>
      <c r="H194" s="28" t="s">
        <v>53</v>
      </c>
      <c r="I194" s="28">
        <v>7.0</v>
      </c>
      <c r="J194" s="28">
        <v>140000.0</v>
      </c>
      <c r="K194" s="28">
        <v>35000.0</v>
      </c>
      <c r="L194" s="28" t="s">
        <v>623</v>
      </c>
      <c r="M194" s="28" t="s">
        <v>44</v>
      </c>
      <c r="N194" s="28" t="s">
        <v>65</v>
      </c>
      <c r="O194" s="31" t="s">
        <v>89</v>
      </c>
      <c r="P194" s="28" t="s">
        <v>161</v>
      </c>
      <c r="Q194" s="28" t="s">
        <v>62</v>
      </c>
      <c r="R194" s="28"/>
      <c r="S194" s="28"/>
      <c r="T194" s="28" t="s">
        <v>40</v>
      </c>
      <c r="U194" s="28" t="s">
        <v>41</v>
      </c>
      <c r="V194" s="28" t="s">
        <v>43</v>
      </c>
      <c r="W194" s="28" t="s">
        <v>667</v>
      </c>
      <c r="X194" s="28" t="s">
        <v>447</v>
      </c>
      <c r="Y194" s="28">
        <v>7282.0</v>
      </c>
    </row>
    <row r="195" ht="56.25" customHeight="1">
      <c r="A195" s="28" t="s">
        <v>621</v>
      </c>
      <c r="B195" s="29" t="str">
        <f>IMAGE("https://storage.googleapis.com/acdb/wall-mounted/FtrHangingscroll_Remake_3_3.png")</f>
        <v/>
      </c>
      <c r="C195" s="28" t="s">
        <v>112</v>
      </c>
      <c r="D195" s="30" t="s">
        <v>83</v>
      </c>
      <c r="E195" s="28" t="s">
        <v>632</v>
      </c>
      <c r="F195" s="30" t="s">
        <v>225</v>
      </c>
      <c r="G195" s="28" t="s">
        <v>40</v>
      </c>
      <c r="H195" s="28" t="s">
        <v>53</v>
      </c>
      <c r="I195" s="28">
        <v>7.0</v>
      </c>
      <c r="J195" s="28">
        <v>140000.0</v>
      </c>
      <c r="K195" s="28">
        <v>35000.0</v>
      </c>
      <c r="L195" s="28" t="s">
        <v>623</v>
      </c>
      <c r="M195" s="28" t="s">
        <v>44</v>
      </c>
      <c r="N195" s="28" t="s">
        <v>65</v>
      </c>
      <c r="O195" s="31" t="s">
        <v>89</v>
      </c>
      <c r="P195" s="28" t="s">
        <v>161</v>
      </c>
      <c r="Q195" s="28" t="s">
        <v>62</v>
      </c>
      <c r="R195" s="28"/>
      <c r="S195" s="28"/>
      <c r="T195" s="28" t="s">
        <v>40</v>
      </c>
      <c r="U195" s="28" t="s">
        <v>41</v>
      </c>
      <c r="V195" s="28" t="s">
        <v>43</v>
      </c>
      <c r="W195" s="28" t="s">
        <v>668</v>
      </c>
      <c r="X195" s="28" t="s">
        <v>669</v>
      </c>
      <c r="Y195" s="28">
        <v>7282.0</v>
      </c>
    </row>
    <row r="196" ht="56.25" customHeight="1">
      <c r="A196" s="28" t="s">
        <v>621</v>
      </c>
      <c r="B196" s="29" t="str">
        <f>IMAGE("https://storage.googleapis.com/acdb/wall-mounted/FtrHangingscroll_Remake_3_4.png")</f>
        <v/>
      </c>
      <c r="C196" s="28" t="s">
        <v>112</v>
      </c>
      <c r="D196" s="30" t="s">
        <v>83</v>
      </c>
      <c r="E196" s="28" t="s">
        <v>314</v>
      </c>
      <c r="F196" s="30" t="s">
        <v>225</v>
      </c>
      <c r="G196" s="28" t="s">
        <v>40</v>
      </c>
      <c r="H196" s="28" t="s">
        <v>53</v>
      </c>
      <c r="I196" s="28">
        <v>7.0</v>
      </c>
      <c r="J196" s="28">
        <v>140000.0</v>
      </c>
      <c r="K196" s="28">
        <v>35000.0</v>
      </c>
      <c r="L196" s="28" t="s">
        <v>623</v>
      </c>
      <c r="M196" s="28" t="s">
        <v>44</v>
      </c>
      <c r="N196" s="28" t="s">
        <v>65</v>
      </c>
      <c r="O196" s="31" t="s">
        <v>89</v>
      </c>
      <c r="P196" s="28" t="s">
        <v>161</v>
      </c>
      <c r="Q196" s="28" t="s">
        <v>62</v>
      </c>
      <c r="R196" s="28"/>
      <c r="S196" s="28"/>
      <c r="T196" s="28" t="s">
        <v>40</v>
      </c>
      <c r="U196" s="28" t="s">
        <v>41</v>
      </c>
      <c r="V196" s="28" t="s">
        <v>43</v>
      </c>
      <c r="W196" s="28" t="s">
        <v>672</v>
      </c>
      <c r="X196" s="28" t="s">
        <v>673</v>
      </c>
      <c r="Y196" s="28">
        <v>7282.0</v>
      </c>
    </row>
    <row r="197" ht="56.25" customHeight="1">
      <c r="A197" s="28" t="s">
        <v>621</v>
      </c>
      <c r="B197" s="29" t="str">
        <f>IMAGE("https://storage.googleapis.com/acdb/wall-mounted/FtrHangingscroll_Remake_4_0.png")</f>
        <v/>
      </c>
      <c r="C197" s="28" t="s">
        <v>464</v>
      </c>
      <c r="D197" s="30" t="s">
        <v>83</v>
      </c>
      <c r="E197" s="28" t="s">
        <v>622</v>
      </c>
      <c r="F197" s="30" t="s">
        <v>225</v>
      </c>
      <c r="G197" s="28" t="s">
        <v>40</v>
      </c>
      <c r="H197" s="28" t="s">
        <v>53</v>
      </c>
      <c r="I197" s="28">
        <v>7.0</v>
      </c>
      <c r="J197" s="28">
        <v>140000.0</v>
      </c>
      <c r="K197" s="28">
        <v>35000.0</v>
      </c>
      <c r="L197" s="28" t="s">
        <v>623</v>
      </c>
      <c r="M197" s="28" t="s">
        <v>44</v>
      </c>
      <c r="N197" s="28" t="s">
        <v>65</v>
      </c>
      <c r="O197" s="31" t="s">
        <v>89</v>
      </c>
      <c r="P197" s="28" t="s">
        <v>161</v>
      </c>
      <c r="Q197" s="28" t="s">
        <v>62</v>
      </c>
      <c r="R197" s="28"/>
      <c r="S197" s="28"/>
      <c r="T197" s="28" t="s">
        <v>40</v>
      </c>
      <c r="U197" s="28" t="s">
        <v>41</v>
      </c>
      <c r="V197" s="28" t="s">
        <v>43</v>
      </c>
      <c r="W197" s="28" t="s">
        <v>674</v>
      </c>
      <c r="X197" s="28" t="s">
        <v>115</v>
      </c>
      <c r="Y197" s="28">
        <v>7282.0</v>
      </c>
    </row>
    <row r="198" ht="56.25" customHeight="1">
      <c r="A198" s="28" t="s">
        <v>621</v>
      </c>
      <c r="B198" s="29" t="str">
        <f>IMAGE("https://storage.googleapis.com/acdb/wall-mounted/FtrHangingscroll_Remake_4_1.png")</f>
        <v/>
      </c>
      <c r="C198" s="28" t="s">
        <v>464</v>
      </c>
      <c r="D198" s="30" t="s">
        <v>83</v>
      </c>
      <c r="E198" s="28" t="s">
        <v>627</v>
      </c>
      <c r="F198" s="30" t="s">
        <v>225</v>
      </c>
      <c r="G198" s="28" t="s">
        <v>40</v>
      </c>
      <c r="H198" s="28" t="s">
        <v>53</v>
      </c>
      <c r="I198" s="28">
        <v>7.0</v>
      </c>
      <c r="J198" s="28">
        <v>140000.0</v>
      </c>
      <c r="K198" s="28">
        <v>35000.0</v>
      </c>
      <c r="L198" s="28" t="s">
        <v>623</v>
      </c>
      <c r="M198" s="28" t="s">
        <v>44</v>
      </c>
      <c r="N198" s="28" t="s">
        <v>65</v>
      </c>
      <c r="O198" s="31" t="s">
        <v>89</v>
      </c>
      <c r="P198" s="28" t="s">
        <v>161</v>
      </c>
      <c r="Q198" s="28" t="s">
        <v>62</v>
      </c>
      <c r="R198" s="28"/>
      <c r="S198" s="28"/>
      <c r="T198" s="28" t="s">
        <v>40</v>
      </c>
      <c r="U198" s="28" t="s">
        <v>41</v>
      </c>
      <c r="V198" s="28" t="s">
        <v>43</v>
      </c>
      <c r="W198" s="28" t="s">
        <v>676</v>
      </c>
      <c r="X198" s="28" t="s">
        <v>451</v>
      </c>
      <c r="Y198" s="28">
        <v>7282.0</v>
      </c>
    </row>
    <row r="199" ht="56.25" customHeight="1">
      <c r="A199" s="28" t="s">
        <v>621</v>
      </c>
      <c r="B199" s="29" t="str">
        <f>IMAGE("https://storage.googleapis.com/acdb/wall-mounted/FtrHangingscroll_Remake_4_2.png")</f>
        <v/>
      </c>
      <c r="C199" s="28" t="s">
        <v>464</v>
      </c>
      <c r="D199" s="30" t="s">
        <v>83</v>
      </c>
      <c r="E199" s="28" t="s">
        <v>311</v>
      </c>
      <c r="F199" s="30" t="s">
        <v>225</v>
      </c>
      <c r="G199" s="28" t="s">
        <v>40</v>
      </c>
      <c r="H199" s="28" t="s">
        <v>53</v>
      </c>
      <c r="I199" s="28">
        <v>7.0</v>
      </c>
      <c r="J199" s="28">
        <v>140000.0</v>
      </c>
      <c r="K199" s="28">
        <v>35000.0</v>
      </c>
      <c r="L199" s="28" t="s">
        <v>623</v>
      </c>
      <c r="M199" s="28" t="s">
        <v>44</v>
      </c>
      <c r="N199" s="28" t="s">
        <v>65</v>
      </c>
      <c r="O199" s="31" t="s">
        <v>89</v>
      </c>
      <c r="P199" s="28" t="s">
        <v>161</v>
      </c>
      <c r="Q199" s="28" t="s">
        <v>62</v>
      </c>
      <c r="R199" s="28"/>
      <c r="S199" s="28"/>
      <c r="T199" s="28" t="s">
        <v>40</v>
      </c>
      <c r="U199" s="28" t="s">
        <v>41</v>
      </c>
      <c r="V199" s="28" t="s">
        <v>43</v>
      </c>
      <c r="W199" s="28" t="s">
        <v>678</v>
      </c>
      <c r="X199" s="28" t="s">
        <v>454</v>
      </c>
      <c r="Y199" s="28">
        <v>7282.0</v>
      </c>
    </row>
    <row r="200" ht="56.25" customHeight="1">
      <c r="A200" s="28" t="s">
        <v>621</v>
      </c>
      <c r="B200" s="29" t="str">
        <f>IMAGE("https://storage.googleapis.com/acdb/wall-mounted/FtrHangingscroll_Remake_4_3.png")</f>
        <v/>
      </c>
      <c r="C200" s="28" t="s">
        <v>464</v>
      </c>
      <c r="D200" s="30" t="s">
        <v>83</v>
      </c>
      <c r="E200" s="28" t="s">
        <v>632</v>
      </c>
      <c r="F200" s="30" t="s">
        <v>225</v>
      </c>
      <c r="G200" s="28" t="s">
        <v>40</v>
      </c>
      <c r="H200" s="28" t="s">
        <v>53</v>
      </c>
      <c r="I200" s="28">
        <v>7.0</v>
      </c>
      <c r="J200" s="28">
        <v>140000.0</v>
      </c>
      <c r="K200" s="28">
        <v>35000.0</v>
      </c>
      <c r="L200" s="28" t="s">
        <v>623</v>
      </c>
      <c r="M200" s="28" t="s">
        <v>44</v>
      </c>
      <c r="N200" s="28" t="s">
        <v>65</v>
      </c>
      <c r="O200" s="31" t="s">
        <v>89</v>
      </c>
      <c r="P200" s="28" t="s">
        <v>161</v>
      </c>
      <c r="Q200" s="28" t="s">
        <v>62</v>
      </c>
      <c r="R200" s="28"/>
      <c r="S200" s="28"/>
      <c r="T200" s="28" t="s">
        <v>40</v>
      </c>
      <c r="U200" s="28" t="s">
        <v>41</v>
      </c>
      <c r="V200" s="28" t="s">
        <v>43</v>
      </c>
      <c r="W200" s="28" t="s">
        <v>679</v>
      </c>
      <c r="X200" s="28" t="s">
        <v>680</v>
      </c>
      <c r="Y200" s="28">
        <v>7282.0</v>
      </c>
    </row>
    <row r="201" ht="56.25" customHeight="1">
      <c r="A201" s="28" t="s">
        <v>621</v>
      </c>
      <c r="B201" s="29" t="str">
        <f>IMAGE("https://storage.googleapis.com/acdb/wall-mounted/FtrHangingscroll_Remake_4_4.png")</f>
        <v/>
      </c>
      <c r="C201" s="28" t="s">
        <v>464</v>
      </c>
      <c r="D201" s="30" t="s">
        <v>83</v>
      </c>
      <c r="E201" s="28" t="s">
        <v>314</v>
      </c>
      <c r="F201" s="30" t="s">
        <v>225</v>
      </c>
      <c r="G201" s="28" t="s">
        <v>40</v>
      </c>
      <c r="H201" s="28" t="s">
        <v>53</v>
      </c>
      <c r="I201" s="28">
        <v>7.0</v>
      </c>
      <c r="J201" s="28">
        <v>140000.0</v>
      </c>
      <c r="K201" s="28">
        <v>35000.0</v>
      </c>
      <c r="L201" s="28" t="s">
        <v>623</v>
      </c>
      <c r="M201" s="28" t="s">
        <v>44</v>
      </c>
      <c r="N201" s="28" t="s">
        <v>65</v>
      </c>
      <c r="O201" s="31" t="s">
        <v>89</v>
      </c>
      <c r="P201" s="28" t="s">
        <v>161</v>
      </c>
      <c r="Q201" s="28" t="s">
        <v>62</v>
      </c>
      <c r="R201" s="28"/>
      <c r="S201" s="28"/>
      <c r="T201" s="28" t="s">
        <v>40</v>
      </c>
      <c r="U201" s="28" t="s">
        <v>41</v>
      </c>
      <c r="V201" s="28" t="s">
        <v>43</v>
      </c>
      <c r="W201" s="28" t="s">
        <v>683</v>
      </c>
      <c r="X201" s="28" t="s">
        <v>684</v>
      </c>
      <c r="Y201" s="28">
        <v>7282.0</v>
      </c>
    </row>
    <row r="202" ht="56.25" customHeight="1">
      <c r="A202" s="28" t="s">
        <v>621</v>
      </c>
      <c r="B202" s="29" t="str">
        <f>IMAGE("https://storage.googleapis.com/acdb/wall-mounted/FtrHangingscroll_Remake_0_0.png")</f>
        <v/>
      </c>
      <c r="C202" s="28" t="s">
        <v>83</v>
      </c>
      <c r="D202" s="30" t="s">
        <v>83</v>
      </c>
      <c r="E202" s="28" t="s">
        <v>622</v>
      </c>
      <c r="F202" s="30" t="s">
        <v>225</v>
      </c>
      <c r="G202" s="28" t="s">
        <v>40</v>
      </c>
      <c r="H202" s="28" t="s">
        <v>53</v>
      </c>
      <c r="I202" s="28">
        <v>7.0</v>
      </c>
      <c r="J202" s="28">
        <v>140000.0</v>
      </c>
      <c r="K202" s="28">
        <v>35000.0</v>
      </c>
      <c r="L202" s="28" t="s">
        <v>623</v>
      </c>
      <c r="M202" s="28" t="s">
        <v>44</v>
      </c>
      <c r="N202" s="28" t="s">
        <v>65</v>
      </c>
      <c r="O202" s="31" t="s">
        <v>89</v>
      </c>
      <c r="P202" s="28" t="s">
        <v>161</v>
      </c>
      <c r="Q202" s="28" t="s">
        <v>62</v>
      </c>
      <c r="R202" s="28"/>
      <c r="S202" s="28"/>
      <c r="T202" s="28" t="s">
        <v>40</v>
      </c>
      <c r="U202" s="28" t="s">
        <v>41</v>
      </c>
      <c r="V202" s="28" t="s">
        <v>43</v>
      </c>
      <c r="W202" s="28" t="s">
        <v>625</v>
      </c>
      <c r="X202" s="28" t="s">
        <v>92</v>
      </c>
      <c r="Y202" s="28">
        <v>7282.0</v>
      </c>
    </row>
    <row r="203" ht="56.25" customHeight="1">
      <c r="A203" s="28" t="s">
        <v>621</v>
      </c>
      <c r="B203" s="29" t="str">
        <f>IMAGE("https://storage.googleapis.com/acdb/wall-mounted/FtrHangingscroll_Remake_1_0.png")</f>
        <v/>
      </c>
      <c r="C203" s="28" t="s">
        <v>83</v>
      </c>
      <c r="D203" s="30" t="s">
        <v>83</v>
      </c>
      <c r="E203" s="28" t="s">
        <v>627</v>
      </c>
      <c r="F203" s="30" t="s">
        <v>225</v>
      </c>
      <c r="G203" s="28" t="s">
        <v>40</v>
      </c>
      <c r="H203" s="28" t="s">
        <v>53</v>
      </c>
      <c r="I203" s="28">
        <v>7.0</v>
      </c>
      <c r="J203" s="28">
        <v>140000.0</v>
      </c>
      <c r="K203" s="28">
        <v>35000.0</v>
      </c>
      <c r="L203" s="28" t="s">
        <v>623</v>
      </c>
      <c r="M203" s="28" t="s">
        <v>44</v>
      </c>
      <c r="N203" s="28" t="s">
        <v>65</v>
      </c>
      <c r="O203" s="31" t="s">
        <v>89</v>
      </c>
      <c r="P203" s="28" t="s">
        <v>161</v>
      </c>
      <c r="Q203" s="28" t="s">
        <v>62</v>
      </c>
      <c r="R203" s="28"/>
      <c r="S203" s="28"/>
      <c r="T203" s="28" t="s">
        <v>40</v>
      </c>
      <c r="U203" s="28" t="s">
        <v>41</v>
      </c>
      <c r="V203" s="28" t="s">
        <v>43</v>
      </c>
      <c r="W203" s="28" t="s">
        <v>639</v>
      </c>
      <c r="X203" s="28" t="s">
        <v>97</v>
      </c>
      <c r="Y203" s="28">
        <v>7282.0</v>
      </c>
    </row>
    <row r="204" ht="56.25" customHeight="1">
      <c r="A204" s="28" t="s">
        <v>621</v>
      </c>
      <c r="B204" s="29" t="str">
        <f>IMAGE("https://storage.googleapis.com/acdb/wall-mounted/FtrHangingscroll_Remake_2_0.png")</f>
        <v/>
      </c>
      <c r="C204" s="28" t="s">
        <v>83</v>
      </c>
      <c r="D204" s="30" t="s">
        <v>83</v>
      </c>
      <c r="E204" s="28" t="s">
        <v>311</v>
      </c>
      <c r="F204" s="30" t="s">
        <v>225</v>
      </c>
      <c r="G204" s="28" t="s">
        <v>40</v>
      </c>
      <c r="H204" s="28" t="s">
        <v>53</v>
      </c>
      <c r="I204" s="28">
        <v>7.0</v>
      </c>
      <c r="J204" s="28">
        <v>140000.0</v>
      </c>
      <c r="K204" s="28">
        <v>35000.0</v>
      </c>
      <c r="L204" s="28" t="s">
        <v>623</v>
      </c>
      <c r="M204" s="28" t="s">
        <v>44</v>
      </c>
      <c r="N204" s="28" t="s">
        <v>65</v>
      </c>
      <c r="O204" s="31" t="s">
        <v>89</v>
      </c>
      <c r="P204" s="28" t="s">
        <v>161</v>
      </c>
      <c r="Q204" s="28" t="s">
        <v>62</v>
      </c>
      <c r="R204" s="28"/>
      <c r="S204" s="28"/>
      <c r="T204" s="28" t="s">
        <v>40</v>
      </c>
      <c r="U204" s="28" t="s">
        <v>41</v>
      </c>
      <c r="V204" s="28" t="s">
        <v>43</v>
      </c>
      <c r="W204" s="28" t="s">
        <v>651</v>
      </c>
      <c r="X204" s="28" t="s">
        <v>103</v>
      </c>
      <c r="Y204" s="28">
        <v>7282.0</v>
      </c>
    </row>
    <row r="205" ht="56.25" customHeight="1">
      <c r="A205" s="28" t="s">
        <v>621</v>
      </c>
      <c r="B205" s="29" t="str">
        <f>IMAGE("https://storage.googleapis.com/acdb/wall-mounted/FtrHangingscroll_Remake_3_0.png")</f>
        <v/>
      </c>
      <c r="C205" s="28" t="s">
        <v>83</v>
      </c>
      <c r="D205" s="30" t="s">
        <v>83</v>
      </c>
      <c r="E205" s="28" t="s">
        <v>632</v>
      </c>
      <c r="F205" s="30" t="s">
        <v>225</v>
      </c>
      <c r="G205" s="28" t="s">
        <v>40</v>
      </c>
      <c r="H205" s="28" t="s">
        <v>53</v>
      </c>
      <c r="I205" s="28">
        <v>7.0</v>
      </c>
      <c r="J205" s="28">
        <v>140000.0</v>
      </c>
      <c r="K205" s="28">
        <v>35000.0</v>
      </c>
      <c r="L205" s="28" t="s">
        <v>623</v>
      </c>
      <c r="M205" s="28" t="s">
        <v>44</v>
      </c>
      <c r="N205" s="28" t="s">
        <v>65</v>
      </c>
      <c r="O205" s="31" t="s">
        <v>89</v>
      </c>
      <c r="P205" s="28" t="s">
        <v>161</v>
      </c>
      <c r="Q205" s="28" t="s">
        <v>62</v>
      </c>
      <c r="R205" s="28"/>
      <c r="S205" s="28"/>
      <c r="T205" s="28" t="s">
        <v>40</v>
      </c>
      <c r="U205" s="28" t="s">
        <v>41</v>
      </c>
      <c r="V205" s="28" t="s">
        <v>43</v>
      </c>
      <c r="W205" s="28" t="s">
        <v>663</v>
      </c>
      <c r="X205" s="28" t="s">
        <v>110</v>
      </c>
      <c r="Y205" s="28">
        <v>7282.0</v>
      </c>
    </row>
    <row r="206" ht="56.25" customHeight="1">
      <c r="A206" s="28" t="s">
        <v>621</v>
      </c>
      <c r="B206" s="29" t="str">
        <f>IMAGE("https://storage.googleapis.com/acdb/wall-mounted/FtrHangingscroll_Remake_4_0.png")</f>
        <v/>
      </c>
      <c r="C206" s="28" t="s">
        <v>83</v>
      </c>
      <c r="D206" s="30" t="s">
        <v>83</v>
      </c>
      <c r="E206" s="28" t="s">
        <v>314</v>
      </c>
      <c r="F206" s="30" t="s">
        <v>225</v>
      </c>
      <c r="G206" s="28" t="s">
        <v>40</v>
      </c>
      <c r="H206" s="28" t="s">
        <v>53</v>
      </c>
      <c r="I206" s="28">
        <v>7.0</v>
      </c>
      <c r="J206" s="28">
        <v>140000.0</v>
      </c>
      <c r="K206" s="28">
        <v>35000.0</v>
      </c>
      <c r="L206" s="28" t="s">
        <v>623</v>
      </c>
      <c r="M206" s="28" t="s">
        <v>44</v>
      </c>
      <c r="N206" s="28" t="s">
        <v>65</v>
      </c>
      <c r="O206" s="31" t="s">
        <v>89</v>
      </c>
      <c r="P206" s="28" t="s">
        <v>161</v>
      </c>
      <c r="Q206" s="28" t="s">
        <v>62</v>
      </c>
      <c r="R206" s="28"/>
      <c r="S206" s="28"/>
      <c r="T206" s="28" t="s">
        <v>40</v>
      </c>
      <c r="U206" s="28" t="s">
        <v>41</v>
      </c>
      <c r="V206" s="28" t="s">
        <v>43</v>
      </c>
      <c r="W206" s="28" t="s">
        <v>674</v>
      </c>
      <c r="X206" s="28" t="s">
        <v>115</v>
      </c>
      <c r="Y206" s="28">
        <v>7282.0</v>
      </c>
    </row>
    <row r="207" ht="56.25" customHeight="1">
      <c r="A207" s="28" t="s">
        <v>691</v>
      </c>
      <c r="B207" s="29" t="str">
        <f>IMAGE("https://storage.googleapis.com/acdb/wall-mounted/FtrTerrariumWall_Remake_0_0.png")</f>
        <v/>
      </c>
      <c r="C207" s="28" t="s">
        <v>99</v>
      </c>
      <c r="D207" s="30" t="s">
        <v>693</v>
      </c>
      <c r="E207" s="28" t="s">
        <v>83</v>
      </c>
      <c r="F207" s="30" t="s">
        <v>83</v>
      </c>
      <c r="G207" s="28" t="s">
        <v>53</v>
      </c>
      <c r="H207" s="28" t="s">
        <v>53</v>
      </c>
      <c r="I207" s="28">
        <v>5.0</v>
      </c>
      <c r="J207" s="28" t="s">
        <v>51</v>
      </c>
      <c r="K207" s="28">
        <v>3240.0</v>
      </c>
      <c r="L207" s="28" t="s">
        <v>251</v>
      </c>
      <c r="M207" s="28" t="s">
        <v>55</v>
      </c>
      <c r="N207" s="28"/>
      <c r="O207" s="31" t="s">
        <v>89</v>
      </c>
      <c r="P207" s="28" t="s">
        <v>60</v>
      </c>
      <c r="Q207" s="28"/>
      <c r="R207" s="28"/>
      <c r="S207" s="28"/>
      <c r="T207" s="28" t="s">
        <v>40</v>
      </c>
      <c r="U207" s="28" t="s">
        <v>41</v>
      </c>
      <c r="V207" s="28" t="s">
        <v>54</v>
      </c>
      <c r="W207" s="28" t="s">
        <v>694</v>
      </c>
      <c r="X207" s="28" t="s">
        <v>92</v>
      </c>
      <c r="Y207" s="28">
        <v>3775.0</v>
      </c>
    </row>
    <row r="208" ht="56.25" customHeight="1">
      <c r="A208" s="28" t="s">
        <v>691</v>
      </c>
      <c r="B208" s="29" t="str">
        <f>IMAGE("https://storage.googleapis.com/acdb/wall-mounted/FtrTerrariumWall_Remake_1_0.png")</f>
        <v/>
      </c>
      <c r="C208" s="28" t="s">
        <v>187</v>
      </c>
      <c r="D208" s="30" t="s">
        <v>693</v>
      </c>
      <c r="E208" s="28" t="s">
        <v>83</v>
      </c>
      <c r="F208" s="30" t="s">
        <v>83</v>
      </c>
      <c r="G208" s="28" t="s">
        <v>53</v>
      </c>
      <c r="H208" s="28" t="s">
        <v>53</v>
      </c>
      <c r="I208" s="28">
        <v>5.0</v>
      </c>
      <c r="J208" s="28" t="s">
        <v>51</v>
      </c>
      <c r="K208" s="28">
        <v>3240.0</v>
      </c>
      <c r="L208" s="28" t="s">
        <v>251</v>
      </c>
      <c r="M208" s="28" t="s">
        <v>55</v>
      </c>
      <c r="N208" s="28"/>
      <c r="O208" s="31" t="s">
        <v>89</v>
      </c>
      <c r="P208" s="28" t="s">
        <v>60</v>
      </c>
      <c r="Q208" s="28"/>
      <c r="R208" s="28"/>
      <c r="S208" s="28"/>
      <c r="T208" s="28" t="s">
        <v>40</v>
      </c>
      <c r="U208" s="28" t="s">
        <v>41</v>
      </c>
      <c r="V208" s="28" t="s">
        <v>54</v>
      </c>
      <c r="W208" s="28" t="s">
        <v>696</v>
      </c>
      <c r="X208" s="28" t="s">
        <v>97</v>
      </c>
      <c r="Y208" s="28">
        <v>3775.0</v>
      </c>
    </row>
    <row r="209" ht="56.25" customHeight="1">
      <c r="A209" s="28" t="s">
        <v>691</v>
      </c>
      <c r="B209" s="29" t="str">
        <f>IMAGE("https://storage.googleapis.com/acdb/wall-mounted/FtrTerrariumWall_Remake_2_0.png")</f>
        <v/>
      </c>
      <c r="C209" s="28" t="s">
        <v>118</v>
      </c>
      <c r="D209" s="30" t="s">
        <v>693</v>
      </c>
      <c r="E209" s="28" t="s">
        <v>83</v>
      </c>
      <c r="F209" s="30" t="s">
        <v>83</v>
      </c>
      <c r="G209" s="28" t="s">
        <v>53</v>
      </c>
      <c r="H209" s="28" t="s">
        <v>53</v>
      </c>
      <c r="I209" s="28">
        <v>5.0</v>
      </c>
      <c r="J209" s="28" t="s">
        <v>51</v>
      </c>
      <c r="K209" s="28">
        <v>3240.0</v>
      </c>
      <c r="L209" s="28" t="s">
        <v>251</v>
      </c>
      <c r="M209" s="28" t="s">
        <v>55</v>
      </c>
      <c r="N209" s="28"/>
      <c r="O209" s="31" t="s">
        <v>89</v>
      </c>
      <c r="P209" s="28" t="s">
        <v>60</v>
      </c>
      <c r="Q209" s="28"/>
      <c r="R209" s="28"/>
      <c r="S209" s="28"/>
      <c r="T209" s="28" t="s">
        <v>40</v>
      </c>
      <c r="U209" s="28" t="s">
        <v>41</v>
      </c>
      <c r="V209" s="28" t="s">
        <v>54</v>
      </c>
      <c r="W209" s="28" t="s">
        <v>698</v>
      </c>
      <c r="X209" s="28" t="s">
        <v>103</v>
      </c>
      <c r="Y209" s="28">
        <v>3775.0</v>
      </c>
    </row>
    <row r="210" ht="56.25" customHeight="1">
      <c r="A210" s="28" t="s">
        <v>700</v>
      </c>
      <c r="B210" s="29" t="str">
        <f>IMAGE("https://storage.googleapis.com/acdb/wall-mounted/FtrDoorOrnamentPlateHeart_Remake_0_0.png")</f>
        <v/>
      </c>
      <c r="C210" s="28" t="s">
        <v>107</v>
      </c>
      <c r="D210" s="30" t="s">
        <v>83</v>
      </c>
      <c r="E210" s="28" t="s">
        <v>83</v>
      </c>
      <c r="F210" s="30" t="s">
        <v>83</v>
      </c>
      <c r="G210" s="28" t="s">
        <v>40</v>
      </c>
      <c r="H210" s="28" t="s">
        <v>40</v>
      </c>
      <c r="I210" s="28" t="s">
        <v>83</v>
      </c>
      <c r="J210" s="28">
        <v>600.0</v>
      </c>
      <c r="K210" s="28">
        <v>150.0</v>
      </c>
      <c r="L210" s="28" t="s">
        <v>123</v>
      </c>
      <c r="M210" s="28" t="s">
        <v>44</v>
      </c>
      <c r="N210" s="28" t="s">
        <v>63</v>
      </c>
      <c r="O210" s="31" t="s">
        <v>89</v>
      </c>
      <c r="P210" s="28" t="s">
        <v>36</v>
      </c>
      <c r="Q210" s="28"/>
      <c r="R210" s="28"/>
      <c r="S210" s="28"/>
      <c r="T210" s="28" t="s">
        <v>40</v>
      </c>
      <c r="U210" s="28" t="s">
        <v>41</v>
      </c>
      <c r="V210" s="28" t="s">
        <v>43</v>
      </c>
      <c r="W210" s="28" t="s">
        <v>701</v>
      </c>
      <c r="X210" s="28" t="s">
        <v>92</v>
      </c>
      <c r="Y210" s="28">
        <v>5309.0</v>
      </c>
    </row>
    <row r="211" ht="56.25" customHeight="1">
      <c r="A211" s="28" t="s">
        <v>700</v>
      </c>
      <c r="B211" s="29" t="str">
        <f>IMAGE("https://storage.googleapis.com/acdb/wall-mounted/FtrDoorOrnamentPlateHeart_Remake_1_0.png")</f>
        <v/>
      </c>
      <c r="C211" s="28" t="s">
        <v>112</v>
      </c>
      <c r="D211" s="30" t="s">
        <v>83</v>
      </c>
      <c r="E211" s="28" t="s">
        <v>83</v>
      </c>
      <c r="F211" s="30" t="s">
        <v>83</v>
      </c>
      <c r="G211" s="28" t="s">
        <v>40</v>
      </c>
      <c r="H211" s="28" t="s">
        <v>40</v>
      </c>
      <c r="I211" s="28" t="s">
        <v>83</v>
      </c>
      <c r="J211" s="28">
        <v>600.0</v>
      </c>
      <c r="K211" s="28">
        <v>150.0</v>
      </c>
      <c r="L211" s="28" t="s">
        <v>123</v>
      </c>
      <c r="M211" s="28" t="s">
        <v>44</v>
      </c>
      <c r="N211" s="28" t="s">
        <v>63</v>
      </c>
      <c r="O211" s="31" t="s">
        <v>89</v>
      </c>
      <c r="P211" s="28" t="s">
        <v>36</v>
      </c>
      <c r="Q211" s="28"/>
      <c r="R211" s="28"/>
      <c r="S211" s="28"/>
      <c r="T211" s="28" t="s">
        <v>40</v>
      </c>
      <c r="U211" s="28" t="s">
        <v>41</v>
      </c>
      <c r="V211" s="28" t="s">
        <v>43</v>
      </c>
      <c r="W211" s="28" t="s">
        <v>703</v>
      </c>
      <c r="X211" s="28" t="s">
        <v>97</v>
      </c>
      <c r="Y211" s="28">
        <v>5309.0</v>
      </c>
    </row>
    <row r="212" ht="56.25" customHeight="1">
      <c r="A212" s="28" t="s">
        <v>700</v>
      </c>
      <c r="B212" s="29" t="str">
        <f>IMAGE("https://storage.googleapis.com/acdb/wall-mounted/FtrDoorOrnamentPlateHeart_Remake_2_0.png")</f>
        <v/>
      </c>
      <c r="C212" s="28" t="s">
        <v>705</v>
      </c>
      <c r="D212" s="30" t="s">
        <v>83</v>
      </c>
      <c r="E212" s="28" t="s">
        <v>83</v>
      </c>
      <c r="F212" s="30" t="s">
        <v>83</v>
      </c>
      <c r="G212" s="28" t="s">
        <v>40</v>
      </c>
      <c r="H212" s="28" t="s">
        <v>40</v>
      </c>
      <c r="I212" s="28" t="s">
        <v>83</v>
      </c>
      <c r="J212" s="28">
        <v>600.0</v>
      </c>
      <c r="K212" s="28">
        <v>150.0</v>
      </c>
      <c r="L212" s="28" t="s">
        <v>123</v>
      </c>
      <c r="M212" s="28" t="s">
        <v>44</v>
      </c>
      <c r="N212" s="28" t="s">
        <v>63</v>
      </c>
      <c r="O212" s="31" t="s">
        <v>89</v>
      </c>
      <c r="P212" s="28" t="s">
        <v>36</v>
      </c>
      <c r="Q212" s="28"/>
      <c r="R212" s="28"/>
      <c r="S212" s="28"/>
      <c r="T212" s="28" t="s">
        <v>40</v>
      </c>
      <c r="U212" s="28" t="s">
        <v>41</v>
      </c>
      <c r="V212" s="28" t="s">
        <v>43</v>
      </c>
      <c r="W212" s="28" t="s">
        <v>706</v>
      </c>
      <c r="X212" s="28" t="s">
        <v>103</v>
      </c>
      <c r="Y212" s="28">
        <v>5309.0</v>
      </c>
    </row>
    <row r="213" ht="56.25" customHeight="1">
      <c r="A213" s="28" t="s">
        <v>700</v>
      </c>
      <c r="B213" s="29" t="str">
        <f>IMAGE("https://storage.googleapis.com/acdb/wall-mounted/FtrDoorOrnamentPlateHeart_Remake_3_0.png")</f>
        <v/>
      </c>
      <c r="C213" s="28" t="s">
        <v>515</v>
      </c>
      <c r="D213" s="30" t="s">
        <v>83</v>
      </c>
      <c r="E213" s="28" t="s">
        <v>83</v>
      </c>
      <c r="F213" s="30" t="s">
        <v>83</v>
      </c>
      <c r="G213" s="28" t="s">
        <v>40</v>
      </c>
      <c r="H213" s="28" t="s">
        <v>40</v>
      </c>
      <c r="I213" s="28" t="s">
        <v>83</v>
      </c>
      <c r="J213" s="28">
        <v>600.0</v>
      </c>
      <c r="K213" s="28">
        <v>150.0</v>
      </c>
      <c r="L213" s="28" t="s">
        <v>123</v>
      </c>
      <c r="M213" s="28" t="s">
        <v>44</v>
      </c>
      <c r="N213" s="28" t="s">
        <v>63</v>
      </c>
      <c r="O213" s="31" t="s">
        <v>89</v>
      </c>
      <c r="P213" s="28" t="s">
        <v>36</v>
      </c>
      <c r="Q213" s="28"/>
      <c r="R213" s="28"/>
      <c r="S213" s="28"/>
      <c r="T213" s="28" t="s">
        <v>40</v>
      </c>
      <c r="U213" s="28" t="s">
        <v>41</v>
      </c>
      <c r="V213" s="28" t="s">
        <v>43</v>
      </c>
      <c r="W213" s="28" t="s">
        <v>707</v>
      </c>
      <c r="X213" s="28" t="s">
        <v>110</v>
      </c>
      <c r="Y213" s="28">
        <v>5309.0</v>
      </c>
    </row>
    <row r="214" ht="56.25" customHeight="1">
      <c r="A214" s="28" t="s">
        <v>700</v>
      </c>
      <c r="B214" s="29" t="str">
        <f>IMAGE("https://storage.googleapis.com/acdb/wall-mounted/FtrDoorOrnamentPlateHeart_Remake_4_0.png")</f>
        <v/>
      </c>
      <c r="C214" s="28" t="s">
        <v>369</v>
      </c>
      <c r="D214" s="30" t="s">
        <v>83</v>
      </c>
      <c r="E214" s="28" t="s">
        <v>83</v>
      </c>
      <c r="F214" s="30" t="s">
        <v>83</v>
      </c>
      <c r="G214" s="28" t="s">
        <v>40</v>
      </c>
      <c r="H214" s="28" t="s">
        <v>40</v>
      </c>
      <c r="I214" s="28" t="s">
        <v>83</v>
      </c>
      <c r="J214" s="28">
        <v>600.0</v>
      </c>
      <c r="K214" s="28">
        <v>150.0</v>
      </c>
      <c r="L214" s="28" t="s">
        <v>123</v>
      </c>
      <c r="M214" s="28" t="s">
        <v>44</v>
      </c>
      <c r="N214" s="28" t="s">
        <v>63</v>
      </c>
      <c r="O214" s="31" t="s">
        <v>89</v>
      </c>
      <c r="P214" s="28" t="s">
        <v>36</v>
      </c>
      <c r="Q214" s="28"/>
      <c r="R214" s="28"/>
      <c r="S214" s="28"/>
      <c r="T214" s="28" t="s">
        <v>40</v>
      </c>
      <c r="U214" s="28" t="s">
        <v>41</v>
      </c>
      <c r="V214" s="28" t="s">
        <v>43</v>
      </c>
      <c r="W214" s="28" t="s">
        <v>709</v>
      </c>
      <c r="X214" s="28" t="s">
        <v>115</v>
      </c>
      <c r="Y214" s="28">
        <v>5309.0</v>
      </c>
    </row>
    <row r="215" ht="56.25" customHeight="1">
      <c r="A215" s="28" t="s">
        <v>700</v>
      </c>
      <c r="B215" s="29" t="str">
        <f>IMAGE("https://storage.googleapis.com/acdb/wall-mounted/FtrDoorOrnamentPlateHeart_Remake_5_0.png")</f>
        <v/>
      </c>
      <c r="C215" s="28" t="s">
        <v>521</v>
      </c>
      <c r="D215" s="30" t="s">
        <v>83</v>
      </c>
      <c r="E215" s="28" t="s">
        <v>83</v>
      </c>
      <c r="F215" s="30" t="s">
        <v>83</v>
      </c>
      <c r="G215" s="28" t="s">
        <v>40</v>
      </c>
      <c r="H215" s="28" t="s">
        <v>40</v>
      </c>
      <c r="I215" s="28" t="s">
        <v>83</v>
      </c>
      <c r="J215" s="28">
        <v>600.0</v>
      </c>
      <c r="K215" s="28">
        <v>150.0</v>
      </c>
      <c r="L215" s="28" t="s">
        <v>123</v>
      </c>
      <c r="M215" s="28" t="s">
        <v>44</v>
      </c>
      <c r="N215" s="28" t="s">
        <v>63</v>
      </c>
      <c r="O215" s="31" t="s">
        <v>89</v>
      </c>
      <c r="P215" s="28" t="s">
        <v>36</v>
      </c>
      <c r="Q215" s="28"/>
      <c r="R215" s="28"/>
      <c r="S215" s="28"/>
      <c r="T215" s="28" t="s">
        <v>40</v>
      </c>
      <c r="U215" s="28" t="s">
        <v>41</v>
      </c>
      <c r="V215" s="28" t="s">
        <v>43</v>
      </c>
      <c r="W215" s="28" t="s">
        <v>711</v>
      </c>
      <c r="X215" s="28" t="s">
        <v>120</v>
      </c>
      <c r="Y215" s="28">
        <v>5309.0</v>
      </c>
    </row>
    <row r="216" ht="56.25" customHeight="1">
      <c r="A216" s="28" t="s">
        <v>700</v>
      </c>
      <c r="B216" s="29" t="str">
        <f>IMAGE("https://storage.googleapis.com/acdb/wall-mounted/FtrDoorOrnamentPlateHeart_Remake_6_0.png")</f>
        <v/>
      </c>
      <c r="C216" s="28" t="s">
        <v>208</v>
      </c>
      <c r="D216" s="30" t="s">
        <v>83</v>
      </c>
      <c r="E216" s="28" t="s">
        <v>83</v>
      </c>
      <c r="F216" s="30" t="s">
        <v>83</v>
      </c>
      <c r="G216" s="28" t="s">
        <v>40</v>
      </c>
      <c r="H216" s="28" t="s">
        <v>40</v>
      </c>
      <c r="I216" s="28" t="s">
        <v>83</v>
      </c>
      <c r="J216" s="28">
        <v>600.0</v>
      </c>
      <c r="K216" s="28">
        <v>150.0</v>
      </c>
      <c r="L216" s="28" t="s">
        <v>123</v>
      </c>
      <c r="M216" s="28" t="s">
        <v>44</v>
      </c>
      <c r="N216" s="28" t="s">
        <v>63</v>
      </c>
      <c r="O216" s="31" t="s">
        <v>89</v>
      </c>
      <c r="P216" s="28" t="s">
        <v>36</v>
      </c>
      <c r="Q216" s="28"/>
      <c r="R216" s="28"/>
      <c r="S216" s="28"/>
      <c r="T216" s="28" t="s">
        <v>40</v>
      </c>
      <c r="U216" s="28" t="s">
        <v>41</v>
      </c>
      <c r="V216" s="28" t="s">
        <v>43</v>
      </c>
      <c r="W216" s="28" t="s">
        <v>713</v>
      </c>
      <c r="X216" s="28" t="s">
        <v>218</v>
      </c>
      <c r="Y216" s="28">
        <v>5309.0</v>
      </c>
    </row>
    <row r="217" ht="56.25" customHeight="1">
      <c r="A217" s="28" t="s">
        <v>700</v>
      </c>
      <c r="B217" s="29" t="str">
        <f>IMAGE("https://storage.googleapis.com/acdb/wall-mounted/FtrDoorOrnamentPlateHeart_Remake_7_0.png")</f>
        <v/>
      </c>
      <c r="C217" s="28" t="s">
        <v>464</v>
      </c>
      <c r="D217" s="30" t="s">
        <v>83</v>
      </c>
      <c r="E217" s="28" t="s">
        <v>83</v>
      </c>
      <c r="F217" s="30" t="s">
        <v>83</v>
      </c>
      <c r="G217" s="28" t="s">
        <v>40</v>
      </c>
      <c r="H217" s="28" t="s">
        <v>40</v>
      </c>
      <c r="I217" s="28" t="s">
        <v>83</v>
      </c>
      <c r="J217" s="28">
        <v>600.0</v>
      </c>
      <c r="K217" s="28">
        <v>150.0</v>
      </c>
      <c r="L217" s="28" t="s">
        <v>123</v>
      </c>
      <c r="M217" s="28" t="s">
        <v>44</v>
      </c>
      <c r="N217" s="28" t="s">
        <v>63</v>
      </c>
      <c r="O217" s="31" t="s">
        <v>89</v>
      </c>
      <c r="P217" s="28" t="s">
        <v>36</v>
      </c>
      <c r="Q217" s="28"/>
      <c r="R217" s="28"/>
      <c r="S217" s="28"/>
      <c r="T217" s="28" t="s">
        <v>40</v>
      </c>
      <c r="U217" s="28" t="s">
        <v>41</v>
      </c>
      <c r="V217" s="28" t="s">
        <v>43</v>
      </c>
      <c r="W217" s="28" t="s">
        <v>715</v>
      </c>
      <c r="X217" s="28" t="s">
        <v>223</v>
      </c>
      <c r="Y217" s="28">
        <v>5309.0</v>
      </c>
    </row>
    <row r="218" ht="56.25" customHeight="1">
      <c r="A218" s="28" t="s">
        <v>716</v>
      </c>
      <c r="B218" s="29" t="str">
        <f>IMAGE("https://storage.googleapis.com/acdb/wall-mounted/FtrPenantHha.png")</f>
        <v/>
      </c>
      <c r="C218" s="28" t="s">
        <v>83</v>
      </c>
      <c r="D218" s="28" t="s">
        <v>83</v>
      </c>
      <c r="E218" s="28" t="s">
        <v>83</v>
      </c>
      <c r="F218" s="28" t="s">
        <v>83</v>
      </c>
      <c r="G218" s="28" t="s">
        <v>40</v>
      </c>
      <c r="H218" s="28" t="s">
        <v>40</v>
      </c>
      <c r="I218" s="28" t="s">
        <v>83</v>
      </c>
      <c r="J218" s="28" t="s">
        <v>51</v>
      </c>
      <c r="K218" s="28">
        <v>375.0</v>
      </c>
      <c r="L218" s="28" t="s">
        <v>251</v>
      </c>
      <c r="M218" s="28" t="s">
        <v>247</v>
      </c>
      <c r="N218" s="28"/>
      <c r="O218" s="31" t="s">
        <v>89</v>
      </c>
      <c r="P218" s="28" t="s">
        <v>60</v>
      </c>
      <c r="Q218" s="28" t="s">
        <v>62</v>
      </c>
      <c r="R218" s="28"/>
      <c r="S218" s="28"/>
      <c r="T218" s="28" t="s">
        <v>40</v>
      </c>
      <c r="U218" s="28" t="s">
        <v>41</v>
      </c>
      <c r="V218" s="28" t="s">
        <v>54</v>
      </c>
      <c r="W218" s="28" t="s">
        <v>719</v>
      </c>
      <c r="X218" s="28" t="s">
        <v>83</v>
      </c>
      <c r="Y218" s="28">
        <v>7040.0</v>
      </c>
    </row>
    <row r="219" ht="56.25" customHeight="1">
      <c r="A219" s="28" t="s">
        <v>720</v>
      </c>
      <c r="B219" s="29" t="str">
        <f>IMAGE("https://storage.googleapis.com/acdb/wall-mounted/FtrDoorOrnamentWreathHyacinth.png")</f>
        <v/>
      </c>
      <c r="C219" s="28" t="s">
        <v>83</v>
      </c>
      <c r="D219" s="28" t="s">
        <v>83</v>
      </c>
      <c r="E219" s="28" t="s">
        <v>83</v>
      </c>
      <c r="F219" s="28" t="s">
        <v>83</v>
      </c>
      <c r="G219" s="28" t="s">
        <v>53</v>
      </c>
      <c r="H219" s="28" t="s">
        <v>40</v>
      </c>
      <c r="I219" s="28" t="s">
        <v>83</v>
      </c>
      <c r="J219" s="28" t="s">
        <v>51</v>
      </c>
      <c r="K219" s="28">
        <v>720.0</v>
      </c>
      <c r="L219" s="28" t="s">
        <v>123</v>
      </c>
      <c r="M219" s="28" t="s">
        <v>55</v>
      </c>
      <c r="N219" s="28"/>
      <c r="O219" s="31" t="s">
        <v>89</v>
      </c>
      <c r="P219" s="28" t="s">
        <v>36</v>
      </c>
      <c r="Q219" s="28"/>
      <c r="R219" s="28"/>
      <c r="S219" s="28"/>
      <c r="T219" s="28" t="s">
        <v>40</v>
      </c>
      <c r="U219" s="28" t="s">
        <v>41</v>
      </c>
      <c r="V219" s="28" t="s">
        <v>54</v>
      </c>
      <c r="W219" s="28" t="s">
        <v>722</v>
      </c>
      <c r="X219" s="28" t="s">
        <v>83</v>
      </c>
      <c r="Y219" s="28">
        <v>5468.0</v>
      </c>
    </row>
    <row r="220" ht="56.25" customHeight="1">
      <c r="A220" s="28" t="s">
        <v>723</v>
      </c>
      <c r="B220" s="29" t="str">
        <f>IMAGE("https://storage.googleapis.com/acdb/wall-mounted/FtrOrientalShelfWall_Remake_0_0.png")</f>
        <v/>
      </c>
      <c r="C220" s="28" t="s">
        <v>208</v>
      </c>
      <c r="D220" s="30" t="s">
        <v>83</v>
      </c>
      <c r="E220" s="28" t="s">
        <v>83</v>
      </c>
      <c r="F220" s="30" t="s">
        <v>83</v>
      </c>
      <c r="G220" s="28" t="s">
        <v>40</v>
      </c>
      <c r="H220" s="28" t="s">
        <v>40</v>
      </c>
      <c r="I220" s="28" t="s">
        <v>83</v>
      </c>
      <c r="J220" s="28">
        <v>8500.0</v>
      </c>
      <c r="K220" s="28">
        <v>2125.0</v>
      </c>
      <c r="L220" s="28" t="s">
        <v>554</v>
      </c>
      <c r="M220" s="28" t="s">
        <v>44</v>
      </c>
      <c r="N220" s="28" t="s">
        <v>68</v>
      </c>
      <c r="O220" s="31" t="s">
        <v>89</v>
      </c>
      <c r="P220" s="28" t="s">
        <v>161</v>
      </c>
      <c r="Q220" s="28"/>
      <c r="R220" s="28" t="s">
        <v>726</v>
      </c>
      <c r="S220" s="28"/>
      <c r="T220" s="28" t="s">
        <v>40</v>
      </c>
      <c r="U220" s="28" t="s">
        <v>41</v>
      </c>
      <c r="V220" s="28" t="s">
        <v>43</v>
      </c>
      <c r="W220" s="28" t="s">
        <v>727</v>
      </c>
      <c r="X220" s="28" t="s">
        <v>92</v>
      </c>
      <c r="Y220" s="28">
        <v>3970.0</v>
      </c>
    </row>
    <row r="221" ht="56.25" customHeight="1">
      <c r="A221" s="28" t="s">
        <v>723</v>
      </c>
      <c r="B221" s="29" t="str">
        <f>IMAGE("https://storage.googleapis.com/acdb/wall-mounted/FtrOrientalShelfWall_Remake_1_0.png")</f>
        <v/>
      </c>
      <c r="C221" s="28" t="s">
        <v>112</v>
      </c>
      <c r="D221" s="30" t="s">
        <v>83</v>
      </c>
      <c r="E221" s="28" t="s">
        <v>83</v>
      </c>
      <c r="F221" s="30" t="s">
        <v>83</v>
      </c>
      <c r="G221" s="28" t="s">
        <v>40</v>
      </c>
      <c r="H221" s="28" t="s">
        <v>40</v>
      </c>
      <c r="I221" s="28" t="s">
        <v>83</v>
      </c>
      <c r="J221" s="28">
        <v>8500.0</v>
      </c>
      <c r="K221" s="28">
        <v>2125.0</v>
      </c>
      <c r="L221" s="28" t="s">
        <v>554</v>
      </c>
      <c r="M221" s="28" t="s">
        <v>44</v>
      </c>
      <c r="N221" s="28" t="s">
        <v>68</v>
      </c>
      <c r="O221" s="31" t="s">
        <v>89</v>
      </c>
      <c r="P221" s="28" t="s">
        <v>161</v>
      </c>
      <c r="Q221" s="28"/>
      <c r="R221" s="28" t="s">
        <v>726</v>
      </c>
      <c r="S221" s="28"/>
      <c r="T221" s="28" t="s">
        <v>40</v>
      </c>
      <c r="U221" s="28" t="s">
        <v>41</v>
      </c>
      <c r="V221" s="28" t="s">
        <v>43</v>
      </c>
      <c r="W221" s="28" t="s">
        <v>729</v>
      </c>
      <c r="X221" s="28" t="s">
        <v>97</v>
      </c>
      <c r="Y221" s="28">
        <v>3970.0</v>
      </c>
    </row>
    <row r="222" ht="56.25" customHeight="1">
      <c r="A222" s="28" t="s">
        <v>723</v>
      </c>
      <c r="B222" s="29" t="str">
        <f>IMAGE("https://storage.googleapis.com/acdb/wall-mounted/FtrOrientalShelfWall_Remake_2_0.png")</f>
        <v/>
      </c>
      <c r="C222" s="28" t="s">
        <v>118</v>
      </c>
      <c r="D222" s="30" t="s">
        <v>83</v>
      </c>
      <c r="E222" s="28" t="s">
        <v>83</v>
      </c>
      <c r="F222" s="30" t="s">
        <v>83</v>
      </c>
      <c r="G222" s="28" t="s">
        <v>40</v>
      </c>
      <c r="H222" s="28" t="s">
        <v>40</v>
      </c>
      <c r="I222" s="28" t="s">
        <v>83</v>
      </c>
      <c r="J222" s="28">
        <v>8500.0</v>
      </c>
      <c r="K222" s="28">
        <v>2125.0</v>
      </c>
      <c r="L222" s="28" t="s">
        <v>554</v>
      </c>
      <c r="M222" s="28" t="s">
        <v>44</v>
      </c>
      <c r="N222" s="28" t="s">
        <v>68</v>
      </c>
      <c r="O222" s="31" t="s">
        <v>89</v>
      </c>
      <c r="P222" s="28" t="s">
        <v>161</v>
      </c>
      <c r="Q222" s="28"/>
      <c r="R222" s="28" t="s">
        <v>726</v>
      </c>
      <c r="S222" s="28"/>
      <c r="T222" s="28" t="s">
        <v>40</v>
      </c>
      <c r="U222" s="28" t="s">
        <v>41</v>
      </c>
      <c r="V222" s="28" t="s">
        <v>43</v>
      </c>
      <c r="W222" s="28" t="s">
        <v>731</v>
      </c>
      <c r="X222" s="28" t="s">
        <v>103</v>
      </c>
      <c r="Y222" s="28">
        <v>3970.0</v>
      </c>
    </row>
    <row r="223" ht="56.25" customHeight="1">
      <c r="A223" s="28" t="s">
        <v>723</v>
      </c>
      <c r="B223" s="29" t="str">
        <f>IMAGE("https://storage.googleapis.com/acdb/wall-mounted/FtrOrientalShelfWall_Remake_3_0.png")</f>
        <v/>
      </c>
      <c r="C223" s="28" t="s">
        <v>99</v>
      </c>
      <c r="D223" s="30" t="s">
        <v>83</v>
      </c>
      <c r="E223" s="28" t="s">
        <v>83</v>
      </c>
      <c r="F223" s="30" t="s">
        <v>83</v>
      </c>
      <c r="G223" s="28" t="s">
        <v>40</v>
      </c>
      <c r="H223" s="28" t="s">
        <v>40</v>
      </c>
      <c r="I223" s="28" t="s">
        <v>83</v>
      </c>
      <c r="J223" s="28">
        <v>8500.0</v>
      </c>
      <c r="K223" s="28">
        <v>2125.0</v>
      </c>
      <c r="L223" s="28" t="s">
        <v>554</v>
      </c>
      <c r="M223" s="28" t="s">
        <v>44</v>
      </c>
      <c r="N223" s="28" t="s">
        <v>68</v>
      </c>
      <c r="O223" s="31" t="s">
        <v>89</v>
      </c>
      <c r="P223" s="28" t="s">
        <v>161</v>
      </c>
      <c r="Q223" s="28"/>
      <c r="R223" s="28" t="s">
        <v>726</v>
      </c>
      <c r="S223" s="28"/>
      <c r="T223" s="28" t="s">
        <v>40</v>
      </c>
      <c r="U223" s="28" t="s">
        <v>41</v>
      </c>
      <c r="V223" s="28" t="s">
        <v>43</v>
      </c>
      <c r="W223" s="28" t="s">
        <v>733</v>
      </c>
      <c r="X223" s="28" t="s">
        <v>110</v>
      </c>
      <c r="Y223" s="28">
        <v>3970.0</v>
      </c>
    </row>
    <row r="224" ht="56.25" customHeight="1">
      <c r="A224" s="28" t="s">
        <v>734</v>
      </c>
      <c r="B224" s="29" t="str">
        <f>IMAGE("https://storage.googleapis.com/acdb/wall-mounted/FtrChineseLampWall_Remake_0_0.png")</f>
        <v/>
      </c>
      <c r="C224" s="28" t="s">
        <v>187</v>
      </c>
      <c r="D224" s="30" t="s">
        <v>83</v>
      </c>
      <c r="E224" s="28" t="s">
        <v>83</v>
      </c>
      <c r="F224" s="30" t="s">
        <v>83</v>
      </c>
      <c r="G224" s="28" t="s">
        <v>40</v>
      </c>
      <c r="H224" s="28" t="s">
        <v>40</v>
      </c>
      <c r="I224" s="28" t="s">
        <v>83</v>
      </c>
      <c r="J224" s="28">
        <v>19000.0</v>
      </c>
      <c r="K224" s="28">
        <v>4750.0</v>
      </c>
      <c r="L224" s="28" t="s">
        <v>251</v>
      </c>
      <c r="M224" s="28" t="s">
        <v>44</v>
      </c>
      <c r="N224" s="28" t="s">
        <v>65</v>
      </c>
      <c r="O224" s="31" t="s">
        <v>89</v>
      </c>
      <c r="P224" s="28" t="s">
        <v>37</v>
      </c>
      <c r="Q224" s="28" t="s">
        <v>161</v>
      </c>
      <c r="R224" s="28"/>
      <c r="S224" s="28"/>
      <c r="T224" s="28" t="s">
        <v>53</v>
      </c>
      <c r="U224" s="28" t="s">
        <v>186</v>
      </c>
      <c r="V224" s="28" t="s">
        <v>43</v>
      </c>
      <c r="W224" s="28" t="s">
        <v>736</v>
      </c>
      <c r="X224" s="28" t="s">
        <v>92</v>
      </c>
      <c r="Y224" s="28">
        <v>8415.0</v>
      </c>
    </row>
    <row r="225" ht="56.25" customHeight="1">
      <c r="A225" s="28" t="s">
        <v>734</v>
      </c>
      <c r="B225" s="29" t="str">
        <f>IMAGE("https://storage.googleapis.com/acdb/wall-mounted/FtrChineseLampWall_Remake_1_0.png")</f>
        <v/>
      </c>
      <c r="C225" s="28" t="s">
        <v>99</v>
      </c>
      <c r="D225" s="30" t="s">
        <v>83</v>
      </c>
      <c r="E225" s="28" t="s">
        <v>83</v>
      </c>
      <c r="F225" s="30" t="s">
        <v>83</v>
      </c>
      <c r="G225" s="28" t="s">
        <v>40</v>
      </c>
      <c r="H225" s="28" t="s">
        <v>40</v>
      </c>
      <c r="I225" s="28" t="s">
        <v>83</v>
      </c>
      <c r="J225" s="28">
        <v>19000.0</v>
      </c>
      <c r="K225" s="28">
        <v>4750.0</v>
      </c>
      <c r="L225" s="28" t="s">
        <v>251</v>
      </c>
      <c r="M225" s="28" t="s">
        <v>44</v>
      </c>
      <c r="N225" s="28" t="s">
        <v>65</v>
      </c>
      <c r="O225" s="31" t="s">
        <v>89</v>
      </c>
      <c r="P225" s="28" t="s">
        <v>37</v>
      </c>
      <c r="Q225" s="28" t="s">
        <v>161</v>
      </c>
      <c r="R225" s="28"/>
      <c r="S225" s="28"/>
      <c r="T225" s="28" t="s">
        <v>53</v>
      </c>
      <c r="U225" s="28" t="s">
        <v>186</v>
      </c>
      <c r="V225" s="28" t="s">
        <v>43</v>
      </c>
      <c r="W225" s="28" t="s">
        <v>739</v>
      </c>
      <c r="X225" s="28" t="s">
        <v>97</v>
      </c>
      <c r="Y225" s="28">
        <v>8415.0</v>
      </c>
    </row>
    <row r="226" ht="56.25" customHeight="1">
      <c r="A226" s="28" t="s">
        <v>734</v>
      </c>
      <c r="B226" s="29" t="str">
        <f>IMAGE("https://storage.googleapis.com/acdb/wall-mounted/FtrChineseLampWall_Remake_2_0.png")</f>
        <v/>
      </c>
      <c r="C226" s="28" t="s">
        <v>112</v>
      </c>
      <c r="D226" s="30" t="s">
        <v>83</v>
      </c>
      <c r="E226" s="28" t="s">
        <v>83</v>
      </c>
      <c r="F226" s="30" t="s">
        <v>83</v>
      </c>
      <c r="G226" s="28" t="s">
        <v>40</v>
      </c>
      <c r="H226" s="28" t="s">
        <v>40</v>
      </c>
      <c r="I226" s="28" t="s">
        <v>83</v>
      </c>
      <c r="J226" s="28">
        <v>19000.0</v>
      </c>
      <c r="K226" s="28">
        <v>4750.0</v>
      </c>
      <c r="L226" s="28" t="s">
        <v>251</v>
      </c>
      <c r="M226" s="28" t="s">
        <v>44</v>
      </c>
      <c r="N226" s="28" t="s">
        <v>65</v>
      </c>
      <c r="O226" s="31" t="s">
        <v>89</v>
      </c>
      <c r="P226" s="28" t="s">
        <v>37</v>
      </c>
      <c r="Q226" s="28" t="s">
        <v>161</v>
      </c>
      <c r="R226" s="28"/>
      <c r="S226" s="28"/>
      <c r="T226" s="28" t="s">
        <v>53</v>
      </c>
      <c r="U226" s="28" t="s">
        <v>186</v>
      </c>
      <c r="V226" s="28" t="s">
        <v>43</v>
      </c>
      <c r="W226" s="28" t="s">
        <v>741</v>
      </c>
      <c r="X226" s="28" t="s">
        <v>103</v>
      </c>
      <c r="Y226" s="28">
        <v>8415.0</v>
      </c>
    </row>
    <row r="227" ht="56.25" customHeight="1">
      <c r="A227" s="28" t="s">
        <v>734</v>
      </c>
      <c r="B227" s="29" t="str">
        <f>IMAGE("https://storage.googleapis.com/acdb/wall-mounted/FtrChineseLampWall_Remake_3_0.png")</f>
        <v/>
      </c>
      <c r="C227" s="28" t="s">
        <v>208</v>
      </c>
      <c r="D227" s="30" t="s">
        <v>83</v>
      </c>
      <c r="E227" s="28" t="s">
        <v>83</v>
      </c>
      <c r="F227" s="30" t="s">
        <v>83</v>
      </c>
      <c r="G227" s="28" t="s">
        <v>40</v>
      </c>
      <c r="H227" s="28" t="s">
        <v>40</v>
      </c>
      <c r="I227" s="28" t="s">
        <v>83</v>
      </c>
      <c r="J227" s="28">
        <v>19000.0</v>
      </c>
      <c r="K227" s="28">
        <v>4750.0</v>
      </c>
      <c r="L227" s="28" t="s">
        <v>251</v>
      </c>
      <c r="M227" s="28" t="s">
        <v>44</v>
      </c>
      <c r="N227" s="28" t="s">
        <v>65</v>
      </c>
      <c r="O227" s="31" t="s">
        <v>89</v>
      </c>
      <c r="P227" s="28" t="s">
        <v>37</v>
      </c>
      <c r="Q227" s="28" t="s">
        <v>161</v>
      </c>
      <c r="R227" s="28"/>
      <c r="S227" s="28"/>
      <c r="T227" s="28" t="s">
        <v>53</v>
      </c>
      <c r="U227" s="28" t="s">
        <v>186</v>
      </c>
      <c r="V227" s="28" t="s">
        <v>43</v>
      </c>
      <c r="W227" s="28" t="s">
        <v>743</v>
      </c>
      <c r="X227" s="28" t="s">
        <v>110</v>
      </c>
      <c r="Y227" s="28">
        <v>8415.0</v>
      </c>
    </row>
    <row r="228" ht="56.25" customHeight="1">
      <c r="A228" s="28" t="s">
        <v>744</v>
      </c>
      <c r="B228" s="29" t="str">
        <f>IMAGE("https://storage.googleapis.com/acdb/wall-mounted/FtrIntercom.png")</f>
        <v/>
      </c>
      <c r="C228" s="28" t="s">
        <v>83</v>
      </c>
      <c r="D228" s="28" t="s">
        <v>83</v>
      </c>
      <c r="E228" s="28" t="s">
        <v>83</v>
      </c>
      <c r="F228" s="28" t="s">
        <v>83</v>
      </c>
      <c r="G228" s="28" t="s">
        <v>40</v>
      </c>
      <c r="H228" s="28" t="s">
        <v>40</v>
      </c>
      <c r="I228" s="28" t="s">
        <v>83</v>
      </c>
      <c r="J228" s="28">
        <v>860.0</v>
      </c>
      <c r="K228" s="28">
        <v>215.0</v>
      </c>
      <c r="L228" s="28" t="s">
        <v>123</v>
      </c>
      <c r="M228" s="28" t="s">
        <v>44</v>
      </c>
      <c r="N228" s="28" t="s">
        <v>68</v>
      </c>
      <c r="O228" s="31" t="s">
        <v>89</v>
      </c>
      <c r="P228" s="28" t="s">
        <v>60</v>
      </c>
      <c r="Q228" s="28" t="s">
        <v>90</v>
      </c>
      <c r="R228" s="28"/>
      <c r="S228" s="28"/>
      <c r="T228" s="28" t="s">
        <v>53</v>
      </c>
      <c r="U228" s="28" t="s">
        <v>41</v>
      </c>
      <c r="V228" s="28" t="s">
        <v>43</v>
      </c>
      <c r="W228" s="28" t="s">
        <v>746</v>
      </c>
      <c r="X228" s="28" t="s">
        <v>83</v>
      </c>
      <c r="Y228" s="28">
        <v>3399.0</v>
      </c>
    </row>
    <row r="229" ht="56.25" customHeight="1">
      <c r="A229" s="28" t="s">
        <v>748</v>
      </c>
      <c r="B229" s="29" t="str">
        <f>IMAGE("https://storage.googleapis.com/acdb/wall-mounted/FtrDoorOrnamentIron_Remake_0_0.png")</f>
        <v/>
      </c>
      <c r="C229" s="28" t="s">
        <v>99</v>
      </c>
      <c r="D229" s="30" t="s">
        <v>199</v>
      </c>
      <c r="E229" s="28" t="s">
        <v>83</v>
      </c>
      <c r="F229" s="30" t="s">
        <v>83</v>
      </c>
      <c r="G229" s="28" t="s">
        <v>53</v>
      </c>
      <c r="H229" s="28" t="s">
        <v>53</v>
      </c>
      <c r="I229" s="28">
        <v>1.0</v>
      </c>
      <c r="J229" s="28" t="s">
        <v>51</v>
      </c>
      <c r="K229" s="28">
        <v>1500.0</v>
      </c>
      <c r="L229" s="28" t="s">
        <v>123</v>
      </c>
      <c r="M229" s="28" t="s">
        <v>55</v>
      </c>
      <c r="N229" s="28"/>
      <c r="O229" s="31" t="s">
        <v>89</v>
      </c>
      <c r="P229" s="28" t="s">
        <v>60</v>
      </c>
      <c r="Q229" s="28"/>
      <c r="R229" s="28"/>
      <c r="S229" s="28"/>
      <c r="T229" s="28" t="s">
        <v>40</v>
      </c>
      <c r="U229" s="28" t="s">
        <v>41</v>
      </c>
      <c r="V229" s="28" t="s">
        <v>54</v>
      </c>
      <c r="W229" s="28" t="s">
        <v>751</v>
      </c>
      <c r="X229" s="28" t="s">
        <v>92</v>
      </c>
      <c r="Y229" s="28">
        <v>4752.0</v>
      </c>
    </row>
    <row r="230" ht="56.25" customHeight="1">
      <c r="A230" s="28" t="s">
        <v>748</v>
      </c>
      <c r="B230" s="29" t="str">
        <f>IMAGE("https://storage.googleapis.com/acdb/wall-mounted/FtrDoorOrnamentIron_Remake_1_0.png")</f>
        <v/>
      </c>
      <c r="C230" s="28" t="s">
        <v>82</v>
      </c>
      <c r="D230" s="30" t="s">
        <v>199</v>
      </c>
      <c r="E230" s="28" t="s">
        <v>83</v>
      </c>
      <c r="F230" s="30" t="s">
        <v>83</v>
      </c>
      <c r="G230" s="28" t="s">
        <v>53</v>
      </c>
      <c r="H230" s="28" t="s">
        <v>53</v>
      </c>
      <c r="I230" s="28">
        <v>1.0</v>
      </c>
      <c r="J230" s="28" t="s">
        <v>51</v>
      </c>
      <c r="K230" s="28">
        <v>1500.0</v>
      </c>
      <c r="L230" s="28" t="s">
        <v>123</v>
      </c>
      <c r="M230" s="28" t="s">
        <v>55</v>
      </c>
      <c r="N230" s="28"/>
      <c r="O230" s="31" t="s">
        <v>89</v>
      </c>
      <c r="P230" s="28" t="s">
        <v>60</v>
      </c>
      <c r="Q230" s="28"/>
      <c r="R230" s="28"/>
      <c r="S230" s="28"/>
      <c r="T230" s="28" t="s">
        <v>40</v>
      </c>
      <c r="U230" s="28" t="s">
        <v>41</v>
      </c>
      <c r="V230" s="28" t="s">
        <v>54</v>
      </c>
      <c r="W230" s="28" t="s">
        <v>753</v>
      </c>
      <c r="X230" s="28" t="s">
        <v>97</v>
      </c>
      <c r="Y230" s="28">
        <v>4752.0</v>
      </c>
    </row>
    <row r="231" ht="56.25" customHeight="1">
      <c r="A231" s="28" t="s">
        <v>748</v>
      </c>
      <c r="B231" s="29" t="str">
        <f>IMAGE("https://storage.googleapis.com/acdb/wall-mounted/FtrDoorOrnamentIron_Remake_2_0.png")</f>
        <v/>
      </c>
      <c r="C231" s="28" t="s">
        <v>112</v>
      </c>
      <c r="D231" s="30" t="s">
        <v>199</v>
      </c>
      <c r="E231" s="28" t="s">
        <v>83</v>
      </c>
      <c r="F231" s="30" t="s">
        <v>83</v>
      </c>
      <c r="G231" s="28" t="s">
        <v>53</v>
      </c>
      <c r="H231" s="28" t="s">
        <v>53</v>
      </c>
      <c r="I231" s="28">
        <v>1.0</v>
      </c>
      <c r="J231" s="28" t="s">
        <v>51</v>
      </c>
      <c r="K231" s="28">
        <v>1500.0</v>
      </c>
      <c r="L231" s="28" t="s">
        <v>123</v>
      </c>
      <c r="M231" s="28" t="s">
        <v>55</v>
      </c>
      <c r="N231" s="28"/>
      <c r="O231" s="31" t="s">
        <v>89</v>
      </c>
      <c r="P231" s="28" t="s">
        <v>60</v>
      </c>
      <c r="Q231" s="28"/>
      <c r="R231" s="28"/>
      <c r="S231" s="28"/>
      <c r="T231" s="28" t="s">
        <v>40</v>
      </c>
      <c r="U231" s="28" t="s">
        <v>41</v>
      </c>
      <c r="V231" s="28" t="s">
        <v>54</v>
      </c>
      <c r="W231" s="28" t="s">
        <v>755</v>
      </c>
      <c r="X231" s="28" t="s">
        <v>103</v>
      </c>
      <c r="Y231" s="28">
        <v>4752.0</v>
      </c>
    </row>
    <row r="232" ht="56.25" customHeight="1">
      <c r="A232" s="28" t="s">
        <v>748</v>
      </c>
      <c r="B232" s="29" t="str">
        <f>IMAGE("https://storage.googleapis.com/acdb/wall-mounted/FtrDoorOrnamentIron_Remake_3_0.png")</f>
        <v/>
      </c>
      <c r="C232" s="28" t="s">
        <v>182</v>
      </c>
      <c r="D232" s="30" t="s">
        <v>199</v>
      </c>
      <c r="E232" s="28" t="s">
        <v>83</v>
      </c>
      <c r="F232" s="30" t="s">
        <v>83</v>
      </c>
      <c r="G232" s="28" t="s">
        <v>53</v>
      </c>
      <c r="H232" s="28" t="s">
        <v>53</v>
      </c>
      <c r="I232" s="28">
        <v>1.0</v>
      </c>
      <c r="J232" s="28" t="s">
        <v>51</v>
      </c>
      <c r="K232" s="28">
        <v>1500.0</v>
      </c>
      <c r="L232" s="28" t="s">
        <v>123</v>
      </c>
      <c r="M232" s="28" t="s">
        <v>55</v>
      </c>
      <c r="N232" s="28"/>
      <c r="O232" s="31" t="s">
        <v>89</v>
      </c>
      <c r="P232" s="28" t="s">
        <v>60</v>
      </c>
      <c r="Q232" s="28"/>
      <c r="R232" s="28"/>
      <c r="S232" s="28"/>
      <c r="T232" s="28" t="s">
        <v>40</v>
      </c>
      <c r="U232" s="28" t="s">
        <v>41</v>
      </c>
      <c r="V232" s="28" t="s">
        <v>54</v>
      </c>
      <c r="W232" s="28" t="s">
        <v>757</v>
      </c>
      <c r="X232" s="28" t="s">
        <v>110</v>
      </c>
      <c r="Y232" s="28">
        <v>4752.0</v>
      </c>
    </row>
    <row r="233" ht="56.25" customHeight="1">
      <c r="A233" s="28" t="s">
        <v>748</v>
      </c>
      <c r="B233" s="29" t="str">
        <f>IMAGE("https://storage.googleapis.com/acdb/wall-mounted/FtrDoorOrnamentIron_Remake_4_0.png")</f>
        <v/>
      </c>
      <c r="C233" s="28" t="s">
        <v>758</v>
      </c>
      <c r="D233" s="30" t="s">
        <v>199</v>
      </c>
      <c r="E233" s="28" t="s">
        <v>83</v>
      </c>
      <c r="F233" s="30" t="s">
        <v>83</v>
      </c>
      <c r="G233" s="28" t="s">
        <v>53</v>
      </c>
      <c r="H233" s="28" t="s">
        <v>53</v>
      </c>
      <c r="I233" s="28">
        <v>1.0</v>
      </c>
      <c r="J233" s="28" t="s">
        <v>51</v>
      </c>
      <c r="K233" s="28">
        <v>1500.0</v>
      </c>
      <c r="L233" s="28" t="s">
        <v>123</v>
      </c>
      <c r="M233" s="28" t="s">
        <v>55</v>
      </c>
      <c r="N233" s="28"/>
      <c r="O233" s="31" t="s">
        <v>89</v>
      </c>
      <c r="P233" s="28" t="s">
        <v>60</v>
      </c>
      <c r="Q233" s="28"/>
      <c r="R233" s="28"/>
      <c r="S233" s="28"/>
      <c r="T233" s="28" t="s">
        <v>40</v>
      </c>
      <c r="U233" s="28" t="s">
        <v>41</v>
      </c>
      <c r="V233" s="28" t="s">
        <v>54</v>
      </c>
      <c r="W233" s="28" t="s">
        <v>759</v>
      </c>
      <c r="X233" s="28" t="s">
        <v>115</v>
      </c>
      <c r="Y233" s="28">
        <v>4752.0</v>
      </c>
    </row>
    <row r="234" ht="56.25" customHeight="1">
      <c r="A234" s="28" t="s">
        <v>748</v>
      </c>
      <c r="B234" s="29" t="str">
        <f>IMAGE("https://storage.googleapis.com/acdb/wall-mounted/FtrDoorOrnamentIron_Remake_5_0.png")</f>
        <v/>
      </c>
      <c r="C234" s="28" t="s">
        <v>187</v>
      </c>
      <c r="D234" s="30" t="s">
        <v>199</v>
      </c>
      <c r="E234" s="28" t="s">
        <v>83</v>
      </c>
      <c r="F234" s="30" t="s">
        <v>83</v>
      </c>
      <c r="G234" s="28" t="s">
        <v>53</v>
      </c>
      <c r="H234" s="28" t="s">
        <v>53</v>
      </c>
      <c r="I234" s="28">
        <v>1.0</v>
      </c>
      <c r="J234" s="28" t="s">
        <v>51</v>
      </c>
      <c r="K234" s="28">
        <v>1500.0</v>
      </c>
      <c r="L234" s="28" t="s">
        <v>123</v>
      </c>
      <c r="M234" s="28" t="s">
        <v>55</v>
      </c>
      <c r="N234" s="28"/>
      <c r="O234" s="31" t="s">
        <v>89</v>
      </c>
      <c r="P234" s="28" t="s">
        <v>60</v>
      </c>
      <c r="Q234" s="28"/>
      <c r="R234" s="28"/>
      <c r="S234" s="28"/>
      <c r="T234" s="28" t="s">
        <v>40</v>
      </c>
      <c r="U234" s="28" t="s">
        <v>41</v>
      </c>
      <c r="V234" s="28" t="s">
        <v>54</v>
      </c>
      <c r="W234" s="28" t="s">
        <v>762</v>
      </c>
      <c r="X234" s="28" t="s">
        <v>120</v>
      </c>
      <c r="Y234" s="28">
        <v>4752.0</v>
      </c>
    </row>
    <row r="235" ht="56.25" customHeight="1">
      <c r="A235" s="28" t="s">
        <v>748</v>
      </c>
      <c r="B235" s="29" t="str">
        <f>IMAGE("https://storage.googleapis.com/acdb/wall-mounted/FtrDoorOrnamentIron_Remake_6_0.png")</f>
        <v/>
      </c>
      <c r="C235" s="28" t="s">
        <v>107</v>
      </c>
      <c r="D235" s="30" t="s">
        <v>199</v>
      </c>
      <c r="E235" s="28" t="s">
        <v>83</v>
      </c>
      <c r="F235" s="30" t="s">
        <v>83</v>
      </c>
      <c r="G235" s="28" t="s">
        <v>53</v>
      </c>
      <c r="H235" s="28" t="s">
        <v>53</v>
      </c>
      <c r="I235" s="28">
        <v>1.0</v>
      </c>
      <c r="J235" s="28" t="s">
        <v>51</v>
      </c>
      <c r="K235" s="28">
        <v>1500.0</v>
      </c>
      <c r="L235" s="28" t="s">
        <v>123</v>
      </c>
      <c r="M235" s="28" t="s">
        <v>55</v>
      </c>
      <c r="N235" s="28"/>
      <c r="O235" s="31" t="s">
        <v>89</v>
      </c>
      <c r="P235" s="28" t="s">
        <v>60</v>
      </c>
      <c r="Q235" s="28"/>
      <c r="R235" s="28"/>
      <c r="S235" s="28"/>
      <c r="T235" s="28" t="s">
        <v>40</v>
      </c>
      <c r="U235" s="28" t="s">
        <v>41</v>
      </c>
      <c r="V235" s="28" t="s">
        <v>54</v>
      </c>
      <c r="W235" s="28" t="s">
        <v>763</v>
      </c>
      <c r="X235" s="28" t="s">
        <v>218</v>
      </c>
      <c r="Y235" s="28">
        <v>4752.0</v>
      </c>
    </row>
    <row r="236" ht="56.25" customHeight="1">
      <c r="A236" s="28" t="s">
        <v>748</v>
      </c>
      <c r="B236" s="29" t="str">
        <f>IMAGE("https://storage.googleapis.com/acdb/wall-mounted/FtrDoorOrnamentIron_Remake_7_0.png")</f>
        <v/>
      </c>
      <c r="C236" s="28" t="s">
        <v>118</v>
      </c>
      <c r="D236" s="30" t="s">
        <v>199</v>
      </c>
      <c r="E236" s="28" t="s">
        <v>83</v>
      </c>
      <c r="F236" s="30" t="s">
        <v>83</v>
      </c>
      <c r="G236" s="28" t="s">
        <v>53</v>
      </c>
      <c r="H236" s="28" t="s">
        <v>53</v>
      </c>
      <c r="I236" s="28">
        <v>1.0</v>
      </c>
      <c r="J236" s="28" t="s">
        <v>51</v>
      </c>
      <c r="K236" s="28">
        <v>1500.0</v>
      </c>
      <c r="L236" s="28" t="s">
        <v>123</v>
      </c>
      <c r="M236" s="28" t="s">
        <v>55</v>
      </c>
      <c r="N236" s="28"/>
      <c r="O236" s="31" t="s">
        <v>89</v>
      </c>
      <c r="P236" s="28" t="s">
        <v>60</v>
      </c>
      <c r="Q236" s="28"/>
      <c r="R236" s="28"/>
      <c r="S236" s="28"/>
      <c r="T236" s="28" t="s">
        <v>40</v>
      </c>
      <c r="U236" s="28" t="s">
        <v>41</v>
      </c>
      <c r="V236" s="28" t="s">
        <v>54</v>
      </c>
      <c r="W236" s="28" t="s">
        <v>765</v>
      </c>
      <c r="X236" s="28" t="s">
        <v>223</v>
      </c>
      <c r="Y236" s="28">
        <v>4752.0</v>
      </c>
    </row>
    <row r="237" ht="56.25" customHeight="1">
      <c r="A237" s="28" t="s">
        <v>766</v>
      </c>
      <c r="B237" s="29" t="str">
        <f>IMAGE("https://storage.googleapis.com/acdb/wall-mounted/FtrIronLampW_Remake_0_0.png")</f>
        <v/>
      </c>
      <c r="C237" s="28" t="s">
        <v>99</v>
      </c>
      <c r="D237" s="30" t="s">
        <v>768</v>
      </c>
      <c r="E237" s="28" t="s">
        <v>83</v>
      </c>
      <c r="F237" s="30" t="s">
        <v>83</v>
      </c>
      <c r="G237" s="28" t="s">
        <v>53</v>
      </c>
      <c r="H237" s="28" t="s">
        <v>53</v>
      </c>
      <c r="I237" s="28">
        <v>5.0</v>
      </c>
      <c r="J237" s="28" t="s">
        <v>51</v>
      </c>
      <c r="K237" s="34">
        <v>3400.0</v>
      </c>
      <c r="L237" s="28" t="s">
        <v>123</v>
      </c>
      <c r="M237" s="28" t="s">
        <v>55</v>
      </c>
      <c r="N237" s="28"/>
      <c r="O237" s="31" t="s">
        <v>89</v>
      </c>
      <c r="P237" s="28" t="s">
        <v>60</v>
      </c>
      <c r="Q237" s="28" t="s">
        <v>243</v>
      </c>
      <c r="R237" s="28"/>
      <c r="S237" s="28"/>
      <c r="T237" s="28" t="s">
        <v>53</v>
      </c>
      <c r="U237" s="28" t="s">
        <v>186</v>
      </c>
      <c r="V237" s="28" t="s">
        <v>54</v>
      </c>
      <c r="W237" s="28" t="s">
        <v>769</v>
      </c>
      <c r="X237" s="28" t="s">
        <v>92</v>
      </c>
      <c r="Y237" s="28">
        <v>3559.0</v>
      </c>
    </row>
    <row r="238" ht="56.25" customHeight="1">
      <c r="A238" s="28" t="s">
        <v>766</v>
      </c>
      <c r="B238" s="29" t="str">
        <f>IMAGE("https://storage.googleapis.com/acdb/wall-mounted/FtrIronLampW_Remake_1_0.png")</f>
        <v/>
      </c>
      <c r="C238" s="28" t="s">
        <v>82</v>
      </c>
      <c r="D238" s="30" t="s">
        <v>768</v>
      </c>
      <c r="E238" s="28" t="s">
        <v>83</v>
      </c>
      <c r="F238" s="30" t="s">
        <v>83</v>
      </c>
      <c r="G238" s="28" t="s">
        <v>53</v>
      </c>
      <c r="H238" s="28" t="s">
        <v>53</v>
      </c>
      <c r="I238" s="28">
        <v>5.0</v>
      </c>
      <c r="J238" s="28" t="s">
        <v>51</v>
      </c>
      <c r="K238" s="28">
        <v>3400.0</v>
      </c>
      <c r="L238" s="28" t="s">
        <v>123</v>
      </c>
      <c r="M238" s="28" t="s">
        <v>55</v>
      </c>
      <c r="N238" s="28"/>
      <c r="O238" s="31" t="s">
        <v>89</v>
      </c>
      <c r="P238" s="28" t="s">
        <v>60</v>
      </c>
      <c r="Q238" s="28" t="s">
        <v>243</v>
      </c>
      <c r="R238" s="28"/>
      <c r="S238" s="28"/>
      <c r="T238" s="28" t="s">
        <v>53</v>
      </c>
      <c r="U238" s="28" t="s">
        <v>186</v>
      </c>
      <c r="V238" s="28" t="s">
        <v>54</v>
      </c>
      <c r="W238" s="28" t="s">
        <v>771</v>
      </c>
      <c r="X238" s="28" t="s">
        <v>97</v>
      </c>
      <c r="Y238" s="28">
        <v>3559.0</v>
      </c>
    </row>
    <row r="239" ht="56.25" customHeight="1">
      <c r="A239" s="28" t="s">
        <v>772</v>
      </c>
      <c r="B239" s="29" t="str">
        <f>IMAGE("https://storage.googleapis.com/acdb/wall-mounted/FtrIronShelfW_Remake_0_0.png")</f>
        <v/>
      </c>
      <c r="C239" s="28" t="s">
        <v>99</v>
      </c>
      <c r="D239" s="30" t="s">
        <v>768</v>
      </c>
      <c r="E239" s="28" t="s">
        <v>83</v>
      </c>
      <c r="F239" s="30" t="s">
        <v>83</v>
      </c>
      <c r="G239" s="34" t="s">
        <v>53</v>
      </c>
      <c r="H239" s="34" t="s">
        <v>53</v>
      </c>
      <c r="I239" s="28">
        <v>4.0</v>
      </c>
      <c r="J239" s="28" t="s">
        <v>51</v>
      </c>
      <c r="K239" s="28">
        <v>2450.0</v>
      </c>
      <c r="L239" s="28" t="s">
        <v>123</v>
      </c>
      <c r="M239" s="28" t="s">
        <v>55</v>
      </c>
      <c r="N239" s="28"/>
      <c r="O239" s="31" t="s">
        <v>89</v>
      </c>
      <c r="P239" s="28" t="s">
        <v>60</v>
      </c>
      <c r="Q239" s="28" t="s">
        <v>243</v>
      </c>
      <c r="R239" s="28"/>
      <c r="S239" s="28"/>
      <c r="T239" s="28" t="s">
        <v>40</v>
      </c>
      <c r="U239" s="28" t="s">
        <v>41</v>
      </c>
      <c r="V239" s="28" t="s">
        <v>54</v>
      </c>
      <c r="W239" s="28" t="s">
        <v>774</v>
      </c>
      <c r="X239" s="28" t="s">
        <v>92</v>
      </c>
      <c r="Y239" s="28">
        <v>3562.0</v>
      </c>
    </row>
    <row r="240" ht="56.25" customHeight="1">
      <c r="A240" s="28" t="s">
        <v>772</v>
      </c>
      <c r="B240" s="29" t="str">
        <f>IMAGE("https://storage.googleapis.com/acdb/wall-mounted/FtrIronShelfW_Remake_1_0.png")</f>
        <v/>
      </c>
      <c r="C240" s="28" t="s">
        <v>82</v>
      </c>
      <c r="D240" s="30" t="s">
        <v>768</v>
      </c>
      <c r="E240" s="28" t="s">
        <v>83</v>
      </c>
      <c r="F240" s="30" t="s">
        <v>83</v>
      </c>
      <c r="G240" s="34" t="s">
        <v>53</v>
      </c>
      <c r="H240" s="34" t="s">
        <v>53</v>
      </c>
      <c r="I240" s="28">
        <v>4.0</v>
      </c>
      <c r="J240" s="28" t="s">
        <v>51</v>
      </c>
      <c r="K240" s="28">
        <v>2450.0</v>
      </c>
      <c r="L240" s="28" t="s">
        <v>123</v>
      </c>
      <c r="M240" s="28" t="s">
        <v>55</v>
      </c>
      <c r="N240" s="28"/>
      <c r="O240" s="31" t="s">
        <v>89</v>
      </c>
      <c r="P240" s="28" t="s">
        <v>60</v>
      </c>
      <c r="Q240" s="28" t="s">
        <v>243</v>
      </c>
      <c r="R240" s="28"/>
      <c r="S240" s="28"/>
      <c r="T240" s="28" t="s">
        <v>40</v>
      </c>
      <c r="U240" s="28" t="s">
        <v>41</v>
      </c>
      <c r="V240" s="28" t="s">
        <v>54</v>
      </c>
      <c r="W240" s="28" t="s">
        <v>776</v>
      </c>
      <c r="X240" s="28" t="s">
        <v>97</v>
      </c>
      <c r="Y240" s="28">
        <v>3562.0</v>
      </c>
    </row>
    <row r="241" ht="56.25" customHeight="1">
      <c r="A241" s="28" t="s">
        <v>777</v>
      </c>
      <c r="B241" s="29" t="str">
        <f>IMAGE("https://storage.googleapis.com/acdb/wall-mounted/FtrIronwoodClockW_Remake_0_0.png")</f>
        <v/>
      </c>
      <c r="C241" s="28" t="s">
        <v>778</v>
      </c>
      <c r="D241" s="30" t="s">
        <v>779</v>
      </c>
      <c r="E241" s="28" t="s">
        <v>83</v>
      </c>
      <c r="F241" s="30" t="s">
        <v>83</v>
      </c>
      <c r="G241" s="28" t="s">
        <v>53</v>
      </c>
      <c r="H241" s="28" t="s">
        <v>53</v>
      </c>
      <c r="I241" s="28">
        <v>3.0</v>
      </c>
      <c r="J241" s="28" t="s">
        <v>51</v>
      </c>
      <c r="K241" s="28">
        <v>1740.0</v>
      </c>
      <c r="L241" s="28" t="s">
        <v>123</v>
      </c>
      <c r="M241" s="28" t="s">
        <v>55</v>
      </c>
      <c r="N241" s="28"/>
      <c r="O241" s="31" t="s">
        <v>89</v>
      </c>
      <c r="P241" s="28" t="s">
        <v>60</v>
      </c>
      <c r="Q241" s="28"/>
      <c r="R241" s="28"/>
      <c r="S241" s="28"/>
      <c r="T241" s="28" t="s">
        <v>53</v>
      </c>
      <c r="U241" s="28" t="s">
        <v>41</v>
      </c>
      <c r="V241" s="28" t="s">
        <v>54</v>
      </c>
      <c r="W241" s="28" t="s">
        <v>780</v>
      </c>
      <c r="X241" s="28" t="s">
        <v>92</v>
      </c>
      <c r="Y241" s="28">
        <v>3275.0</v>
      </c>
    </row>
    <row r="242" ht="56.25" customHeight="1">
      <c r="A242" s="28" t="s">
        <v>777</v>
      </c>
      <c r="B242" s="29" t="str">
        <f>IMAGE("https://storage.googleapis.com/acdb/wall-mounted/FtrIronwoodClockW_Remake_1_0.png")</f>
        <v/>
      </c>
      <c r="C242" s="28" t="s">
        <v>782</v>
      </c>
      <c r="D242" s="30" t="s">
        <v>779</v>
      </c>
      <c r="E242" s="28" t="s">
        <v>83</v>
      </c>
      <c r="F242" s="30" t="s">
        <v>83</v>
      </c>
      <c r="G242" s="28" t="s">
        <v>53</v>
      </c>
      <c r="H242" s="28" t="s">
        <v>53</v>
      </c>
      <c r="I242" s="28">
        <v>3.0</v>
      </c>
      <c r="J242" s="28" t="s">
        <v>51</v>
      </c>
      <c r="K242" s="28">
        <v>1740.0</v>
      </c>
      <c r="L242" s="28" t="s">
        <v>123</v>
      </c>
      <c r="M242" s="28" t="s">
        <v>55</v>
      </c>
      <c r="N242" s="28"/>
      <c r="O242" s="31" t="s">
        <v>89</v>
      </c>
      <c r="P242" s="28" t="s">
        <v>60</v>
      </c>
      <c r="Q242" s="28"/>
      <c r="R242" s="28"/>
      <c r="S242" s="28"/>
      <c r="T242" s="28" t="s">
        <v>53</v>
      </c>
      <c r="U242" s="28" t="s">
        <v>41</v>
      </c>
      <c r="V242" s="28" t="s">
        <v>54</v>
      </c>
      <c r="W242" s="28" t="s">
        <v>784</v>
      </c>
      <c r="X242" s="28" t="s">
        <v>97</v>
      </c>
      <c r="Y242" s="28">
        <v>3275.0</v>
      </c>
    </row>
    <row r="243" ht="56.25" customHeight="1">
      <c r="A243" s="28" t="s">
        <v>777</v>
      </c>
      <c r="B243" s="29" t="str">
        <f>IMAGE("https://storage.googleapis.com/acdb/wall-mounted/FtrIronwoodClockW_Remake_2_0.png")</f>
        <v/>
      </c>
      <c r="C243" s="28" t="s">
        <v>785</v>
      </c>
      <c r="D243" s="30" t="s">
        <v>779</v>
      </c>
      <c r="E243" s="28" t="s">
        <v>83</v>
      </c>
      <c r="F243" s="30" t="s">
        <v>83</v>
      </c>
      <c r="G243" s="28" t="s">
        <v>53</v>
      </c>
      <c r="H243" s="28" t="s">
        <v>53</v>
      </c>
      <c r="I243" s="28">
        <v>3.0</v>
      </c>
      <c r="J243" s="28" t="s">
        <v>51</v>
      </c>
      <c r="K243" s="28">
        <v>1740.0</v>
      </c>
      <c r="L243" s="28" t="s">
        <v>123</v>
      </c>
      <c r="M243" s="28" t="s">
        <v>55</v>
      </c>
      <c r="N243" s="28"/>
      <c r="O243" s="31" t="s">
        <v>89</v>
      </c>
      <c r="P243" s="28" t="s">
        <v>60</v>
      </c>
      <c r="Q243" s="28"/>
      <c r="R243" s="28"/>
      <c r="S243" s="28"/>
      <c r="T243" s="28" t="s">
        <v>53</v>
      </c>
      <c r="U243" s="28" t="s">
        <v>41</v>
      </c>
      <c r="V243" s="28" t="s">
        <v>54</v>
      </c>
      <c r="W243" s="28" t="s">
        <v>787</v>
      </c>
      <c r="X243" s="28" t="s">
        <v>103</v>
      </c>
      <c r="Y243" s="28">
        <v>3275.0</v>
      </c>
    </row>
    <row r="244" ht="56.25" customHeight="1">
      <c r="A244" s="28" t="s">
        <v>777</v>
      </c>
      <c r="B244" s="29" t="str">
        <f>IMAGE("https://storage.googleapis.com/acdb/wall-mounted/FtrIronwoodClockW_Remake_3_0.png")</f>
        <v/>
      </c>
      <c r="C244" s="28" t="s">
        <v>788</v>
      </c>
      <c r="D244" s="30" t="s">
        <v>779</v>
      </c>
      <c r="E244" s="28" t="s">
        <v>83</v>
      </c>
      <c r="F244" s="30" t="s">
        <v>83</v>
      </c>
      <c r="G244" s="28" t="s">
        <v>53</v>
      </c>
      <c r="H244" s="28" t="s">
        <v>53</v>
      </c>
      <c r="I244" s="28">
        <v>3.0</v>
      </c>
      <c r="J244" s="28" t="s">
        <v>51</v>
      </c>
      <c r="K244" s="28">
        <v>1740.0</v>
      </c>
      <c r="L244" s="28" t="s">
        <v>123</v>
      </c>
      <c r="M244" s="28" t="s">
        <v>55</v>
      </c>
      <c r="N244" s="28"/>
      <c r="O244" s="31" t="s">
        <v>89</v>
      </c>
      <c r="P244" s="28" t="s">
        <v>60</v>
      </c>
      <c r="Q244" s="28"/>
      <c r="R244" s="28"/>
      <c r="S244" s="28"/>
      <c r="T244" s="28" t="s">
        <v>53</v>
      </c>
      <c r="U244" s="28" t="s">
        <v>41</v>
      </c>
      <c r="V244" s="28" t="s">
        <v>54</v>
      </c>
      <c r="W244" s="28" t="s">
        <v>789</v>
      </c>
      <c r="X244" s="28" t="s">
        <v>110</v>
      </c>
      <c r="Y244" s="28">
        <v>3275.0</v>
      </c>
    </row>
    <row r="245" ht="56.25" customHeight="1">
      <c r="A245" s="28" t="s">
        <v>777</v>
      </c>
      <c r="B245" s="29" t="str">
        <f>IMAGE("https://storage.googleapis.com/acdb/wall-mounted/FtrIronwoodClockW_Remake_4_0.png")</f>
        <v/>
      </c>
      <c r="C245" s="28" t="s">
        <v>790</v>
      </c>
      <c r="D245" s="30" t="s">
        <v>779</v>
      </c>
      <c r="E245" s="28" t="s">
        <v>83</v>
      </c>
      <c r="F245" s="30" t="s">
        <v>83</v>
      </c>
      <c r="G245" s="28" t="s">
        <v>53</v>
      </c>
      <c r="H245" s="28" t="s">
        <v>53</v>
      </c>
      <c r="I245" s="28">
        <v>3.0</v>
      </c>
      <c r="J245" s="28" t="s">
        <v>51</v>
      </c>
      <c r="K245" s="28">
        <v>1740.0</v>
      </c>
      <c r="L245" s="28" t="s">
        <v>123</v>
      </c>
      <c r="M245" s="28" t="s">
        <v>55</v>
      </c>
      <c r="N245" s="28"/>
      <c r="O245" s="31" t="s">
        <v>89</v>
      </c>
      <c r="P245" s="28" t="s">
        <v>60</v>
      </c>
      <c r="Q245" s="28"/>
      <c r="R245" s="28"/>
      <c r="S245" s="28"/>
      <c r="T245" s="28" t="s">
        <v>53</v>
      </c>
      <c r="U245" s="28" t="s">
        <v>41</v>
      </c>
      <c r="V245" s="28" t="s">
        <v>54</v>
      </c>
      <c r="W245" s="28" t="s">
        <v>791</v>
      </c>
      <c r="X245" s="28" t="s">
        <v>115</v>
      </c>
      <c r="Y245" s="28">
        <v>3275.0</v>
      </c>
    </row>
    <row r="246" ht="56.25" customHeight="1">
      <c r="A246" s="28" t="s">
        <v>792</v>
      </c>
      <c r="B246" s="29" t="str">
        <f>IMAGE("https://storage.googleapis.com/acdb/wall-mounted/FtrKeyhanger_Remake_0_0.png")</f>
        <v/>
      </c>
      <c r="C246" s="28" t="s">
        <v>795</v>
      </c>
      <c r="D246" s="30" t="s">
        <v>768</v>
      </c>
      <c r="E246" s="28" t="s">
        <v>83</v>
      </c>
      <c r="F246" s="30" t="s">
        <v>83</v>
      </c>
      <c r="G246" s="28" t="s">
        <v>53</v>
      </c>
      <c r="H246" s="28" t="s">
        <v>53</v>
      </c>
      <c r="I246" s="28">
        <v>2.0</v>
      </c>
      <c r="J246" s="28" t="s">
        <v>51</v>
      </c>
      <c r="K246" s="28">
        <v>1110.0</v>
      </c>
      <c r="L246" s="28" t="s">
        <v>123</v>
      </c>
      <c r="M246" s="28" t="s">
        <v>55</v>
      </c>
      <c r="N246" s="28"/>
      <c r="O246" s="31" t="s">
        <v>89</v>
      </c>
      <c r="P246" s="28" t="s">
        <v>243</v>
      </c>
      <c r="Q246" s="28" t="s">
        <v>60</v>
      </c>
      <c r="R246" s="28"/>
      <c r="S246" s="28"/>
      <c r="T246" s="28" t="s">
        <v>40</v>
      </c>
      <c r="U246" s="28" t="s">
        <v>41</v>
      </c>
      <c r="V246" s="28" t="s">
        <v>54</v>
      </c>
      <c r="W246" s="28" t="s">
        <v>796</v>
      </c>
      <c r="X246" s="28" t="s">
        <v>92</v>
      </c>
      <c r="Y246" s="28">
        <v>3992.0</v>
      </c>
    </row>
    <row r="247" ht="56.25" customHeight="1">
      <c r="A247" s="28" t="s">
        <v>792</v>
      </c>
      <c r="B247" s="29" t="str">
        <f>IMAGE("https://storage.googleapis.com/acdb/wall-mounted/FtrKeyhanger_Remake_1_0.png")</f>
        <v/>
      </c>
      <c r="C247" s="28" t="s">
        <v>797</v>
      </c>
      <c r="D247" s="30" t="s">
        <v>768</v>
      </c>
      <c r="E247" s="28" t="s">
        <v>83</v>
      </c>
      <c r="F247" s="30" t="s">
        <v>83</v>
      </c>
      <c r="G247" s="28" t="s">
        <v>53</v>
      </c>
      <c r="H247" s="28" t="s">
        <v>53</v>
      </c>
      <c r="I247" s="28">
        <v>2.0</v>
      </c>
      <c r="J247" s="28" t="s">
        <v>51</v>
      </c>
      <c r="K247" s="28">
        <v>1110.0</v>
      </c>
      <c r="L247" s="28" t="s">
        <v>123</v>
      </c>
      <c r="M247" s="28" t="s">
        <v>55</v>
      </c>
      <c r="N247" s="28"/>
      <c r="O247" s="31" t="s">
        <v>89</v>
      </c>
      <c r="P247" s="28" t="s">
        <v>243</v>
      </c>
      <c r="Q247" s="28" t="s">
        <v>60</v>
      </c>
      <c r="R247" s="28"/>
      <c r="S247" s="28"/>
      <c r="T247" s="28" t="s">
        <v>40</v>
      </c>
      <c r="U247" s="28" t="s">
        <v>41</v>
      </c>
      <c r="V247" s="28" t="s">
        <v>54</v>
      </c>
      <c r="W247" s="28" t="s">
        <v>799</v>
      </c>
      <c r="X247" s="28" t="s">
        <v>97</v>
      </c>
      <c r="Y247" s="28">
        <v>3992.0</v>
      </c>
    </row>
    <row r="248" ht="56.25" customHeight="1">
      <c r="A248" s="28" t="s">
        <v>792</v>
      </c>
      <c r="B248" s="29" t="str">
        <f>IMAGE("https://storage.googleapis.com/acdb/wall-mounted/FtrKeyhanger_Remake_2_0.png")</f>
        <v/>
      </c>
      <c r="C248" s="28" t="s">
        <v>82</v>
      </c>
      <c r="D248" s="30" t="s">
        <v>768</v>
      </c>
      <c r="E248" s="28" t="s">
        <v>83</v>
      </c>
      <c r="F248" s="30" t="s">
        <v>83</v>
      </c>
      <c r="G248" s="28" t="s">
        <v>53</v>
      </c>
      <c r="H248" s="28" t="s">
        <v>53</v>
      </c>
      <c r="I248" s="28">
        <v>2.0</v>
      </c>
      <c r="J248" s="28" t="s">
        <v>51</v>
      </c>
      <c r="K248" s="28">
        <v>1110.0</v>
      </c>
      <c r="L248" s="28" t="s">
        <v>123</v>
      </c>
      <c r="M248" s="28" t="s">
        <v>55</v>
      </c>
      <c r="N248" s="28"/>
      <c r="O248" s="31" t="s">
        <v>89</v>
      </c>
      <c r="P248" s="28" t="s">
        <v>243</v>
      </c>
      <c r="Q248" s="28" t="s">
        <v>60</v>
      </c>
      <c r="R248" s="28"/>
      <c r="S248" s="28"/>
      <c r="T248" s="28" t="s">
        <v>40</v>
      </c>
      <c r="U248" s="28" t="s">
        <v>41</v>
      </c>
      <c r="V248" s="28" t="s">
        <v>54</v>
      </c>
      <c r="W248" s="28" t="s">
        <v>800</v>
      </c>
      <c r="X248" s="28" t="s">
        <v>103</v>
      </c>
      <c r="Y248" s="28">
        <v>3992.0</v>
      </c>
    </row>
    <row r="249" ht="56.25" customHeight="1">
      <c r="A249" s="28" t="s">
        <v>792</v>
      </c>
      <c r="B249" s="29" t="str">
        <f>IMAGE("https://storage.googleapis.com/acdb/wall-mounted/FtrKeyhanger_Remake_3_0.png")</f>
        <v/>
      </c>
      <c r="C249" s="28" t="s">
        <v>99</v>
      </c>
      <c r="D249" s="30" t="s">
        <v>768</v>
      </c>
      <c r="E249" s="28" t="s">
        <v>83</v>
      </c>
      <c r="F249" s="30" t="s">
        <v>83</v>
      </c>
      <c r="G249" s="28" t="s">
        <v>53</v>
      </c>
      <c r="H249" s="28" t="s">
        <v>53</v>
      </c>
      <c r="I249" s="28">
        <v>2.0</v>
      </c>
      <c r="J249" s="28" t="s">
        <v>51</v>
      </c>
      <c r="K249" s="28">
        <v>1110.0</v>
      </c>
      <c r="L249" s="28" t="s">
        <v>123</v>
      </c>
      <c r="M249" s="28" t="s">
        <v>55</v>
      </c>
      <c r="N249" s="28"/>
      <c r="O249" s="31" t="s">
        <v>89</v>
      </c>
      <c r="P249" s="28" t="s">
        <v>243</v>
      </c>
      <c r="Q249" s="28" t="s">
        <v>60</v>
      </c>
      <c r="R249" s="28"/>
      <c r="S249" s="28"/>
      <c r="T249" s="28" t="s">
        <v>40</v>
      </c>
      <c r="U249" s="28" t="s">
        <v>41</v>
      </c>
      <c r="V249" s="28" t="s">
        <v>54</v>
      </c>
      <c r="W249" s="28" t="s">
        <v>802</v>
      </c>
      <c r="X249" s="28" t="s">
        <v>110</v>
      </c>
      <c r="Y249" s="28">
        <v>3992.0</v>
      </c>
    </row>
    <row r="250" ht="56.25" customHeight="1">
      <c r="A250" s="28" t="s">
        <v>803</v>
      </c>
      <c r="B250" s="29" t="str">
        <f>IMAGE("https://storage.googleapis.com/acdb/wall-mounted/FtrZodiacLeo.png")</f>
        <v/>
      </c>
      <c r="C250" s="28" t="s">
        <v>83</v>
      </c>
      <c r="D250" s="28" t="s">
        <v>83</v>
      </c>
      <c r="E250" s="28" t="s">
        <v>83</v>
      </c>
      <c r="F250" s="28" t="s">
        <v>83</v>
      </c>
      <c r="G250" s="28" t="s">
        <v>53</v>
      </c>
      <c r="H250" s="28" t="s">
        <v>40</v>
      </c>
      <c r="I250" s="28" t="s">
        <v>83</v>
      </c>
      <c r="J250" s="28" t="s">
        <v>51</v>
      </c>
      <c r="K250" s="28">
        <v>21975.0</v>
      </c>
      <c r="L250" s="28" t="s">
        <v>123</v>
      </c>
      <c r="M250" s="28" t="s">
        <v>55</v>
      </c>
      <c r="N250" s="28"/>
      <c r="O250" s="31" t="s">
        <v>89</v>
      </c>
      <c r="P250" s="28" t="s">
        <v>62</v>
      </c>
      <c r="Q250" s="28"/>
      <c r="R250" s="28"/>
      <c r="S250" s="28"/>
      <c r="T250" s="28" t="s">
        <v>40</v>
      </c>
      <c r="U250" s="28" t="s">
        <v>41</v>
      </c>
      <c r="V250" s="28" t="s">
        <v>54</v>
      </c>
      <c r="W250" s="28" t="s">
        <v>805</v>
      </c>
      <c r="X250" s="28" t="s">
        <v>83</v>
      </c>
      <c r="Y250" s="28">
        <v>5964.0</v>
      </c>
    </row>
    <row r="251" ht="56.25" customHeight="1">
      <c r="A251" s="28" t="s">
        <v>806</v>
      </c>
      <c r="B251" s="29" t="str">
        <f>IMAGE("https://storage.googleapis.com/acdb/wall-mounted/FtrDoorOrnamentWreathYuri.png")</f>
        <v/>
      </c>
      <c r="C251" s="28" t="s">
        <v>83</v>
      </c>
      <c r="D251" s="28" t="s">
        <v>83</v>
      </c>
      <c r="E251" s="28" t="s">
        <v>83</v>
      </c>
      <c r="F251" s="28" t="s">
        <v>83</v>
      </c>
      <c r="G251" s="28" t="s">
        <v>53</v>
      </c>
      <c r="H251" s="28" t="s">
        <v>40</v>
      </c>
      <c r="I251" s="28" t="s">
        <v>83</v>
      </c>
      <c r="J251" s="28" t="s">
        <v>51</v>
      </c>
      <c r="K251" s="28">
        <v>720.0</v>
      </c>
      <c r="L251" s="28" t="s">
        <v>123</v>
      </c>
      <c r="M251" s="28" t="s">
        <v>55</v>
      </c>
      <c r="N251" s="28"/>
      <c r="O251" s="31" t="s">
        <v>89</v>
      </c>
      <c r="P251" s="28" t="s">
        <v>36</v>
      </c>
      <c r="Q251" s="28"/>
      <c r="R251" s="28"/>
      <c r="S251" s="28"/>
      <c r="T251" s="28" t="s">
        <v>40</v>
      </c>
      <c r="U251" s="28" t="s">
        <v>41</v>
      </c>
      <c r="V251" s="28" t="s">
        <v>54</v>
      </c>
      <c r="W251" s="28" t="s">
        <v>807</v>
      </c>
      <c r="X251" s="28" t="s">
        <v>83</v>
      </c>
      <c r="Y251" s="28">
        <v>5641.0</v>
      </c>
    </row>
    <row r="252" ht="56.25" customHeight="1">
      <c r="A252" s="28" t="s">
        <v>808</v>
      </c>
      <c r="B252" s="29" t="str">
        <f>IMAGE("https://storage.googleapis.com/acdb/wall-mounted/FtrLogClockWall_Remake_0_0.png")</f>
        <v/>
      </c>
      <c r="C252" s="28" t="s">
        <v>795</v>
      </c>
      <c r="D252" s="30" t="s">
        <v>779</v>
      </c>
      <c r="E252" s="28" t="s">
        <v>83</v>
      </c>
      <c r="F252" s="30" t="s">
        <v>83</v>
      </c>
      <c r="G252" s="28" t="s">
        <v>53</v>
      </c>
      <c r="H252" s="28" t="s">
        <v>53</v>
      </c>
      <c r="I252" s="28">
        <v>2.0</v>
      </c>
      <c r="J252" s="28" t="s">
        <v>51</v>
      </c>
      <c r="K252" s="28">
        <v>990.0</v>
      </c>
      <c r="L252" s="28" t="s">
        <v>123</v>
      </c>
      <c r="M252" s="28" t="s">
        <v>55</v>
      </c>
      <c r="N252" s="28"/>
      <c r="O252" s="31" t="s">
        <v>89</v>
      </c>
      <c r="P252" s="28" t="s">
        <v>95</v>
      </c>
      <c r="Q252" s="28" t="s">
        <v>60</v>
      </c>
      <c r="R252" s="28"/>
      <c r="S252" s="28"/>
      <c r="T252" s="28" t="s">
        <v>53</v>
      </c>
      <c r="U252" s="28" t="s">
        <v>41</v>
      </c>
      <c r="V252" s="28" t="s">
        <v>54</v>
      </c>
      <c r="W252" s="28" t="s">
        <v>809</v>
      </c>
      <c r="X252" s="28" t="s">
        <v>92</v>
      </c>
      <c r="Y252" s="28">
        <v>4037.0</v>
      </c>
    </row>
    <row r="253" ht="56.25" customHeight="1">
      <c r="A253" s="28" t="s">
        <v>808</v>
      </c>
      <c r="B253" s="29" t="str">
        <f>IMAGE("https://storage.googleapis.com/acdb/wall-mounted/FtrLogClockWall_Remake_1_0.png")</f>
        <v/>
      </c>
      <c r="C253" s="28" t="s">
        <v>811</v>
      </c>
      <c r="D253" s="30" t="s">
        <v>779</v>
      </c>
      <c r="E253" s="28" t="s">
        <v>83</v>
      </c>
      <c r="F253" s="30" t="s">
        <v>83</v>
      </c>
      <c r="G253" s="28" t="s">
        <v>53</v>
      </c>
      <c r="H253" s="28" t="s">
        <v>53</v>
      </c>
      <c r="I253" s="28">
        <v>2.0</v>
      </c>
      <c r="J253" s="28" t="s">
        <v>51</v>
      </c>
      <c r="K253" s="28">
        <v>990.0</v>
      </c>
      <c r="L253" s="28" t="s">
        <v>123</v>
      </c>
      <c r="M253" s="28" t="s">
        <v>55</v>
      </c>
      <c r="N253" s="28"/>
      <c r="O253" s="31" t="s">
        <v>89</v>
      </c>
      <c r="P253" s="28" t="s">
        <v>95</v>
      </c>
      <c r="Q253" s="28" t="s">
        <v>60</v>
      </c>
      <c r="R253" s="28"/>
      <c r="S253" s="28"/>
      <c r="T253" s="28" t="s">
        <v>53</v>
      </c>
      <c r="U253" s="28" t="s">
        <v>41</v>
      </c>
      <c r="V253" s="28" t="s">
        <v>54</v>
      </c>
      <c r="W253" s="28" t="s">
        <v>812</v>
      </c>
      <c r="X253" s="28" t="s">
        <v>97</v>
      </c>
      <c r="Y253" s="28">
        <v>4037.0</v>
      </c>
    </row>
    <row r="254" ht="56.25" customHeight="1">
      <c r="A254" s="28" t="s">
        <v>808</v>
      </c>
      <c r="B254" s="29" t="str">
        <f>IMAGE("https://storage.googleapis.com/acdb/wall-mounted/FtrLogClockWall_Remake_2_0.png")</f>
        <v/>
      </c>
      <c r="C254" s="28" t="s">
        <v>814</v>
      </c>
      <c r="D254" s="30" t="s">
        <v>779</v>
      </c>
      <c r="E254" s="28" t="s">
        <v>83</v>
      </c>
      <c r="F254" s="30" t="s">
        <v>83</v>
      </c>
      <c r="G254" s="28" t="s">
        <v>53</v>
      </c>
      <c r="H254" s="28" t="s">
        <v>53</v>
      </c>
      <c r="I254" s="28">
        <v>2.0</v>
      </c>
      <c r="J254" s="28" t="s">
        <v>51</v>
      </c>
      <c r="K254" s="28">
        <v>990.0</v>
      </c>
      <c r="L254" s="28" t="s">
        <v>123</v>
      </c>
      <c r="M254" s="28" t="s">
        <v>55</v>
      </c>
      <c r="N254" s="28"/>
      <c r="O254" s="31" t="s">
        <v>89</v>
      </c>
      <c r="P254" s="28" t="s">
        <v>95</v>
      </c>
      <c r="Q254" s="28" t="s">
        <v>60</v>
      </c>
      <c r="R254" s="28"/>
      <c r="S254" s="28"/>
      <c r="T254" s="28" t="s">
        <v>53</v>
      </c>
      <c r="U254" s="28" t="s">
        <v>41</v>
      </c>
      <c r="V254" s="28" t="s">
        <v>54</v>
      </c>
      <c r="W254" s="28" t="s">
        <v>815</v>
      </c>
      <c r="X254" s="28" t="s">
        <v>103</v>
      </c>
      <c r="Y254" s="28">
        <v>4037.0</v>
      </c>
    </row>
    <row r="255" ht="56.25" customHeight="1">
      <c r="A255" s="28" t="s">
        <v>808</v>
      </c>
      <c r="B255" s="29" t="str">
        <f>IMAGE("https://storage.googleapis.com/acdb/wall-mounted/FtrLogClockWall_Remake_3_0.png")</f>
        <v/>
      </c>
      <c r="C255" s="28" t="s">
        <v>816</v>
      </c>
      <c r="D255" s="30" t="s">
        <v>779</v>
      </c>
      <c r="E255" s="28" t="s">
        <v>83</v>
      </c>
      <c r="F255" s="30" t="s">
        <v>83</v>
      </c>
      <c r="G255" s="28" t="s">
        <v>53</v>
      </c>
      <c r="H255" s="28" t="s">
        <v>53</v>
      </c>
      <c r="I255" s="28">
        <v>2.0</v>
      </c>
      <c r="J255" s="28" t="s">
        <v>51</v>
      </c>
      <c r="K255" s="28">
        <v>990.0</v>
      </c>
      <c r="L255" s="28" t="s">
        <v>123</v>
      </c>
      <c r="M255" s="28" t="s">
        <v>55</v>
      </c>
      <c r="N255" s="28"/>
      <c r="O255" s="31" t="s">
        <v>89</v>
      </c>
      <c r="P255" s="28" t="s">
        <v>95</v>
      </c>
      <c r="Q255" s="28" t="s">
        <v>60</v>
      </c>
      <c r="R255" s="28"/>
      <c r="S255" s="28"/>
      <c r="T255" s="28" t="s">
        <v>53</v>
      </c>
      <c r="U255" s="28" t="s">
        <v>41</v>
      </c>
      <c r="V255" s="28" t="s">
        <v>54</v>
      </c>
      <c r="W255" s="28" t="s">
        <v>817</v>
      </c>
      <c r="X255" s="28" t="s">
        <v>110</v>
      </c>
      <c r="Y255" s="28">
        <v>4037.0</v>
      </c>
    </row>
    <row r="256" ht="56.25" customHeight="1">
      <c r="A256" s="28" t="s">
        <v>818</v>
      </c>
      <c r="B256" s="29" t="str">
        <f>IMAGE("https://storage.googleapis.com/acdb/wall-mounted/FtrMacrametapestry_Remake_0_0.png")</f>
        <v/>
      </c>
      <c r="C256" s="28" t="s">
        <v>82</v>
      </c>
      <c r="D256" s="30" t="s">
        <v>83</v>
      </c>
      <c r="E256" s="28" t="s">
        <v>83</v>
      </c>
      <c r="F256" s="30" t="s">
        <v>83</v>
      </c>
      <c r="G256" s="28" t="s">
        <v>40</v>
      </c>
      <c r="H256" s="28" t="s">
        <v>40</v>
      </c>
      <c r="I256" s="28" t="s">
        <v>83</v>
      </c>
      <c r="J256" s="28">
        <v>840.0</v>
      </c>
      <c r="K256" s="28">
        <v>210.0</v>
      </c>
      <c r="L256" s="28" t="s">
        <v>251</v>
      </c>
      <c r="M256" s="28" t="s">
        <v>44</v>
      </c>
      <c r="N256" s="28" t="s">
        <v>63</v>
      </c>
      <c r="O256" s="31" t="s">
        <v>89</v>
      </c>
      <c r="P256" s="28" t="s">
        <v>60</v>
      </c>
      <c r="Q256" s="28"/>
      <c r="R256" s="28"/>
      <c r="S256" s="28"/>
      <c r="T256" s="28" t="s">
        <v>40</v>
      </c>
      <c r="U256" s="28" t="s">
        <v>41</v>
      </c>
      <c r="V256" s="28" t="s">
        <v>43</v>
      </c>
      <c r="W256" s="28" t="s">
        <v>820</v>
      </c>
      <c r="X256" s="28" t="s">
        <v>92</v>
      </c>
      <c r="Y256" s="28">
        <v>4119.0</v>
      </c>
    </row>
    <row r="257" ht="56.25" customHeight="1">
      <c r="A257" s="28" t="s">
        <v>818</v>
      </c>
      <c r="B257" s="29" t="str">
        <f>IMAGE("https://storage.googleapis.com/acdb/wall-mounted/FtrMacrametapestry_Remake_1_0.png")</f>
        <v/>
      </c>
      <c r="C257" s="28" t="s">
        <v>369</v>
      </c>
      <c r="D257" s="30" t="s">
        <v>83</v>
      </c>
      <c r="E257" s="28" t="s">
        <v>83</v>
      </c>
      <c r="F257" s="30" t="s">
        <v>83</v>
      </c>
      <c r="G257" s="28" t="s">
        <v>40</v>
      </c>
      <c r="H257" s="28" t="s">
        <v>40</v>
      </c>
      <c r="I257" s="28" t="s">
        <v>83</v>
      </c>
      <c r="J257" s="28">
        <v>840.0</v>
      </c>
      <c r="K257" s="28">
        <v>210.0</v>
      </c>
      <c r="L257" s="28" t="s">
        <v>251</v>
      </c>
      <c r="M257" s="28" t="s">
        <v>44</v>
      </c>
      <c r="N257" s="28" t="s">
        <v>63</v>
      </c>
      <c r="O257" s="31" t="s">
        <v>89</v>
      </c>
      <c r="P257" s="28" t="s">
        <v>60</v>
      </c>
      <c r="Q257" s="28"/>
      <c r="R257" s="28"/>
      <c r="S257" s="28"/>
      <c r="T257" s="28" t="s">
        <v>40</v>
      </c>
      <c r="U257" s="28" t="s">
        <v>41</v>
      </c>
      <c r="V257" s="28" t="s">
        <v>43</v>
      </c>
      <c r="W257" s="28" t="s">
        <v>822</v>
      </c>
      <c r="X257" s="28" t="s">
        <v>97</v>
      </c>
      <c r="Y257" s="28">
        <v>4119.0</v>
      </c>
    </row>
    <row r="258" ht="56.25" customHeight="1">
      <c r="A258" s="28" t="s">
        <v>818</v>
      </c>
      <c r="B258" s="29" t="str">
        <f>IMAGE("https://storage.googleapis.com/acdb/wall-mounted/FtrMacrametapestry_Remake_2_0.png")</f>
        <v/>
      </c>
      <c r="C258" s="28" t="s">
        <v>107</v>
      </c>
      <c r="D258" s="30" t="s">
        <v>83</v>
      </c>
      <c r="E258" s="28" t="s">
        <v>83</v>
      </c>
      <c r="F258" s="30" t="s">
        <v>83</v>
      </c>
      <c r="G258" s="28" t="s">
        <v>40</v>
      </c>
      <c r="H258" s="28" t="s">
        <v>40</v>
      </c>
      <c r="I258" s="28" t="s">
        <v>83</v>
      </c>
      <c r="J258" s="28">
        <v>840.0</v>
      </c>
      <c r="K258" s="28">
        <v>210.0</v>
      </c>
      <c r="L258" s="28" t="s">
        <v>251</v>
      </c>
      <c r="M258" s="28" t="s">
        <v>44</v>
      </c>
      <c r="N258" s="28" t="s">
        <v>63</v>
      </c>
      <c r="O258" s="31" t="s">
        <v>89</v>
      </c>
      <c r="P258" s="28" t="s">
        <v>60</v>
      </c>
      <c r="Q258" s="28"/>
      <c r="R258" s="28"/>
      <c r="S258" s="28"/>
      <c r="T258" s="28" t="s">
        <v>40</v>
      </c>
      <c r="U258" s="28" t="s">
        <v>41</v>
      </c>
      <c r="V258" s="28" t="s">
        <v>43</v>
      </c>
      <c r="W258" s="28" t="s">
        <v>824</v>
      </c>
      <c r="X258" s="28" t="s">
        <v>103</v>
      </c>
      <c r="Y258" s="28">
        <v>4119.0</v>
      </c>
    </row>
    <row r="259" ht="56.25" customHeight="1">
      <c r="A259" s="28" t="s">
        <v>818</v>
      </c>
      <c r="B259" s="29" t="str">
        <f>IMAGE("https://storage.googleapis.com/acdb/wall-mounted/FtrMacrametapestry_Remake_3_0.png")</f>
        <v/>
      </c>
      <c r="C259" s="28" t="s">
        <v>112</v>
      </c>
      <c r="D259" s="30" t="s">
        <v>83</v>
      </c>
      <c r="E259" s="28" t="s">
        <v>83</v>
      </c>
      <c r="F259" s="30" t="s">
        <v>83</v>
      </c>
      <c r="G259" s="28" t="s">
        <v>40</v>
      </c>
      <c r="H259" s="28" t="s">
        <v>40</v>
      </c>
      <c r="I259" s="28" t="s">
        <v>83</v>
      </c>
      <c r="J259" s="28">
        <v>840.0</v>
      </c>
      <c r="K259" s="28">
        <v>210.0</v>
      </c>
      <c r="L259" s="28" t="s">
        <v>251</v>
      </c>
      <c r="M259" s="28" t="s">
        <v>44</v>
      </c>
      <c r="N259" s="28" t="s">
        <v>63</v>
      </c>
      <c r="O259" s="31" t="s">
        <v>89</v>
      </c>
      <c r="P259" s="28" t="s">
        <v>60</v>
      </c>
      <c r="Q259" s="28"/>
      <c r="R259" s="28"/>
      <c r="S259" s="28"/>
      <c r="T259" s="28" t="s">
        <v>40</v>
      </c>
      <c r="U259" s="28" t="s">
        <v>41</v>
      </c>
      <c r="V259" s="28" t="s">
        <v>43</v>
      </c>
      <c r="W259" s="28" t="s">
        <v>825</v>
      </c>
      <c r="X259" s="28" t="s">
        <v>110</v>
      </c>
      <c r="Y259" s="28">
        <v>4119.0</v>
      </c>
    </row>
    <row r="260" ht="56.25" customHeight="1">
      <c r="A260" s="28" t="s">
        <v>826</v>
      </c>
      <c r="B260" s="29" t="str">
        <f>IMAGE("https://storage.googleapis.com/acdb/wall-mounted/FtrKniferackWall_Remake_0_0.png")</f>
        <v/>
      </c>
      <c r="C260" s="28" t="s">
        <v>828</v>
      </c>
      <c r="D260" s="30" t="s">
        <v>83</v>
      </c>
      <c r="E260" s="28" t="s">
        <v>83</v>
      </c>
      <c r="F260" s="30" t="s">
        <v>83</v>
      </c>
      <c r="G260" s="28" t="s">
        <v>40</v>
      </c>
      <c r="H260" s="28" t="s">
        <v>40</v>
      </c>
      <c r="I260" s="28" t="s">
        <v>83</v>
      </c>
      <c r="J260" s="28">
        <v>1400.0</v>
      </c>
      <c r="K260" s="28">
        <v>350.0</v>
      </c>
      <c r="L260" s="28" t="s">
        <v>123</v>
      </c>
      <c r="M260" s="28" t="s">
        <v>44</v>
      </c>
      <c r="N260" s="28" t="s">
        <v>63</v>
      </c>
      <c r="O260" s="31" t="s">
        <v>89</v>
      </c>
      <c r="P260" s="28" t="s">
        <v>86</v>
      </c>
      <c r="Q260" s="28" t="s">
        <v>37</v>
      </c>
      <c r="R260" s="28"/>
      <c r="S260" s="28"/>
      <c r="T260" s="28" t="s">
        <v>40</v>
      </c>
      <c r="U260" s="28" t="s">
        <v>41</v>
      </c>
      <c r="V260" s="28" t="s">
        <v>43</v>
      </c>
      <c r="W260" s="28" t="s">
        <v>829</v>
      </c>
      <c r="X260" s="28" t="s">
        <v>92</v>
      </c>
      <c r="Y260" s="28">
        <v>4118.0</v>
      </c>
    </row>
    <row r="261" ht="56.25" customHeight="1">
      <c r="A261" s="28" t="s">
        <v>826</v>
      </c>
      <c r="B261" s="29" t="str">
        <f>IMAGE("https://storage.googleapis.com/acdb/wall-mounted/FtrKniferackWall_Remake_1_0.png")</f>
        <v/>
      </c>
      <c r="C261" s="28" t="s">
        <v>605</v>
      </c>
      <c r="D261" s="30" t="s">
        <v>83</v>
      </c>
      <c r="E261" s="28" t="s">
        <v>83</v>
      </c>
      <c r="F261" s="30" t="s">
        <v>83</v>
      </c>
      <c r="G261" s="28" t="s">
        <v>40</v>
      </c>
      <c r="H261" s="28" t="s">
        <v>40</v>
      </c>
      <c r="I261" s="28" t="s">
        <v>83</v>
      </c>
      <c r="J261" s="28">
        <v>1400.0</v>
      </c>
      <c r="K261" s="28">
        <v>350.0</v>
      </c>
      <c r="L261" s="28" t="s">
        <v>123</v>
      </c>
      <c r="M261" s="28" t="s">
        <v>44</v>
      </c>
      <c r="N261" s="28" t="s">
        <v>63</v>
      </c>
      <c r="O261" s="31" t="s">
        <v>89</v>
      </c>
      <c r="P261" s="28" t="s">
        <v>86</v>
      </c>
      <c r="Q261" s="28" t="s">
        <v>37</v>
      </c>
      <c r="R261" s="28"/>
      <c r="S261" s="28"/>
      <c r="T261" s="28" t="s">
        <v>40</v>
      </c>
      <c r="U261" s="28" t="s">
        <v>41</v>
      </c>
      <c r="V261" s="28" t="s">
        <v>43</v>
      </c>
      <c r="W261" s="28" t="s">
        <v>831</v>
      </c>
      <c r="X261" s="28" t="s">
        <v>97</v>
      </c>
      <c r="Y261" s="28">
        <v>4118.0</v>
      </c>
    </row>
    <row r="262" ht="56.25" customHeight="1">
      <c r="A262" s="28" t="s">
        <v>826</v>
      </c>
      <c r="B262" s="29" t="str">
        <f>IMAGE("https://storage.googleapis.com/acdb/wall-mounted/FtrKniferackWall_Remake_2_0.png")</f>
        <v/>
      </c>
      <c r="C262" s="28" t="s">
        <v>833</v>
      </c>
      <c r="D262" s="30" t="s">
        <v>83</v>
      </c>
      <c r="E262" s="28" t="s">
        <v>83</v>
      </c>
      <c r="F262" s="30" t="s">
        <v>83</v>
      </c>
      <c r="G262" s="28" t="s">
        <v>40</v>
      </c>
      <c r="H262" s="28" t="s">
        <v>40</v>
      </c>
      <c r="I262" s="28" t="s">
        <v>83</v>
      </c>
      <c r="J262" s="28">
        <v>1400.0</v>
      </c>
      <c r="K262" s="28">
        <v>350.0</v>
      </c>
      <c r="L262" s="28" t="s">
        <v>123</v>
      </c>
      <c r="M262" s="28" t="s">
        <v>44</v>
      </c>
      <c r="N262" s="28" t="s">
        <v>63</v>
      </c>
      <c r="O262" s="31" t="s">
        <v>89</v>
      </c>
      <c r="P262" s="28" t="s">
        <v>86</v>
      </c>
      <c r="Q262" s="28" t="s">
        <v>37</v>
      </c>
      <c r="R262" s="28"/>
      <c r="S262" s="28"/>
      <c r="T262" s="28" t="s">
        <v>40</v>
      </c>
      <c r="U262" s="28" t="s">
        <v>41</v>
      </c>
      <c r="V262" s="28" t="s">
        <v>43</v>
      </c>
      <c r="W262" s="28" t="s">
        <v>834</v>
      </c>
      <c r="X262" s="28" t="s">
        <v>103</v>
      </c>
      <c r="Y262" s="28">
        <v>4118.0</v>
      </c>
    </row>
    <row r="263" ht="56.25" customHeight="1">
      <c r="A263" s="28" t="s">
        <v>836</v>
      </c>
      <c r="B263" s="29" t="str">
        <f>IMAGE("https://storage.googleapis.com/acdb/wall-mounted/FtrInsectKamakiriFace.png")</f>
        <v/>
      </c>
      <c r="C263" s="28" t="s">
        <v>83</v>
      </c>
      <c r="D263" s="28" t="s">
        <v>83</v>
      </c>
      <c r="E263" s="28" t="s">
        <v>83</v>
      </c>
      <c r="F263" s="28" t="s">
        <v>83</v>
      </c>
      <c r="G263" s="34" t="s">
        <v>40</v>
      </c>
      <c r="H263" s="28" t="s">
        <v>40</v>
      </c>
      <c r="I263" s="28" t="s">
        <v>83</v>
      </c>
      <c r="J263" s="28">
        <v>1500.0</v>
      </c>
      <c r="K263" s="28">
        <v>375.0</v>
      </c>
      <c r="L263" s="28" t="s">
        <v>123</v>
      </c>
      <c r="M263" s="28" t="s">
        <v>44</v>
      </c>
      <c r="N263" s="28" t="s">
        <v>68</v>
      </c>
      <c r="O263" s="31" t="s">
        <v>89</v>
      </c>
      <c r="P263" s="28" t="s">
        <v>90</v>
      </c>
      <c r="Q263" s="28"/>
      <c r="R263" s="28"/>
      <c r="S263" s="28"/>
      <c r="T263" s="28" t="s">
        <v>40</v>
      </c>
      <c r="U263" s="28" t="s">
        <v>41</v>
      </c>
      <c r="V263" s="28" t="s">
        <v>43</v>
      </c>
      <c r="W263" s="28" t="s">
        <v>837</v>
      </c>
      <c r="X263" s="28" t="s">
        <v>83</v>
      </c>
      <c r="Y263" s="28">
        <v>11098.0</v>
      </c>
    </row>
    <row r="264" ht="56.25" customHeight="1">
      <c r="A264" s="28" t="s">
        <v>839</v>
      </c>
      <c r="B264" s="29" t="str">
        <f>IMAGE("https://storage.googleapis.com/acdb/wall-mounted/FtrMobile_Remake_0_0.png")</f>
        <v/>
      </c>
      <c r="C264" s="28" t="s">
        <v>841</v>
      </c>
      <c r="D264" s="30" t="s">
        <v>83</v>
      </c>
      <c r="E264" s="28" t="s">
        <v>83</v>
      </c>
      <c r="F264" s="30" t="s">
        <v>83</v>
      </c>
      <c r="G264" s="28" t="s">
        <v>40</v>
      </c>
      <c r="H264" s="28" t="s">
        <v>40</v>
      </c>
      <c r="I264" s="28" t="s">
        <v>83</v>
      </c>
      <c r="J264" s="28">
        <v>780.0</v>
      </c>
      <c r="K264" s="28">
        <v>195.0</v>
      </c>
      <c r="L264" s="28" t="s">
        <v>251</v>
      </c>
      <c r="M264" s="28" t="s">
        <v>44</v>
      </c>
      <c r="N264" s="28" t="s">
        <v>63</v>
      </c>
      <c r="O264" s="31" t="s">
        <v>89</v>
      </c>
      <c r="P264" s="28" t="s">
        <v>113</v>
      </c>
      <c r="Q264" s="28" t="s">
        <v>36</v>
      </c>
      <c r="R264" s="28"/>
      <c r="S264" s="28"/>
      <c r="T264" s="28" t="s">
        <v>53</v>
      </c>
      <c r="U264" s="28" t="s">
        <v>41</v>
      </c>
      <c r="V264" s="28" t="s">
        <v>43</v>
      </c>
      <c r="W264" s="28" t="s">
        <v>842</v>
      </c>
      <c r="X264" s="28" t="s">
        <v>92</v>
      </c>
      <c r="Y264" s="28">
        <v>9565.0</v>
      </c>
    </row>
    <row r="265" ht="56.25" customHeight="1">
      <c r="A265" s="28" t="s">
        <v>839</v>
      </c>
      <c r="B265" s="29" t="str">
        <f>IMAGE("https://storage.googleapis.com/acdb/wall-mounted/FtrMobile_Remake_1_0.png")</f>
        <v/>
      </c>
      <c r="C265" s="28" t="s">
        <v>844</v>
      </c>
      <c r="D265" s="30" t="s">
        <v>83</v>
      </c>
      <c r="E265" s="28" t="s">
        <v>83</v>
      </c>
      <c r="F265" s="30" t="s">
        <v>83</v>
      </c>
      <c r="G265" s="28" t="s">
        <v>40</v>
      </c>
      <c r="H265" s="28" t="s">
        <v>40</v>
      </c>
      <c r="I265" s="28" t="s">
        <v>83</v>
      </c>
      <c r="J265" s="28">
        <v>780.0</v>
      </c>
      <c r="K265" s="28">
        <v>195.0</v>
      </c>
      <c r="L265" s="28" t="s">
        <v>251</v>
      </c>
      <c r="M265" s="28" t="s">
        <v>44</v>
      </c>
      <c r="N265" s="28" t="s">
        <v>63</v>
      </c>
      <c r="O265" s="31" t="s">
        <v>89</v>
      </c>
      <c r="P265" s="28" t="s">
        <v>113</v>
      </c>
      <c r="Q265" s="28" t="s">
        <v>36</v>
      </c>
      <c r="R265" s="28"/>
      <c r="S265" s="28"/>
      <c r="T265" s="28" t="s">
        <v>53</v>
      </c>
      <c r="U265" s="28" t="s">
        <v>41</v>
      </c>
      <c r="V265" s="28" t="s">
        <v>43</v>
      </c>
      <c r="W265" s="28" t="s">
        <v>845</v>
      </c>
      <c r="X265" s="28" t="s">
        <v>97</v>
      </c>
      <c r="Y265" s="28">
        <v>9565.0</v>
      </c>
    </row>
    <row r="266" ht="56.25" customHeight="1">
      <c r="A266" s="28" t="s">
        <v>839</v>
      </c>
      <c r="B266" s="29" t="str">
        <f>IMAGE("https://storage.googleapis.com/acdb/wall-mounted/FtrMobile_Remake_2_0.png")</f>
        <v/>
      </c>
      <c r="C266" s="28" t="s">
        <v>847</v>
      </c>
      <c r="D266" s="30" t="s">
        <v>83</v>
      </c>
      <c r="E266" s="28" t="s">
        <v>83</v>
      </c>
      <c r="F266" s="30" t="s">
        <v>83</v>
      </c>
      <c r="G266" s="28" t="s">
        <v>40</v>
      </c>
      <c r="H266" s="28" t="s">
        <v>40</v>
      </c>
      <c r="I266" s="28" t="s">
        <v>83</v>
      </c>
      <c r="J266" s="28">
        <v>780.0</v>
      </c>
      <c r="K266" s="28">
        <v>195.0</v>
      </c>
      <c r="L266" s="28" t="s">
        <v>251</v>
      </c>
      <c r="M266" s="28" t="s">
        <v>44</v>
      </c>
      <c r="N266" s="28" t="s">
        <v>63</v>
      </c>
      <c r="O266" s="31" t="s">
        <v>89</v>
      </c>
      <c r="P266" s="28" t="s">
        <v>113</v>
      </c>
      <c r="Q266" s="28" t="s">
        <v>36</v>
      </c>
      <c r="R266" s="28"/>
      <c r="S266" s="28"/>
      <c r="T266" s="28" t="s">
        <v>53</v>
      </c>
      <c r="U266" s="28" t="s">
        <v>41</v>
      </c>
      <c r="V266" s="28" t="s">
        <v>43</v>
      </c>
      <c r="W266" s="28" t="s">
        <v>848</v>
      </c>
      <c r="X266" s="28" t="s">
        <v>103</v>
      </c>
      <c r="Y266" s="28">
        <v>9565.0</v>
      </c>
    </row>
    <row r="267" ht="56.25" customHeight="1">
      <c r="A267" s="28" t="s">
        <v>839</v>
      </c>
      <c r="B267" s="29" t="str">
        <f>IMAGE("https://storage.googleapis.com/acdb/wall-mounted/FtrMobile_Remake_3_0.png")</f>
        <v/>
      </c>
      <c r="C267" s="28" t="s">
        <v>269</v>
      </c>
      <c r="D267" s="30" t="s">
        <v>83</v>
      </c>
      <c r="E267" s="28" t="s">
        <v>83</v>
      </c>
      <c r="F267" s="30" t="s">
        <v>83</v>
      </c>
      <c r="G267" s="28" t="s">
        <v>40</v>
      </c>
      <c r="H267" s="28" t="s">
        <v>40</v>
      </c>
      <c r="I267" s="28" t="s">
        <v>83</v>
      </c>
      <c r="J267" s="28">
        <v>780.0</v>
      </c>
      <c r="K267" s="28">
        <v>195.0</v>
      </c>
      <c r="L267" s="28" t="s">
        <v>251</v>
      </c>
      <c r="M267" s="28" t="s">
        <v>44</v>
      </c>
      <c r="N267" s="28" t="s">
        <v>63</v>
      </c>
      <c r="O267" s="31" t="s">
        <v>89</v>
      </c>
      <c r="P267" s="28" t="s">
        <v>113</v>
      </c>
      <c r="Q267" s="28" t="s">
        <v>36</v>
      </c>
      <c r="R267" s="28"/>
      <c r="S267" s="28"/>
      <c r="T267" s="28" t="s">
        <v>53</v>
      </c>
      <c r="U267" s="28" t="s">
        <v>41</v>
      </c>
      <c r="V267" s="28" t="s">
        <v>43</v>
      </c>
      <c r="W267" s="28" t="s">
        <v>851</v>
      </c>
      <c r="X267" s="28" t="s">
        <v>110</v>
      </c>
      <c r="Y267" s="28">
        <v>9565.0</v>
      </c>
    </row>
    <row r="268" ht="56.25" customHeight="1">
      <c r="A268" s="28" t="s">
        <v>839</v>
      </c>
      <c r="B268" s="29" t="str">
        <f>IMAGE("https://storage.googleapis.com/acdb/wall-mounted/FtrMobile_Remake_4_0.png")</f>
        <v/>
      </c>
      <c r="C268" s="28" t="s">
        <v>852</v>
      </c>
      <c r="D268" s="30" t="s">
        <v>83</v>
      </c>
      <c r="E268" s="28" t="s">
        <v>83</v>
      </c>
      <c r="F268" s="30" t="s">
        <v>83</v>
      </c>
      <c r="G268" s="28" t="s">
        <v>40</v>
      </c>
      <c r="H268" s="28" t="s">
        <v>40</v>
      </c>
      <c r="I268" s="28" t="s">
        <v>83</v>
      </c>
      <c r="J268" s="28">
        <v>780.0</v>
      </c>
      <c r="K268" s="28">
        <v>195.0</v>
      </c>
      <c r="L268" s="28" t="s">
        <v>251</v>
      </c>
      <c r="M268" s="28" t="s">
        <v>44</v>
      </c>
      <c r="N268" s="28" t="s">
        <v>63</v>
      </c>
      <c r="O268" s="31" t="s">
        <v>89</v>
      </c>
      <c r="P268" s="28" t="s">
        <v>113</v>
      </c>
      <c r="Q268" s="28" t="s">
        <v>36</v>
      </c>
      <c r="R268" s="28"/>
      <c r="S268" s="28"/>
      <c r="T268" s="28" t="s">
        <v>53</v>
      </c>
      <c r="U268" s="28" t="s">
        <v>41</v>
      </c>
      <c r="V268" s="28" t="s">
        <v>43</v>
      </c>
      <c r="W268" s="28" t="s">
        <v>854</v>
      </c>
      <c r="X268" s="28" t="s">
        <v>115</v>
      </c>
      <c r="Y268" s="28">
        <v>9565.0</v>
      </c>
    </row>
    <row r="269" ht="56.25" customHeight="1">
      <c r="A269" s="28" t="s">
        <v>855</v>
      </c>
      <c r="B269" s="29" t="str">
        <f>IMAGE("https://storage.googleapis.com/acdb/wall-mounted/FtrMomArt_Remake_0_0.png")</f>
        <v/>
      </c>
      <c r="C269" s="28" t="s">
        <v>856</v>
      </c>
      <c r="D269" s="30" t="s">
        <v>857</v>
      </c>
      <c r="E269" s="28" t="s">
        <v>83</v>
      </c>
      <c r="F269" s="30" t="s">
        <v>83</v>
      </c>
      <c r="G269" s="28" t="s">
        <v>40</v>
      </c>
      <c r="H269" s="28" t="s">
        <v>40</v>
      </c>
      <c r="I269" s="28" t="s">
        <v>83</v>
      </c>
      <c r="J269" s="28" t="s">
        <v>51</v>
      </c>
      <c r="K269" s="28">
        <v>88.0</v>
      </c>
      <c r="L269" s="28" t="s">
        <v>123</v>
      </c>
      <c r="M269" s="28" t="s">
        <v>859</v>
      </c>
      <c r="N269" s="28"/>
      <c r="O269" s="31" t="s">
        <v>89</v>
      </c>
      <c r="P269" s="28" t="s">
        <v>60</v>
      </c>
      <c r="Q269" s="28" t="s">
        <v>36</v>
      </c>
      <c r="R269" s="28"/>
      <c r="S269" s="28"/>
      <c r="T269" s="28" t="s">
        <v>40</v>
      </c>
      <c r="U269" s="28" t="s">
        <v>41</v>
      </c>
      <c r="V269" s="28" t="s">
        <v>54</v>
      </c>
      <c r="W269" s="28" t="s">
        <v>860</v>
      </c>
      <c r="X269" s="28" t="s">
        <v>92</v>
      </c>
      <c r="Y269" s="28">
        <v>7139.0</v>
      </c>
    </row>
    <row r="270" ht="56.25" customHeight="1">
      <c r="A270" s="28" t="s">
        <v>855</v>
      </c>
      <c r="B270" s="29" t="str">
        <f>IMAGE("https://storage.googleapis.com/acdb/wall-mounted/FtrMomArt_Remake_1_0.png")</f>
        <v/>
      </c>
      <c r="C270" s="28" t="s">
        <v>862</v>
      </c>
      <c r="D270" s="30" t="s">
        <v>857</v>
      </c>
      <c r="E270" s="28" t="s">
        <v>83</v>
      </c>
      <c r="F270" s="30" t="s">
        <v>83</v>
      </c>
      <c r="G270" s="28" t="s">
        <v>40</v>
      </c>
      <c r="H270" s="28" t="s">
        <v>40</v>
      </c>
      <c r="I270" s="28" t="s">
        <v>83</v>
      </c>
      <c r="J270" s="28" t="s">
        <v>51</v>
      </c>
      <c r="K270" s="28">
        <v>88.0</v>
      </c>
      <c r="L270" s="28" t="s">
        <v>123</v>
      </c>
      <c r="M270" s="28" t="s">
        <v>859</v>
      </c>
      <c r="N270" s="28"/>
      <c r="O270" s="31" t="s">
        <v>89</v>
      </c>
      <c r="P270" s="28" t="s">
        <v>60</v>
      </c>
      <c r="Q270" s="28" t="s">
        <v>36</v>
      </c>
      <c r="R270" s="28"/>
      <c r="S270" s="28"/>
      <c r="T270" s="28" t="s">
        <v>40</v>
      </c>
      <c r="U270" s="28" t="s">
        <v>41</v>
      </c>
      <c r="V270" s="28" t="s">
        <v>54</v>
      </c>
      <c r="W270" s="28" t="s">
        <v>864</v>
      </c>
      <c r="X270" s="28" t="s">
        <v>97</v>
      </c>
      <c r="Y270" s="28">
        <v>7139.0</v>
      </c>
    </row>
    <row r="271" ht="56.25" customHeight="1">
      <c r="A271" s="28" t="s">
        <v>855</v>
      </c>
      <c r="B271" s="29" t="str">
        <f>IMAGE("https://storage.googleapis.com/acdb/wall-mounted/FtrMomArt_Remake_2_0.png")</f>
        <v/>
      </c>
      <c r="C271" s="28" t="s">
        <v>865</v>
      </c>
      <c r="D271" s="30" t="s">
        <v>857</v>
      </c>
      <c r="E271" s="28" t="s">
        <v>83</v>
      </c>
      <c r="F271" s="30" t="s">
        <v>83</v>
      </c>
      <c r="G271" s="28" t="s">
        <v>40</v>
      </c>
      <c r="H271" s="28" t="s">
        <v>40</v>
      </c>
      <c r="I271" s="28" t="s">
        <v>83</v>
      </c>
      <c r="J271" s="28" t="s">
        <v>51</v>
      </c>
      <c r="K271" s="28">
        <v>88.0</v>
      </c>
      <c r="L271" s="28" t="s">
        <v>123</v>
      </c>
      <c r="M271" s="28" t="s">
        <v>859</v>
      </c>
      <c r="N271" s="28"/>
      <c r="O271" s="31" t="s">
        <v>89</v>
      </c>
      <c r="P271" s="28" t="s">
        <v>60</v>
      </c>
      <c r="Q271" s="28" t="s">
        <v>36</v>
      </c>
      <c r="R271" s="28"/>
      <c r="S271" s="28"/>
      <c r="T271" s="28" t="s">
        <v>40</v>
      </c>
      <c r="U271" s="28" t="s">
        <v>41</v>
      </c>
      <c r="V271" s="28" t="s">
        <v>54</v>
      </c>
      <c r="W271" s="28" t="s">
        <v>867</v>
      </c>
      <c r="X271" s="28" t="s">
        <v>103</v>
      </c>
      <c r="Y271" s="28">
        <v>7139.0</v>
      </c>
    </row>
    <row r="272" ht="56.25" customHeight="1">
      <c r="A272" s="28" t="s">
        <v>855</v>
      </c>
      <c r="B272" s="29" t="str">
        <f>IMAGE("https://storage.googleapis.com/acdb/wall-mounted/FtrMomArt_Remake_3_0.png")</f>
        <v/>
      </c>
      <c r="C272" s="28" t="s">
        <v>868</v>
      </c>
      <c r="D272" s="30" t="s">
        <v>857</v>
      </c>
      <c r="E272" s="28" t="s">
        <v>83</v>
      </c>
      <c r="F272" s="30" t="s">
        <v>83</v>
      </c>
      <c r="G272" s="28" t="s">
        <v>40</v>
      </c>
      <c r="H272" s="28" t="s">
        <v>40</v>
      </c>
      <c r="I272" s="28" t="s">
        <v>83</v>
      </c>
      <c r="J272" s="28" t="s">
        <v>51</v>
      </c>
      <c r="K272" s="28">
        <v>88.0</v>
      </c>
      <c r="L272" s="28" t="s">
        <v>123</v>
      </c>
      <c r="M272" s="28" t="s">
        <v>859</v>
      </c>
      <c r="N272" s="28"/>
      <c r="O272" s="31" t="s">
        <v>89</v>
      </c>
      <c r="P272" s="28" t="s">
        <v>60</v>
      </c>
      <c r="Q272" s="28" t="s">
        <v>36</v>
      </c>
      <c r="R272" s="28"/>
      <c r="S272" s="28"/>
      <c r="T272" s="28" t="s">
        <v>40</v>
      </c>
      <c r="U272" s="28" t="s">
        <v>41</v>
      </c>
      <c r="V272" s="28" t="s">
        <v>54</v>
      </c>
      <c r="W272" s="28" t="s">
        <v>869</v>
      </c>
      <c r="X272" s="28" t="s">
        <v>110</v>
      </c>
      <c r="Y272" s="28">
        <v>7139.0</v>
      </c>
    </row>
    <row r="273" ht="56.25" customHeight="1">
      <c r="A273" s="28" t="s">
        <v>855</v>
      </c>
      <c r="B273" s="29" t="str">
        <f>IMAGE("https://storage.googleapis.com/acdb/wall-mounted/FtrMomArt_Remake_4_0.png")</f>
        <v/>
      </c>
      <c r="C273" s="28" t="s">
        <v>870</v>
      </c>
      <c r="D273" s="30" t="s">
        <v>857</v>
      </c>
      <c r="E273" s="28" t="s">
        <v>83</v>
      </c>
      <c r="F273" s="30" t="s">
        <v>83</v>
      </c>
      <c r="G273" s="28" t="s">
        <v>40</v>
      </c>
      <c r="H273" s="28" t="s">
        <v>40</v>
      </c>
      <c r="I273" s="28" t="s">
        <v>83</v>
      </c>
      <c r="J273" s="28" t="s">
        <v>51</v>
      </c>
      <c r="K273" s="28">
        <v>88.0</v>
      </c>
      <c r="L273" s="28" t="s">
        <v>123</v>
      </c>
      <c r="M273" s="28" t="s">
        <v>859</v>
      </c>
      <c r="N273" s="28"/>
      <c r="O273" s="31" t="s">
        <v>89</v>
      </c>
      <c r="P273" s="28" t="s">
        <v>60</v>
      </c>
      <c r="Q273" s="28" t="s">
        <v>36</v>
      </c>
      <c r="R273" s="28"/>
      <c r="S273" s="28"/>
      <c r="T273" s="28" t="s">
        <v>40</v>
      </c>
      <c r="U273" s="28" t="s">
        <v>41</v>
      </c>
      <c r="V273" s="28" t="s">
        <v>54</v>
      </c>
      <c r="W273" s="28" t="s">
        <v>871</v>
      </c>
      <c r="X273" s="28" t="s">
        <v>115</v>
      </c>
      <c r="Y273" s="28">
        <v>7139.0</v>
      </c>
    </row>
    <row r="274" ht="56.25" customHeight="1">
      <c r="A274" s="28" t="s">
        <v>855</v>
      </c>
      <c r="B274" s="29" t="str">
        <f>IMAGE("https://storage.googleapis.com/acdb/wall-mounted/FtrMomArt_Remake_5_0.png")</f>
        <v/>
      </c>
      <c r="C274" s="28" t="s">
        <v>874</v>
      </c>
      <c r="D274" s="30" t="s">
        <v>857</v>
      </c>
      <c r="E274" s="28" t="s">
        <v>83</v>
      </c>
      <c r="F274" s="30" t="s">
        <v>83</v>
      </c>
      <c r="G274" s="28" t="s">
        <v>40</v>
      </c>
      <c r="H274" s="28" t="s">
        <v>40</v>
      </c>
      <c r="I274" s="28" t="s">
        <v>83</v>
      </c>
      <c r="J274" s="28" t="s">
        <v>51</v>
      </c>
      <c r="K274" s="28">
        <v>88.0</v>
      </c>
      <c r="L274" s="28" t="s">
        <v>123</v>
      </c>
      <c r="M274" s="28" t="s">
        <v>859</v>
      </c>
      <c r="N274" s="28"/>
      <c r="O274" s="31" t="s">
        <v>89</v>
      </c>
      <c r="P274" s="28" t="s">
        <v>60</v>
      </c>
      <c r="Q274" s="28" t="s">
        <v>36</v>
      </c>
      <c r="R274" s="28"/>
      <c r="S274" s="28"/>
      <c r="T274" s="28" t="s">
        <v>40</v>
      </c>
      <c r="U274" s="28" t="s">
        <v>41</v>
      </c>
      <c r="V274" s="28" t="s">
        <v>54</v>
      </c>
      <c r="W274" s="28" t="s">
        <v>875</v>
      </c>
      <c r="X274" s="28" t="s">
        <v>120</v>
      </c>
      <c r="Y274" s="28">
        <v>7139.0</v>
      </c>
    </row>
    <row r="275" ht="56.25" customHeight="1">
      <c r="A275" s="28" t="s">
        <v>855</v>
      </c>
      <c r="B275" s="29" t="str">
        <f>IMAGE("https://storage.googleapis.com/acdb/wall-mounted/FtrMomArt_Remake_6_0.png")</f>
        <v/>
      </c>
      <c r="C275" s="28" t="s">
        <v>876</v>
      </c>
      <c r="D275" s="30" t="s">
        <v>857</v>
      </c>
      <c r="E275" s="28" t="s">
        <v>83</v>
      </c>
      <c r="F275" s="30" t="s">
        <v>83</v>
      </c>
      <c r="G275" s="28" t="s">
        <v>40</v>
      </c>
      <c r="H275" s="28" t="s">
        <v>40</v>
      </c>
      <c r="I275" s="28" t="s">
        <v>83</v>
      </c>
      <c r="J275" s="28" t="s">
        <v>51</v>
      </c>
      <c r="K275" s="28">
        <v>88.0</v>
      </c>
      <c r="L275" s="28" t="s">
        <v>123</v>
      </c>
      <c r="M275" s="28" t="s">
        <v>859</v>
      </c>
      <c r="N275" s="28"/>
      <c r="O275" s="31" t="s">
        <v>89</v>
      </c>
      <c r="P275" s="28" t="s">
        <v>60</v>
      </c>
      <c r="Q275" s="28" t="s">
        <v>36</v>
      </c>
      <c r="R275" s="28"/>
      <c r="S275" s="28"/>
      <c r="T275" s="28" t="s">
        <v>40</v>
      </c>
      <c r="U275" s="28" t="s">
        <v>41</v>
      </c>
      <c r="V275" s="28" t="s">
        <v>54</v>
      </c>
      <c r="W275" s="28" t="s">
        <v>877</v>
      </c>
      <c r="X275" s="28" t="s">
        <v>218</v>
      </c>
      <c r="Y275" s="28">
        <v>7139.0</v>
      </c>
    </row>
    <row r="276" ht="56.25" customHeight="1">
      <c r="A276" s="28" t="s">
        <v>855</v>
      </c>
      <c r="B276" s="29" t="str">
        <f>IMAGE("https://storage.googleapis.com/acdb/wall-mounted/FtrMomArt_Remake_7_0.png")</f>
        <v/>
      </c>
      <c r="C276" s="28" t="s">
        <v>879</v>
      </c>
      <c r="D276" s="30" t="s">
        <v>857</v>
      </c>
      <c r="E276" s="28" t="s">
        <v>83</v>
      </c>
      <c r="F276" s="30" t="s">
        <v>83</v>
      </c>
      <c r="G276" s="28" t="s">
        <v>40</v>
      </c>
      <c r="H276" s="28" t="s">
        <v>40</v>
      </c>
      <c r="I276" s="28" t="s">
        <v>83</v>
      </c>
      <c r="J276" s="28" t="s">
        <v>51</v>
      </c>
      <c r="K276" s="28">
        <v>88.0</v>
      </c>
      <c r="L276" s="28" t="s">
        <v>123</v>
      </c>
      <c r="M276" s="28" t="s">
        <v>859</v>
      </c>
      <c r="N276" s="28"/>
      <c r="O276" s="31" t="s">
        <v>89</v>
      </c>
      <c r="P276" s="28" t="s">
        <v>60</v>
      </c>
      <c r="Q276" s="28" t="s">
        <v>36</v>
      </c>
      <c r="R276" s="28"/>
      <c r="S276" s="28"/>
      <c r="T276" s="28" t="s">
        <v>40</v>
      </c>
      <c r="U276" s="28" t="s">
        <v>41</v>
      </c>
      <c r="V276" s="28" t="s">
        <v>54</v>
      </c>
      <c r="W276" s="28" t="s">
        <v>880</v>
      </c>
      <c r="X276" s="28" t="s">
        <v>223</v>
      </c>
      <c r="Y276" s="28">
        <v>7139.0</v>
      </c>
    </row>
    <row r="277" ht="56.25" customHeight="1">
      <c r="A277" s="28" t="s">
        <v>881</v>
      </c>
      <c r="B277" s="29" t="str">
        <f>IMAGE("https://storage.googleapis.com/acdb/wall-mounted/FtrMomEmbroidery.png")</f>
        <v/>
      </c>
      <c r="C277" s="28" t="s">
        <v>83</v>
      </c>
      <c r="D277" s="28" t="s">
        <v>83</v>
      </c>
      <c r="E277" s="28" t="s">
        <v>83</v>
      </c>
      <c r="F277" s="28" t="s">
        <v>83</v>
      </c>
      <c r="G277" s="28" t="s">
        <v>40</v>
      </c>
      <c r="H277" s="28" t="s">
        <v>40</v>
      </c>
      <c r="I277" s="28" t="s">
        <v>83</v>
      </c>
      <c r="J277" s="28" t="s">
        <v>51</v>
      </c>
      <c r="K277" s="28">
        <v>88.0</v>
      </c>
      <c r="L277" s="28" t="s">
        <v>123</v>
      </c>
      <c r="M277" s="28" t="s">
        <v>859</v>
      </c>
      <c r="N277" s="28"/>
      <c r="O277" s="31" t="s">
        <v>89</v>
      </c>
      <c r="P277" s="28" t="s">
        <v>60</v>
      </c>
      <c r="Q277" s="28" t="s">
        <v>36</v>
      </c>
      <c r="R277" s="28" t="s">
        <v>859</v>
      </c>
      <c r="S277" s="28"/>
      <c r="T277" s="28" t="s">
        <v>40</v>
      </c>
      <c r="U277" s="28" t="s">
        <v>41</v>
      </c>
      <c r="V277" s="28" t="s">
        <v>54</v>
      </c>
      <c r="W277" s="28" t="s">
        <v>883</v>
      </c>
      <c r="X277" s="28" t="s">
        <v>83</v>
      </c>
      <c r="Y277" s="28">
        <v>7145.0</v>
      </c>
    </row>
    <row r="278" ht="56.25" customHeight="1">
      <c r="A278" s="28" t="s">
        <v>881</v>
      </c>
      <c r="B278" s="29" t="str">
        <f>IMAGE("https://storage.googleapis.com/acdb/wall-mounted/FtrMomEmbroidery_Remake_0_0.png")</f>
        <v/>
      </c>
      <c r="C278" s="28" t="s">
        <v>884</v>
      </c>
      <c r="D278" s="30" t="s">
        <v>225</v>
      </c>
      <c r="E278" s="28" t="s">
        <v>83</v>
      </c>
      <c r="F278" s="30" t="s">
        <v>83</v>
      </c>
      <c r="G278" s="28" t="s">
        <v>40</v>
      </c>
      <c r="H278" s="28" t="s">
        <v>40</v>
      </c>
      <c r="I278" s="28" t="s">
        <v>83</v>
      </c>
      <c r="J278" s="28" t="s">
        <v>51</v>
      </c>
      <c r="K278" s="28">
        <v>88.0</v>
      </c>
      <c r="L278" s="28" t="s">
        <v>123</v>
      </c>
      <c r="M278" s="28" t="s">
        <v>859</v>
      </c>
      <c r="N278" s="28"/>
      <c r="O278" s="31" t="s">
        <v>89</v>
      </c>
      <c r="P278" s="28" t="s">
        <v>60</v>
      </c>
      <c r="Q278" s="28" t="s">
        <v>36</v>
      </c>
      <c r="R278" s="28" t="s">
        <v>859</v>
      </c>
      <c r="S278" s="28"/>
      <c r="T278" s="28" t="s">
        <v>40</v>
      </c>
      <c r="U278" s="28" t="s">
        <v>41</v>
      </c>
      <c r="V278" s="28" t="s">
        <v>54</v>
      </c>
      <c r="W278" s="28" t="s">
        <v>885</v>
      </c>
      <c r="X278" s="28" t="s">
        <v>92</v>
      </c>
      <c r="Y278" s="28">
        <v>7145.0</v>
      </c>
    </row>
    <row r="279" ht="56.25" customHeight="1">
      <c r="A279" s="28" t="s">
        <v>881</v>
      </c>
      <c r="B279" s="29" t="str">
        <f>IMAGE("https://storage.googleapis.com/acdb/wall-mounted/FtrMomEmbroidery_Remake_1_0.png")</f>
        <v/>
      </c>
      <c r="C279" s="28" t="s">
        <v>632</v>
      </c>
      <c r="D279" s="30" t="s">
        <v>225</v>
      </c>
      <c r="E279" s="28" t="s">
        <v>83</v>
      </c>
      <c r="F279" s="30" t="s">
        <v>83</v>
      </c>
      <c r="G279" s="28" t="s">
        <v>40</v>
      </c>
      <c r="H279" s="28" t="s">
        <v>40</v>
      </c>
      <c r="I279" s="28" t="s">
        <v>83</v>
      </c>
      <c r="J279" s="28" t="s">
        <v>51</v>
      </c>
      <c r="K279" s="28">
        <v>88.0</v>
      </c>
      <c r="L279" s="28" t="s">
        <v>123</v>
      </c>
      <c r="M279" s="28" t="s">
        <v>859</v>
      </c>
      <c r="N279" s="28"/>
      <c r="O279" s="31" t="s">
        <v>89</v>
      </c>
      <c r="P279" s="28" t="s">
        <v>60</v>
      </c>
      <c r="Q279" s="28" t="s">
        <v>36</v>
      </c>
      <c r="R279" s="28" t="s">
        <v>859</v>
      </c>
      <c r="S279" s="28"/>
      <c r="T279" s="28" t="s">
        <v>40</v>
      </c>
      <c r="U279" s="28" t="s">
        <v>41</v>
      </c>
      <c r="V279" s="28" t="s">
        <v>54</v>
      </c>
      <c r="W279" s="28" t="s">
        <v>886</v>
      </c>
      <c r="X279" s="28" t="s">
        <v>97</v>
      </c>
      <c r="Y279" s="28">
        <v>7145.0</v>
      </c>
    </row>
    <row r="280" ht="56.25" customHeight="1">
      <c r="A280" s="28" t="s">
        <v>881</v>
      </c>
      <c r="B280" s="29" t="str">
        <f>IMAGE("https://storage.googleapis.com/acdb/wall-mounted/FtrMomEmbroidery_Remake_2_0.png")</f>
        <v/>
      </c>
      <c r="C280" s="28" t="s">
        <v>889</v>
      </c>
      <c r="D280" s="30" t="s">
        <v>225</v>
      </c>
      <c r="E280" s="28" t="s">
        <v>83</v>
      </c>
      <c r="F280" s="30" t="s">
        <v>83</v>
      </c>
      <c r="G280" s="28" t="s">
        <v>40</v>
      </c>
      <c r="H280" s="28" t="s">
        <v>40</v>
      </c>
      <c r="I280" s="28" t="s">
        <v>83</v>
      </c>
      <c r="J280" s="28" t="s">
        <v>51</v>
      </c>
      <c r="K280" s="28">
        <v>88.0</v>
      </c>
      <c r="L280" s="28" t="s">
        <v>123</v>
      </c>
      <c r="M280" s="28" t="s">
        <v>859</v>
      </c>
      <c r="N280" s="28"/>
      <c r="O280" s="31" t="s">
        <v>89</v>
      </c>
      <c r="P280" s="28" t="s">
        <v>60</v>
      </c>
      <c r="Q280" s="28" t="s">
        <v>36</v>
      </c>
      <c r="R280" s="28" t="s">
        <v>859</v>
      </c>
      <c r="S280" s="28"/>
      <c r="T280" s="28" t="s">
        <v>40</v>
      </c>
      <c r="U280" s="28" t="s">
        <v>41</v>
      </c>
      <c r="V280" s="28" t="s">
        <v>54</v>
      </c>
      <c r="W280" s="28" t="s">
        <v>890</v>
      </c>
      <c r="X280" s="28" t="s">
        <v>103</v>
      </c>
      <c r="Y280" s="28">
        <v>7145.0</v>
      </c>
    </row>
    <row r="281" ht="56.25" customHeight="1">
      <c r="A281" s="28" t="s">
        <v>881</v>
      </c>
      <c r="B281" s="29" t="str">
        <f>IMAGE("https://storage.googleapis.com/acdb/wall-mounted/FtrMomEmbroidery_Remake_3_0.png")</f>
        <v/>
      </c>
      <c r="C281" s="28" t="s">
        <v>891</v>
      </c>
      <c r="D281" s="30" t="s">
        <v>225</v>
      </c>
      <c r="E281" s="28" t="s">
        <v>83</v>
      </c>
      <c r="F281" s="30" t="s">
        <v>83</v>
      </c>
      <c r="G281" s="28" t="s">
        <v>40</v>
      </c>
      <c r="H281" s="28" t="s">
        <v>40</v>
      </c>
      <c r="I281" s="28" t="s">
        <v>83</v>
      </c>
      <c r="J281" s="28" t="s">
        <v>51</v>
      </c>
      <c r="K281" s="28">
        <v>88.0</v>
      </c>
      <c r="L281" s="28" t="s">
        <v>123</v>
      </c>
      <c r="M281" s="28" t="s">
        <v>859</v>
      </c>
      <c r="N281" s="28"/>
      <c r="O281" s="31" t="s">
        <v>89</v>
      </c>
      <c r="P281" s="28" t="s">
        <v>60</v>
      </c>
      <c r="Q281" s="28" t="s">
        <v>36</v>
      </c>
      <c r="R281" s="28" t="s">
        <v>859</v>
      </c>
      <c r="S281" s="28"/>
      <c r="T281" s="28" t="s">
        <v>40</v>
      </c>
      <c r="U281" s="28" t="s">
        <v>41</v>
      </c>
      <c r="V281" s="28" t="s">
        <v>54</v>
      </c>
      <c r="W281" s="28" t="s">
        <v>892</v>
      </c>
      <c r="X281" s="28" t="s">
        <v>110</v>
      </c>
      <c r="Y281" s="28">
        <v>7145.0</v>
      </c>
    </row>
    <row r="282" ht="56.25" customHeight="1">
      <c r="A282" s="28" t="s">
        <v>881</v>
      </c>
      <c r="B282" s="29" t="str">
        <f>IMAGE("https://storage.googleapis.com/acdb/wall-mounted/FtrMomEmbroidery_Remake_4_0.png")</f>
        <v/>
      </c>
      <c r="C282" s="28" t="s">
        <v>893</v>
      </c>
      <c r="D282" s="30" t="s">
        <v>225</v>
      </c>
      <c r="E282" s="28" t="s">
        <v>83</v>
      </c>
      <c r="F282" s="30" t="s">
        <v>83</v>
      </c>
      <c r="G282" s="28" t="s">
        <v>40</v>
      </c>
      <c r="H282" s="28" t="s">
        <v>40</v>
      </c>
      <c r="I282" s="28" t="s">
        <v>83</v>
      </c>
      <c r="J282" s="28" t="s">
        <v>51</v>
      </c>
      <c r="K282" s="28">
        <v>88.0</v>
      </c>
      <c r="L282" s="28" t="s">
        <v>123</v>
      </c>
      <c r="M282" s="28" t="s">
        <v>859</v>
      </c>
      <c r="N282" s="28"/>
      <c r="O282" s="31" t="s">
        <v>89</v>
      </c>
      <c r="P282" s="28" t="s">
        <v>60</v>
      </c>
      <c r="Q282" s="28" t="s">
        <v>36</v>
      </c>
      <c r="R282" s="28" t="s">
        <v>859</v>
      </c>
      <c r="S282" s="28"/>
      <c r="T282" s="28" t="s">
        <v>40</v>
      </c>
      <c r="U282" s="28" t="s">
        <v>41</v>
      </c>
      <c r="V282" s="28" t="s">
        <v>54</v>
      </c>
      <c r="W282" s="28" t="s">
        <v>895</v>
      </c>
      <c r="X282" s="28" t="s">
        <v>115</v>
      </c>
      <c r="Y282" s="28">
        <v>7145.0</v>
      </c>
    </row>
    <row r="283" ht="56.25" customHeight="1">
      <c r="A283" s="28" t="s">
        <v>881</v>
      </c>
      <c r="B283" s="29" t="str">
        <f>IMAGE("https://storage.googleapis.com/acdb/wall-mounted/FtrMomEmbroidery_Remake_5_0.png")</f>
        <v/>
      </c>
      <c r="C283" s="28" t="s">
        <v>897</v>
      </c>
      <c r="D283" s="30" t="s">
        <v>225</v>
      </c>
      <c r="E283" s="28" t="s">
        <v>83</v>
      </c>
      <c r="F283" s="30" t="s">
        <v>83</v>
      </c>
      <c r="G283" s="28" t="s">
        <v>40</v>
      </c>
      <c r="H283" s="28" t="s">
        <v>40</v>
      </c>
      <c r="I283" s="28" t="s">
        <v>83</v>
      </c>
      <c r="J283" s="28" t="s">
        <v>51</v>
      </c>
      <c r="K283" s="28">
        <v>88.0</v>
      </c>
      <c r="L283" s="28" t="s">
        <v>123</v>
      </c>
      <c r="M283" s="28" t="s">
        <v>859</v>
      </c>
      <c r="N283" s="28"/>
      <c r="O283" s="31" t="s">
        <v>89</v>
      </c>
      <c r="P283" s="28" t="s">
        <v>60</v>
      </c>
      <c r="Q283" s="28" t="s">
        <v>36</v>
      </c>
      <c r="R283" s="28" t="s">
        <v>859</v>
      </c>
      <c r="S283" s="28"/>
      <c r="T283" s="28" t="s">
        <v>40</v>
      </c>
      <c r="U283" s="28" t="s">
        <v>41</v>
      </c>
      <c r="V283" s="28" t="s">
        <v>54</v>
      </c>
      <c r="W283" s="28" t="s">
        <v>898</v>
      </c>
      <c r="X283" s="28" t="s">
        <v>120</v>
      </c>
      <c r="Y283" s="28">
        <v>7145.0</v>
      </c>
    </row>
    <row r="284" ht="56.25" customHeight="1">
      <c r="A284" s="28" t="s">
        <v>899</v>
      </c>
      <c r="B284" s="29" t="str">
        <f>IMAGE("https://storage.googleapis.com/acdb/wall-mounted/FtrFishBlackbassWall.png")</f>
        <v/>
      </c>
      <c r="C284" s="28" t="s">
        <v>83</v>
      </c>
      <c r="D284" s="28" t="s">
        <v>83</v>
      </c>
      <c r="E284" s="28" t="s">
        <v>83</v>
      </c>
      <c r="F284" s="28" t="s">
        <v>83</v>
      </c>
      <c r="G284" s="34" t="s">
        <v>40</v>
      </c>
      <c r="H284" s="28" t="s">
        <v>40</v>
      </c>
      <c r="I284" s="28" t="s">
        <v>83</v>
      </c>
      <c r="J284" s="28">
        <v>1300.0</v>
      </c>
      <c r="K284" s="34">
        <v>325.0</v>
      </c>
      <c r="L284" s="28" t="s">
        <v>226</v>
      </c>
      <c r="M284" s="28" t="s">
        <v>44</v>
      </c>
      <c r="N284" s="28" t="s">
        <v>68</v>
      </c>
      <c r="O284" s="31" t="s">
        <v>89</v>
      </c>
      <c r="P284" s="28" t="s">
        <v>84</v>
      </c>
      <c r="Q284" s="28" t="s">
        <v>90</v>
      </c>
      <c r="R284" s="28"/>
      <c r="S284" s="28"/>
      <c r="T284" s="28" t="s">
        <v>40</v>
      </c>
      <c r="U284" s="28" t="s">
        <v>41</v>
      </c>
      <c r="V284" s="28" t="s">
        <v>43</v>
      </c>
      <c r="W284" s="28" t="s">
        <v>901</v>
      </c>
      <c r="X284" s="28" t="s">
        <v>83</v>
      </c>
      <c r="Y284" s="28">
        <v>11127.0</v>
      </c>
    </row>
    <row r="285" ht="56.25" customHeight="1">
      <c r="A285" s="28" t="s">
        <v>902</v>
      </c>
      <c r="B285" s="29" t="str">
        <f>IMAGE("https://storage.googleapis.com/acdb/wall-mounted/FtrFishKajikiWall.png")</f>
        <v/>
      </c>
      <c r="C285" s="28" t="s">
        <v>83</v>
      </c>
      <c r="D285" s="28" t="s">
        <v>83</v>
      </c>
      <c r="E285" s="28" t="s">
        <v>83</v>
      </c>
      <c r="F285" s="28" t="s">
        <v>83</v>
      </c>
      <c r="G285" s="34" t="s">
        <v>40</v>
      </c>
      <c r="H285" s="28" t="s">
        <v>40</v>
      </c>
      <c r="I285" s="28" t="s">
        <v>83</v>
      </c>
      <c r="J285" s="28">
        <v>5000.0</v>
      </c>
      <c r="K285" s="28">
        <v>1250.0</v>
      </c>
      <c r="L285" s="28" t="s">
        <v>88</v>
      </c>
      <c r="M285" s="28" t="s">
        <v>44</v>
      </c>
      <c r="N285" s="28" t="s">
        <v>68</v>
      </c>
      <c r="O285" s="31" t="s">
        <v>89</v>
      </c>
      <c r="P285" s="28" t="s">
        <v>84</v>
      </c>
      <c r="Q285" s="28" t="s">
        <v>90</v>
      </c>
      <c r="R285" s="28"/>
      <c r="S285" s="28"/>
      <c r="T285" s="28" t="s">
        <v>40</v>
      </c>
      <c r="U285" s="28" t="s">
        <v>41</v>
      </c>
      <c r="V285" s="28" t="s">
        <v>43</v>
      </c>
      <c r="W285" s="28" t="s">
        <v>904</v>
      </c>
      <c r="X285" s="28" t="s">
        <v>83</v>
      </c>
      <c r="Y285" s="28">
        <v>11128.0</v>
      </c>
    </row>
    <row r="286" ht="56.25" customHeight="1">
      <c r="A286" s="28" t="s">
        <v>905</v>
      </c>
      <c r="B286" s="29" t="str">
        <f>IMAGE("https://storage.googleapis.com/acdb/wall-mounted/FtrDoorOrnamentWreathMum.png")</f>
        <v/>
      </c>
      <c r="C286" s="28" t="s">
        <v>83</v>
      </c>
      <c r="D286" s="28" t="s">
        <v>83</v>
      </c>
      <c r="E286" s="28" t="s">
        <v>83</v>
      </c>
      <c r="F286" s="28" t="s">
        <v>83</v>
      </c>
      <c r="G286" s="28" t="s">
        <v>53</v>
      </c>
      <c r="H286" s="28" t="s">
        <v>40</v>
      </c>
      <c r="I286" s="28" t="s">
        <v>83</v>
      </c>
      <c r="J286" s="28" t="s">
        <v>51</v>
      </c>
      <c r="K286" s="28">
        <v>720.0</v>
      </c>
      <c r="L286" s="28" t="s">
        <v>123</v>
      </c>
      <c r="M286" s="28" t="s">
        <v>55</v>
      </c>
      <c r="N286" s="28"/>
      <c r="O286" s="31" t="s">
        <v>89</v>
      </c>
      <c r="P286" s="28" t="s">
        <v>36</v>
      </c>
      <c r="Q286" s="28"/>
      <c r="R286" s="28"/>
      <c r="S286" s="28"/>
      <c r="T286" s="28" t="s">
        <v>40</v>
      </c>
      <c r="U286" s="28" t="s">
        <v>41</v>
      </c>
      <c r="V286" s="28" t="s">
        <v>54</v>
      </c>
      <c r="W286" s="28" t="s">
        <v>906</v>
      </c>
      <c r="X286" s="28" t="s">
        <v>83</v>
      </c>
      <c r="Y286" s="28">
        <v>5467.0</v>
      </c>
    </row>
    <row r="287" ht="56.25" customHeight="1">
      <c r="A287" s="28" t="s">
        <v>908</v>
      </c>
      <c r="B287" s="29" t="str">
        <f>IMAGE("https://storage.googleapis.com/acdb/wall-mounted/FtrDoorOrnamentWreathMumRare.png")</f>
        <v/>
      </c>
      <c r="C287" s="28" t="s">
        <v>83</v>
      </c>
      <c r="D287" s="28" t="s">
        <v>83</v>
      </c>
      <c r="E287" s="28" t="s">
        <v>83</v>
      </c>
      <c r="F287" s="28" t="s">
        <v>83</v>
      </c>
      <c r="G287" s="28" t="s">
        <v>53</v>
      </c>
      <c r="H287" s="28" t="s">
        <v>40</v>
      </c>
      <c r="I287" s="28" t="s">
        <v>83</v>
      </c>
      <c r="J287" s="28" t="s">
        <v>51</v>
      </c>
      <c r="K287" s="28">
        <v>4800.0</v>
      </c>
      <c r="L287" s="28" t="s">
        <v>123</v>
      </c>
      <c r="M287" s="28" t="s">
        <v>55</v>
      </c>
      <c r="N287" s="28"/>
      <c r="O287" s="31" t="s">
        <v>89</v>
      </c>
      <c r="P287" s="28" t="s">
        <v>36</v>
      </c>
      <c r="Q287" s="28"/>
      <c r="R287" s="28"/>
      <c r="S287" s="28"/>
      <c r="T287" s="28" t="s">
        <v>40</v>
      </c>
      <c r="U287" s="28" t="s">
        <v>41</v>
      </c>
      <c r="V287" s="28" t="s">
        <v>54</v>
      </c>
      <c r="W287" s="28" t="s">
        <v>909</v>
      </c>
      <c r="X287" s="28" t="s">
        <v>83</v>
      </c>
      <c r="Y287" s="28">
        <v>5768.0</v>
      </c>
    </row>
    <row r="288" ht="56.25" customHeight="1">
      <c r="A288" s="28" t="s">
        <v>910</v>
      </c>
      <c r="B288" s="29" t="str">
        <f>IMAGE("https://storage.googleapis.com/acdb/wall-mounted/FtrFruitsClockW_Remake_0_0.png")</f>
        <v/>
      </c>
      <c r="C288" s="28" t="s">
        <v>521</v>
      </c>
      <c r="D288" s="30" t="s">
        <v>275</v>
      </c>
      <c r="E288" s="28" t="s">
        <v>83</v>
      </c>
      <c r="F288" s="30" t="s">
        <v>83</v>
      </c>
      <c r="G288" s="28" t="s">
        <v>53</v>
      </c>
      <c r="H288" s="28" t="s">
        <v>53</v>
      </c>
      <c r="I288" s="28">
        <v>3.0</v>
      </c>
      <c r="J288" s="28" t="s">
        <v>51</v>
      </c>
      <c r="K288" s="28">
        <v>2240.0</v>
      </c>
      <c r="L288" s="28" t="s">
        <v>123</v>
      </c>
      <c r="M288" s="28" t="s">
        <v>55</v>
      </c>
      <c r="N288" s="28"/>
      <c r="O288" s="31" t="s">
        <v>89</v>
      </c>
      <c r="P288" s="28" t="s">
        <v>36</v>
      </c>
      <c r="Q288" s="28"/>
      <c r="R288" s="28"/>
      <c r="S288" s="28"/>
      <c r="T288" s="28" t="s">
        <v>53</v>
      </c>
      <c r="U288" s="28" t="s">
        <v>41</v>
      </c>
      <c r="V288" s="28" t="s">
        <v>54</v>
      </c>
      <c r="W288" s="28" t="s">
        <v>912</v>
      </c>
      <c r="X288" s="28" t="s">
        <v>92</v>
      </c>
      <c r="Y288" s="28">
        <v>3976.0</v>
      </c>
    </row>
    <row r="289" ht="56.25" customHeight="1">
      <c r="A289" s="28" t="s">
        <v>910</v>
      </c>
      <c r="B289" s="29" t="str">
        <f>IMAGE("https://storage.googleapis.com/acdb/wall-mounted/FtrFruitsClockW_Remake_1_0.png")</f>
        <v/>
      </c>
      <c r="C289" s="28" t="s">
        <v>914</v>
      </c>
      <c r="D289" s="30" t="s">
        <v>275</v>
      </c>
      <c r="E289" s="28" t="s">
        <v>83</v>
      </c>
      <c r="F289" s="30" t="s">
        <v>83</v>
      </c>
      <c r="G289" s="28" t="s">
        <v>53</v>
      </c>
      <c r="H289" s="28" t="s">
        <v>53</v>
      </c>
      <c r="I289" s="28">
        <v>3.0</v>
      </c>
      <c r="J289" s="28" t="s">
        <v>51</v>
      </c>
      <c r="K289" s="28">
        <v>2240.0</v>
      </c>
      <c r="L289" s="28" t="s">
        <v>123</v>
      </c>
      <c r="M289" s="28" t="s">
        <v>55</v>
      </c>
      <c r="N289" s="28"/>
      <c r="O289" s="31" t="s">
        <v>89</v>
      </c>
      <c r="P289" s="28" t="s">
        <v>36</v>
      </c>
      <c r="Q289" s="28"/>
      <c r="R289" s="28"/>
      <c r="S289" s="28"/>
      <c r="T289" s="28" t="s">
        <v>53</v>
      </c>
      <c r="U289" s="28" t="s">
        <v>41</v>
      </c>
      <c r="V289" s="28" t="s">
        <v>54</v>
      </c>
      <c r="W289" s="28" t="s">
        <v>915</v>
      </c>
      <c r="X289" s="28" t="s">
        <v>97</v>
      </c>
      <c r="Y289" s="28">
        <v>3976.0</v>
      </c>
    </row>
    <row r="290" ht="56.25" customHeight="1">
      <c r="A290" s="28" t="s">
        <v>916</v>
      </c>
      <c r="B290" s="29" t="str">
        <f>IMAGE("https://storage.googleapis.com/acdb/wall-mounted/FtrOrnamentMobile_Remake_0_0.png")</f>
        <v/>
      </c>
      <c r="C290" s="28" t="s">
        <v>258</v>
      </c>
      <c r="D290" s="30" t="s">
        <v>199</v>
      </c>
      <c r="E290" s="28" t="s">
        <v>83</v>
      </c>
      <c r="F290" s="30" t="s">
        <v>83</v>
      </c>
      <c r="G290" s="28" t="s">
        <v>53</v>
      </c>
      <c r="H290" s="28" t="s">
        <v>53</v>
      </c>
      <c r="I290" s="28">
        <v>1.0</v>
      </c>
      <c r="J290" s="28" t="s">
        <v>51</v>
      </c>
      <c r="K290" s="28">
        <v>340.0</v>
      </c>
      <c r="L290" s="28" t="s">
        <v>123</v>
      </c>
      <c r="M290" s="28" t="s">
        <v>55</v>
      </c>
      <c r="N290" s="28" t="s">
        <v>418</v>
      </c>
      <c r="O290" s="31" t="s">
        <v>89</v>
      </c>
      <c r="P290" s="28" t="s">
        <v>212</v>
      </c>
      <c r="Q290" s="28" t="s">
        <v>36</v>
      </c>
      <c r="R290" s="28"/>
      <c r="S290" s="28"/>
      <c r="T290" s="28" t="s">
        <v>53</v>
      </c>
      <c r="U290" s="28" t="s">
        <v>41</v>
      </c>
      <c r="V290" s="28" t="s">
        <v>54</v>
      </c>
      <c r="W290" s="28" t="s">
        <v>918</v>
      </c>
      <c r="X290" s="28" t="s">
        <v>92</v>
      </c>
      <c r="Y290" s="28">
        <v>6818.0</v>
      </c>
    </row>
    <row r="291" ht="56.25" customHeight="1">
      <c r="A291" s="28" t="s">
        <v>916</v>
      </c>
      <c r="B291" s="29" t="str">
        <f>IMAGE("https://storage.googleapis.com/acdb/wall-mounted/FtrOrnamentMobile_Remake_1_0.png")</f>
        <v/>
      </c>
      <c r="C291" s="28" t="s">
        <v>112</v>
      </c>
      <c r="D291" s="30" t="s">
        <v>199</v>
      </c>
      <c r="E291" s="28" t="s">
        <v>83</v>
      </c>
      <c r="F291" s="30" t="s">
        <v>83</v>
      </c>
      <c r="G291" s="28" t="s">
        <v>53</v>
      </c>
      <c r="H291" s="28" t="s">
        <v>53</v>
      </c>
      <c r="I291" s="28">
        <v>1.0</v>
      </c>
      <c r="J291" s="28" t="s">
        <v>51</v>
      </c>
      <c r="K291" s="28">
        <v>340.0</v>
      </c>
      <c r="L291" s="28" t="s">
        <v>123</v>
      </c>
      <c r="M291" s="28" t="s">
        <v>55</v>
      </c>
      <c r="N291" s="28" t="s">
        <v>418</v>
      </c>
      <c r="O291" s="31" t="s">
        <v>89</v>
      </c>
      <c r="P291" s="28" t="s">
        <v>212</v>
      </c>
      <c r="Q291" s="28" t="s">
        <v>36</v>
      </c>
      <c r="R291" s="28"/>
      <c r="S291" s="28"/>
      <c r="T291" s="28" t="s">
        <v>53</v>
      </c>
      <c r="U291" s="28" t="s">
        <v>41</v>
      </c>
      <c r="V291" s="28" t="s">
        <v>54</v>
      </c>
      <c r="W291" s="28" t="s">
        <v>920</v>
      </c>
      <c r="X291" s="28" t="s">
        <v>97</v>
      </c>
      <c r="Y291" s="28">
        <v>6818.0</v>
      </c>
    </row>
    <row r="292" ht="56.25" customHeight="1">
      <c r="A292" s="28" t="s">
        <v>916</v>
      </c>
      <c r="B292" s="29" t="str">
        <f>IMAGE("https://storage.googleapis.com/acdb/wall-mounted/FtrOrnamentMobile_Remake_2_0.png")</f>
        <v/>
      </c>
      <c r="C292" s="28" t="s">
        <v>208</v>
      </c>
      <c r="D292" s="30" t="s">
        <v>199</v>
      </c>
      <c r="E292" s="28" t="s">
        <v>83</v>
      </c>
      <c r="F292" s="30" t="s">
        <v>83</v>
      </c>
      <c r="G292" s="28" t="s">
        <v>53</v>
      </c>
      <c r="H292" s="28" t="s">
        <v>53</v>
      </c>
      <c r="I292" s="28">
        <v>1.0</v>
      </c>
      <c r="J292" s="28" t="s">
        <v>51</v>
      </c>
      <c r="K292" s="28">
        <v>340.0</v>
      </c>
      <c r="L292" s="28" t="s">
        <v>123</v>
      </c>
      <c r="M292" s="28" t="s">
        <v>55</v>
      </c>
      <c r="N292" s="28" t="s">
        <v>418</v>
      </c>
      <c r="O292" s="31" t="s">
        <v>89</v>
      </c>
      <c r="P292" s="28" t="s">
        <v>212</v>
      </c>
      <c r="Q292" s="28" t="s">
        <v>36</v>
      </c>
      <c r="R292" s="28"/>
      <c r="S292" s="28"/>
      <c r="T292" s="28" t="s">
        <v>53</v>
      </c>
      <c r="U292" s="28" t="s">
        <v>41</v>
      </c>
      <c r="V292" s="28" t="s">
        <v>54</v>
      </c>
      <c r="W292" s="28" t="s">
        <v>922</v>
      </c>
      <c r="X292" s="28" t="s">
        <v>103</v>
      </c>
      <c r="Y292" s="28">
        <v>6818.0</v>
      </c>
    </row>
    <row r="293" ht="56.25" customHeight="1">
      <c r="A293" s="28" t="s">
        <v>916</v>
      </c>
      <c r="B293" s="29" t="str">
        <f>IMAGE("https://storage.googleapis.com/acdb/wall-mounted/FtrOrnamentMobile_Remake_3_0.png")</f>
        <v/>
      </c>
      <c r="C293" s="28" t="s">
        <v>107</v>
      </c>
      <c r="D293" s="30" t="s">
        <v>199</v>
      </c>
      <c r="E293" s="28" t="s">
        <v>83</v>
      </c>
      <c r="F293" s="30" t="s">
        <v>83</v>
      </c>
      <c r="G293" s="28" t="s">
        <v>53</v>
      </c>
      <c r="H293" s="28" t="s">
        <v>53</v>
      </c>
      <c r="I293" s="28">
        <v>1.0</v>
      </c>
      <c r="J293" s="28" t="s">
        <v>51</v>
      </c>
      <c r="K293" s="28">
        <v>340.0</v>
      </c>
      <c r="L293" s="28" t="s">
        <v>123</v>
      </c>
      <c r="M293" s="28" t="s">
        <v>55</v>
      </c>
      <c r="N293" s="28" t="s">
        <v>418</v>
      </c>
      <c r="O293" s="31" t="s">
        <v>89</v>
      </c>
      <c r="P293" s="28" t="s">
        <v>212</v>
      </c>
      <c r="Q293" s="28" t="s">
        <v>36</v>
      </c>
      <c r="R293" s="28"/>
      <c r="S293" s="28"/>
      <c r="T293" s="28" t="s">
        <v>53</v>
      </c>
      <c r="U293" s="28" t="s">
        <v>41</v>
      </c>
      <c r="V293" s="28" t="s">
        <v>54</v>
      </c>
      <c r="W293" s="28" t="s">
        <v>924</v>
      </c>
      <c r="X293" s="28" t="s">
        <v>110</v>
      </c>
      <c r="Y293" s="28">
        <v>6818.0</v>
      </c>
    </row>
    <row r="294" ht="56.25" customHeight="1">
      <c r="A294" s="28" t="s">
        <v>916</v>
      </c>
      <c r="B294" s="29" t="str">
        <f>IMAGE("https://storage.googleapis.com/acdb/wall-mounted/FtrOrnamentMobile_Remake_4_0.png")</f>
        <v/>
      </c>
      <c r="C294" s="28" t="s">
        <v>187</v>
      </c>
      <c r="D294" s="30" t="s">
        <v>199</v>
      </c>
      <c r="E294" s="28" t="s">
        <v>83</v>
      </c>
      <c r="F294" s="30" t="s">
        <v>83</v>
      </c>
      <c r="G294" s="28" t="s">
        <v>53</v>
      </c>
      <c r="H294" s="28" t="s">
        <v>53</v>
      </c>
      <c r="I294" s="28">
        <v>1.0</v>
      </c>
      <c r="J294" s="28" t="s">
        <v>51</v>
      </c>
      <c r="K294" s="28">
        <v>340.0</v>
      </c>
      <c r="L294" s="28" t="s">
        <v>123</v>
      </c>
      <c r="M294" s="28" t="s">
        <v>55</v>
      </c>
      <c r="N294" s="28" t="s">
        <v>418</v>
      </c>
      <c r="O294" s="31" t="s">
        <v>89</v>
      </c>
      <c r="P294" s="28" t="s">
        <v>212</v>
      </c>
      <c r="Q294" s="28" t="s">
        <v>36</v>
      </c>
      <c r="R294" s="28"/>
      <c r="S294" s="28"/>
      <c r="T294" s="28" t="s">
        <v>53</v>
      </c>
      <c r="U294" s="28" t="s">
        <v>41</v>
      </c>
      <c r="V294" s="28" t="s">
        <v>54</v>
      </c>
      <c r="W294" s="28" t="s">
        <v>926</v>
      </c>
      <c r="X294" s="28" t="s">
        <v>115</v>
      </c>
      <c r="Y294" s="28">
        <v>6818.0</v>
      </c>
    </row>
    <row r="295" ht="56.25" customHeight="1">
      <c r="A295" s="28" t="s">
        <v>916</v>
      </c>
      <c r="B295" s="29" t="str">
        <f>IMAGE("https://storage.googleapis.com/acdb/wall-mounted/FtrOrnamentMobile_Remake_5_0.png")</f>
        <v/>
      </c>
      <c r="C295" s="28" t="s">
        <v>82</v>
      </c>
      <c r="D295" s="30" t="s">
        <v>199</v>
      </c>
      <c r="E295" s="28" t="s">
        <v>83</v>
      </c>
      <c r="F295" s="30" t="s">
        <v>83</v>
      </c>
      <c r="G295" s="28" t="s">
        <v>53</v>
      </c>
      <c r="H295" s="28" t="s">
        <v>53</v>
      </c>
      <c r="I295" s="28">
        <v>1.0</v>
      </c>
      <c r="J295" s="28" t="s">
        <v>51</v>
      </c>
      <c r="K295" s="28">
        <v>340.0</v>
      </c>
      <c r="L295" s="28" t="s">
        <v>123</v>
      </c>
      <c r="M295" s="28" t="s">
        <v>55</v>
      </c>
      <c r="N295" s="28" t="s">
        <v>418</v>
      </c>
      <c r="O295" s="31" t="s">
        <v>89</v>
      </c>
      <c r="P295" s="28" t="s">
        <v>212</v>
      </c>
      <c r="Q295" s="28" t="s">
        <v>36</v>
      </c>
      <c r="R295" s="28"/>
      <c r="S295" s="28"/>
      <c r="T295" s="28" t="s">
        <v>53</v>
      </c>
      <c r="U295" s="28" t="s">
        <v>41</v>
      </c>
      <c r="V295" s="28" t="s">
        <v>54</v>
      </c>
      <c r="W295" s="28" t="s">
        <v>927</v>
      </c>
      <c r="X295" s="28" t="s">
        <v>120</v>
      </c>
      <c r="Y295" s="28">
        <v>6818.0</v>
      </c>
    </row>
    <row r="296" ht="56.25" customHeight="1">
      <c r="A296" s="28" t="s">
        <v>928</v>
      </c>
      <c r="B296" s="29" t="str">
        <f>IMAGE("https://storage.googleapis.com/acdb/wall-mounted/FtrDoorOrnamentWreathOrnament_Remake_0_0.png")</f>
        <v/>
      </c>
      <c r="C296" s="28" t="s">
        <v>112</v>
      </c>
      <c r="D296" s="30" t="s">
        <v>199</v>
      </c>
      <c r="E296" s="28" t="s">
        <v>83</v>
      </c>
      <c r="F296" s="30" t="s">
        <v>83</v>
      </c>
      <c r="G296" s="28" t="s">
        <v>53</v>
      </c>
      <c r="H296" s="28" t="s">
        <v>53</v>
      </c>
      <c r="I296" s="28">
        <v>1.0</v>
      </c>
      <c r="J296" s="28" t="s">
        <v>51</v>
      </c>
      <c r="K296" s="28">
        <v>800.0</v>
      </c>
      <c r="L296" s="28" t="s">
        <v>123</v>
      </c>
      <c r="M296" s="28" t="s">
        <v>55</v>
      </c>
      <c r="N296" s="28" t="s">
        <v>418</v>
      </c>
      <c r="O296" s="31" t="s">
        <v>89</v>
      </c>
      <c r="P296" s="28" t="s">
        <v>36</v>
      </c>
      <c r="Q296" s="28"/>
      <c r="R296" s="28"/>
      <c r="S296" s="28"/>
      <c r="T296" s="28" t="s">
        <v>40</v>
      </c>
      <c r="U296" s="28" t="s">
        <v>41</v>
      </c>
      <c r="V296" s="28" t="s">
        <v>54</v>
      </c>
      <c r="W296" s="28" t="s">
        <v>930</v>
      </c>
      <c r="X296" s="28" t="s">
        <v>92</v>
      </c>
      <c r="Y296" s="28">
        <v>4377.0</v>
      </c>
    </row>
    <row r="297" ht="56.25" customHeight="1">
      <c r="A297" s="28" t="s">
        <v>928</v>
      </c>
      <c r="B297" s="29" t="str">
        <f>IMAGE("https://storage.googleapis.com/acdb/wall-mounted/FtrDoorOrnamentWreathOrnament_Remake_1_0.png")</f>
        <v/>
      </c>
      <c r="C297" s="28" t="s">
        <v>187</v>
      </c>
      <c r="D297" s="30" t="s">
        <v>199</v>
      </c>
      <c r="E297" s="28" t="s">
        <v>83</v>
      </c>
      <c r="F297" s="30" t="s">
        <v>83</v>
      </c>
      <c r="G297" s="28" t="s">
        <v>53</v>
      </c>
      <c r="H297" s="28" t="s">
        <v>53</v>
      </c>
      <c r="I297" s="28">
        <v>1.0</v>
      </c>
      <c r="J297" s="28" t="s">
        <v>51</v>
      </c>
      <c r="K297" s="28">
        <v>800.0</v>
      </c>
      <c r="L297" s="28" t="s">
        <v>123</v>
      </c>
      <c r="M297" s="28" t="s">
        <v>55</v>
      </c>
      <c r="N297" s="28" t="s">
        <v>418</v>
      </c>
      <c r="O297" s="31" t="s">
        <v>89</v>
      </c>
      <c r="P297" s="28" t="s">
        <v>36</v>
      </c>
      <c r="Q297" s="28"/>
      <c r="R297" s="28"/>
      <c r="S297" s="28"/>
      <c r="T297" s="28" t="s">
        <v>40</v>
      </c>
      <c r="U297" s="28" t="s">
        <v>41</v>
      </c>
      <c r="V297" s="28" t="s">
        <v>54</v>
      </c>
      <c r="W297" s="28" t="s">
        <v>932</v>
      </c>
      <c r="X297" s="28" t="s">
        <v>97</v>
      </c>
      <c r="Y297" s="28">
        <v>4377.0</v>
      </c>
    </row>
    <row r="298" ht="56.25" customHeight="1">
      <c r="A298" s="28" t="s">
        <v>928</v>
      </c>
      <c r="B298" s="29" t="str">
        <f>IMAGE("https://storage.googleapis.com/acdb/wall-mounted/FtrDoorOrnamentWreathOrnament_Remake_2_0.png")</f>
        <v/>
      </c>
      <c r="C298" s="28" t="s">
        <v>182</v>
      </c>
      <c r="D298" s="30" t="s">
        <v>199</v>
      </c>
      <c r="E298" s="28" t="s">
        <v>83</v>
      </c>
      <c r="F298" s="30" t="s">
        <v>83</v>
      </c>
      <c r="G298" s="28" t="s">
        <v>53</v>
      </c>
      <c r="H298" s="28" t="s">
        <v>53</v>
      </c>
      <c r="I298" s="28">
        <v>1.0</v>
      </c>
      <c r="J298" s="28" t="s">
        <v>51</v>
      </c>
      <c r="K298" s="28">
        <v>800.0</v>
      </c>
      <c r="L298" s="28" t="s">
        <v>123</v>
      </c>
      <c r="M298" s="28" t="s">
        <v>55</v>
      </c>
      <c r="N298" s="28" t="s">
        <v>418</v>
      </c>
      <c r="O298" s="31" t="s">
        <v>89</v>
      </c>
      <c r="P298" s="28" t="s">
        <v>36</v>
      </c>
      <c r="Q298" s="28"/>
      <c r="R298" s="28"/>
      <c r="S298" s="28"/>
      <c r="T298" s="28" t="s">
        <v>40</v>
      </c>
      <c r="U298" s="28" t="s">
        <v>41</v>
      </c>
      <c r="V298" s="28" t="s">
        <v>54</v>
      </c>
      <c r="W298" s="28" t="s">
        <v>934</v>
      </c>
      <c r="X298" s="28" t="s">
        <v>103</v>
      </c>
      <c r="Y298" s="28">
        <v>4377.0</v>
      </c>
    </row>
    <row r="299" ht="56.25" customHeight="1">
      <c r="A299" s="28" t="s">
        <v>928</v>
      </c>
      <c r="B299" s="29" t="str">
        <f>IMAGE("https://storage.googleapis.com/acdb/wall-mounted/FtrDoorOrnamentWreathOrnament_Remake_3_0.png")</f>
        <v/>
      </c>
      <c r="C299" s="28" t="s">
        <v>369</v>
      </c>
      <c r="D299" s="30" t="s">
        <v>199</v>
      </c>
      <c r="E299" s="28" t="s">
        <v>83</v>
      </c>
      <c r="F299" s="30" t="s">
        <v>83</v>
      </c>
      <c r="G299" s="28" t="s">
        <v>53</v>
      </c>
      <c r="H299" s="28" t="s">
        <v>53</v>
      </c>
      <c r="I299" s="28">
        <v>1.0</v>
      </c>
      <c r="J299" s="28" t="s">
        <v>51</v>
      </c>
      <c r="K299" s="28">
        <v>800.0</v>
      </c>
      <c r="L299" s="28" t="s">
        <v>123</v>
      </c>
      <c r="M299" s="28" t="s">
        <v>55</v>
      </c>
      <c r="N299" s="28" t="s">
        <v>418</v>
      </c>
      <c r="O299" s="31" t="s">
        <v>89</v>
      </c>
      <c r="P299" s="28" t="s">
        <v>36</v>
      </c>
      <c r="Q299" s="28"/>
      <c r="R299" s="28"/>
      <c r="S299" s="28"/>
      <c r="T299" s="28" t="s">
        <v>40</v>
      </c>
      <c r="U299" s="28" t="s">
        <v>41</v>
      </c>
      <c r="V299" s="28" t="s">
        <v>54</v>
      </c>
      <c r="W299" s="28" t="s">
        <v>937</v>
      </c>
      <c r="X299" s="28" t="s">
        <v>110</v>
      </c>
      <c r="Y299" s="28">
        <v>4377.0</v>
      </c>
    </row>
    <row r="300" ht="56.25" customHeight="1">
      <c r="A300" s="28" t="s">
        <v>928</v>
      </c>
      <c r="B300" s="29" t="str">
        <f>IMAGE("https://storage.googleapis.com/acdb/wall-mounted/FtrDoorOrnamentWreathOrnament_Remake_4_0.png")</f>
        <v/>
      </c>
      <c r="C300" s="28" t="s">
        <v>208</v>
      </c>
      <c r="D300" s="30" t="s">
        <v>199</v>
      </c>
      <c r="E300" s="28" t="s">
        <v>83</v>
      </c>
      <c r="F300" s="30" t="s">
        <v>83</v>
      </c>
      <c r="G300" s="28" t="s">
        <v>53</v>
      </c>
      <c r="H300" s="28" t="s">
        <v>53</v>
      </c>
      <c r="I300" s="28">
        <v>1.0</v>
      </c>
      <c r="J300" s="28" t="s">
        <v>51</v>
      </c>
      <c r="K300" s="28">
        <v>800.0</v>
      </c>
      <c r="L300" s="28" t="s">
        <v>123</v>
      </c>
      <c r="M300" s="28" t="s">
        <v>55</v>
      </c>
      <c r="N300" s="28" t="s">
        <v>418</v>
      </c>
      <c r="O300" s="31" t="s">
        <v>89</v>
      </c>
      <c r="P300" s="28" t="s">
        <v>36</v>
      </c>
      <c r="Q300" s="28"/>
      <c r="R300" s="28"/>
      <c r="S300" s="28"/>
      <c r="T300" s="28" t="s">
        <v>40</v>
      </c>
      <c r="U300" s="28" t="s">
        <v>41</v>
      </c>
      <c r="V300" s="28" t="s">
        <v>54</v>
      </c>
      <c r="W300" s="28" t="s">
        <v>938</v>
      </c>
      <c r="X300" s="28" t="s">
        <v>115</v>
      </c>
      <c r="Y300" s="28">
        <v>4377.0</v>
      </c>
    </row>
    <row r="301" ht="56.25" customHeight="1">
      <c r="A301" s="28" t="s">
        <v>928</v>
      </c>
      <c r="B301" s="29" t="str">
        <f>IMAGE("https://storage.googleapis.com/acdb/wall-mounted/FtrDoorOrnamentWreathOrnament_Remake_5_0.png")</f>
        <v/>
      </c>
      <c r="C301" s="28" t="s">
        <v>939</v>
      </c>
      <c r="D301" s="30" t="s">
        <v>199</v>
      </c>
      <c r="E301" s="28" t="s">
        <v>83</v>
      </c>
      <c r="F301" s="30" t="s">
        <v>83</v>
      </c>
      <c r="G301" s="28" t="s">
        <v>53</v>
      </c>
      <c r="H301" s="28" t="s">
        <v>53</v>
      </c>
      <c r="I301" s="28">
        <v>1.0</v>
      </c>
      <c r="J301" s="28" t="s">
        <v>51</v>
      </c>
      <c r="K301" s="28">
        <v>800.0</v>
      </c>
      <c r="L301" s="28" t="s">
        <v>123</v>
      </c>
      <c r="M301" s="28" t="s">
        <v>55</v>
      </c>
      <c r="N301" s="28" t="s">
        <v>418</v>
      </c>
      <c r="O301" s="31" t="s">
        <v>89</v>
      </c>
      <c r="P301" s="28" t="s">
        <v>36</v>
      </c>
      <c r="Q301" s="28"/>
      <c r="R301" s="28"/>
      <c r="S301" s="28"/>
      <c r="T301" s="28" t="s">
        <v>40</v>
      </c>
      <c r="U301" s="28" t="s">
        <v>41</v>
      </c>
      <c r="V301" s="28" t="s">
        <v>54</v>
      </c>
      <c r="W301" s="28" t="s">
        <v>941</v>
      </c>
      <c r="X301" s="28" t="s">
        <v>120</v>
      </c>
      <c r="Y301" s="28">
        <v>4377.0</v>
      </c>
    </row>
    <row r="302" ht="56.25" customHeight="1">
      <c r="A302" s="28" t="s">
        <v>928</v>
      </c>
      <c r="B302" s="29" t="str">
        <f>IMAGE("https://storage.googleapis.com/acdb/wall-mounted/FtrDoorOrnamentWreathOrnament_Remake_6_0.png")</f>
        <v/>
      </c>
      <c r="C302" s="28" t="s">
        <v>107</v>
      </c>
      <c r="D302" s="30" t="s">
        <v>199</v>
      </c>
      <c r="E302" s="28" t="s">
        <v>83</v>
      </c>
      <c r="F302" s="30" t="s">
        <v>83</v>
      </c>
      <c r="G302" s="28" t="s">
        <v>53</v>
      </c>
      <c r="H302" s="28" t="s">
        <v>53</v>
      </c>
      <c r="I302" s="28">
        <v>1.0</v>
      </c>
      <c r="J302" s="28" t="s">
        <v>51</v>
      </c>
      <c r="K302" s="28">
        <v>800.0</v>
      </c>
      <c r="L302" s="28" t="s">
        <v>123</v>
      </c>
      <c r="M302" s="28" t="s">
        <v>55</v>
      </c>
      <c r="N302" s="28" t="s">
        <v>418</v>
      </c>
      <c r="O302" s="31" t="s">
        <v>89</v>
      </c>
      <c r="P302" s="28" t="s">
        <v>36</v>
      </c>
      <c r="Q302" s="28"/>
      <c r="R302" s="28"/>
      <c r="S302" s="28"/>
      <c r="T302" s="28" t="s">
        <v>40</v>
      </c>
      <c r="U302" s="28" t="s">
        <v>41</v>
      </c>
      <c r="V302" s="28" t="s">
        <v>54</v>
      </c>
      <c r="W302" s="28" t="s">
        <v>943</v>
      </c>
      <c r="X302" s="28" t="s">
        <v>218</v>
      </c>
      <c r="Y302" s="28">
        <v>4377.0</v>
      </c>
    </row>
    <row r="303" ht="56.25" customHeight="1">
      <c r="A303" s="28" t="s">
        <v>928</v>
      </c>
      <c r="B303" s="29" t="str">
        <f>IMAGE("https://storage.googleapis.com/acdb/wall-mounted/FtrDoorOrnamentWreathOrnament_Remake_7_0.png")</f>
        <v/>
      </c>
      <c r="C303" s="28" t="s">
        <v>464</v>
      </c>
      <c r="D303" s="30" t="s">
        <v>199</v>
      </c>
      <c r="E303" s="28" t="s">
        <v>83</v>
      </c>
      <c r="F303" s="30" t="s">
        <v>83</v>
      </c>
      <c r="G303" s="28" t="s">
        <v>53</v>
      </c>
      <c r="H303" s="28" t="s">
        <v>53</v>
      </c>
      <c r="I303" s="28">
        <v>1.0</v>
      </c>
      <c r="J303" s="28" t="s">
        <v>51</v>
      </c>
      <c r="K303" s="28">
        <v>800.0</v>
      </c>
      <c r="L303" s="28" t="s">
        <v>123</v>
      </c>
      <c r="M303" s="28" t="s">
        <v>55</v>
      </c>
      <c r="N303" s="28" t="s">
        <v>418</v>
      </c>
      <c r="O303" s="31" t="s">
        <v>89</v>
      </c>
      <c r="P303" s="28" t="s">
        <v>36</v>
      </c>
      <c r="Q303" s="28"/>
      <c r="R303" s="28"/>
      <c r="S303" s="28"/>
      <c r="T303" s="28" t="s">
        <v>40</v>
      </c>
      <c r="U303" s="28" t="s">
        <v>41</v>
      </c>
      <c r="V303" s="28" t="s">
        <v>54</v>
      </c>
      <c r="W303" s="28" t="s">
        <v>945</v>
      </c>
      <c r="X303" s="28" t="s">
        <v>223</v>
      </c>
      <c r="Y303" s="28">
        <v>4377.0</v>
      </c>
    </row>
    <row r="304" ht="56.25" customHeight="1">
      <c r="A304" s="28" t="s">
        <v>946</v>
      </c>
      <c r="B304" s="29" t="str">
        <f>IMAGE("https://storage.googleapis.com/acdb/wall-mounted/FtrDoorOrnamentWreathPansy.png")</f>
        <v/>
      </c>
      <c r="C304" s="28" t="s">
        <v>83</v>
      </c>
      <c r="D304" s="28" t="s">
        <v>83</v>
      </c>
      <c r="E304" s="28" t="s">
        <v>83</v>
      </c>
      <c r="F304" s="28" t="s">
        <v>83</v>
      </c>
      <c r="G304" s="28" t="s">
        <v>53</v>
      </c>
      <c r="H304" s="28" t="s">
        <v>40</v>
      </c>
      <c r="I304" s="28" t="s">
        <v>83</v>
      </c>
      <c r="J304" s="28" t="s">
        <v>51</v>
      </c>
      <c r="K304" s="28">
        <v>720.0</v>
      </c>
      <c r="L304" s="28" t="s">
        <v>123</v>
      </c>
      <c r="M304" s="28" t="s">
        <v>55</v>
      </c>
      <c r="N304" s="28"/>
      <c r="O304" s="31" t="s">
        <v>89</v>
      </c>
      <c r="P304" s="28" t="s">
        <v>36</v>
      </c>
      <c r="Q304" s="28"/>
      <c r="R304" s="28"/>
      <c r="S304" s="28"/>
      <c r="T304" s="28" t="s">
        <v>40</v>
      </c>
      <c r="U304" s="28" t="s">
        <v>41</v>
      </c>
      <c r="V304" s="28" t="s">
        <v>54</v>
      </c>
      <c r="W304" s="28" t="s">
        <v>947</v>
      </c>
      <c r="X304" s="28" t="s">
        <v>83</v>
      </c>
      <c r="Y304" s="28">
        <v>5466.0</v>
      </c>
    </row>
    <row r="305" ht="56.25" customHeight="1">
      <c r="A305" s="28" t="s">
        <v>948</v>
      </c>
      <c r="B305" s="29" t="str">
        <f>IMAGE("https://storage.googleapis.com/acdb/wall-mounted/FtrPartydecorationWall_Remake_0_0.png")</f>
        <v/>
      </c>
      <c r="C305" s="28" t="s">
        <v>258</v>
      </c>
      <c r="D305" s="30" t="s">
        <v>83</v>
      </c>
      <c r="E305" s="28" t="s">
        <v>83</v>
      </c>
      <c r="F305" s="30" t="s">
        <v>83</v>
      </c>
      <c r="G305" s="28" t="s">
        <v>40</v>
      </c>
      <c r="H305" s="28" t="s">
        <v>40</v>
      </c>
      <c r="I305" s="28" t="s">
        <v>83</v>
      </c>
      <c r="J305" s="28">
        <v>650.0</v>
      </c>
      <c r="K305" s="28">
        <v>162.0</v>
      </c>
      <c r="L305" s="28" t="s">
        <v>88</v>
      </c>
      <c r="M305" s="28" t="s">
        <v>44</v>
      </c>
      <c r="N305" s="28" t="s">
        <v>63</v>
      </c>
      <c r="O305" s="31" t="s">
        <v>89</v>
      </c>
      <c r="P305" s="28" t="s">
        <v>212</v>
      </c>
      <c r="Q305" s="28" t="s">
        <v>36</v>
      </c>
      <c r="R305" s="28"/>
      <c r="S305" s="28"/>
      <c r="T305" s="28" t="s">
        <v>40</v>
      </c>
      <c r="U305" s="28" t="s">
        <v>41</v>
      </c>
      <c r="V305" s="28" t="s">
        <v>43</v>
      </c>
      <c r="W305" s="28" t="s">
        <v>952</v>
      </c>
      <c r="X305" s="28" t="s">
        <v>92</v>
      </c>
      <c r="Y305" s="28">
        <v>4077.0</v>
      </c>
    </row>
    <row r="306" ht="56.25" customHeight="1">
      <c r="A306" s="28" t="s">
        <v>948</v>
      </c>
      <c r="B306" s="29" t="str">
        <f>IMAGE("https://storage.googleapis.com/acdb/wall-mounted/FtrPartydecorationWall_Remake_1_0.png")</f>
        <v/>
      </c>
      <c r="C306" s="28" t="s">
        <v>954</v>
      </c>
      <c r="D306" s="30" t="s">
        <v>83</v>
      </c>
      <c r="E306" s="28" t="s">
        <v>83</v>
      </c>
      <c r="F306" s="30" t="s">
        <v>83</v>
      </c>
      <c r="G306" s="28" t="s">
        <v>40</v>
      </c>
      <c r="H306" s="28" t="s">
        <v>40</v>
      </c>
      <c r="I306" s="28" t="s">
        <v>83</v>
      </c>
      <c r="J306" s="28">
        <v>650.0</v>
      </c>
      <c r="K306" s="28">
        <v>162.0</v>
      </c>
      <c r="L306" s="28" t="s">
        <v>88</v>
      </c>
      <c r="M306" s="28" t="s">
        <v>44</v>
      </c>
      <c r="N306" s="28" t="s">
        <v>63</v>
      </c>
      <c r="O306" s="31" t="s">
        <v>89</v>
      </c>
      <c r="P306" s="28" t="s">
        <v>212</v>
      </c>
      <c r="Q306" s="28" t="s">
        <v>36</v>
      </c>
      <c r="R306" s="28"/>
      <c r="S306" s="28"/>
      <c r="T306" s="28" t="s">
        <v>40</v>
      </c>
      <c r="U306" s="28" t="s">
        <v>41</v>
      </c>
      <c r="V306" s="28" t="s">
        <v>43</v>
      </c>
      <c r="W306" s="28" t="s">
        <v>955</v>
      </c>
      <c r="X306" s="28" t="s">
        <v>97</v>
      </c>
      <c r="Y306" s="28">
        <v>4077.0</v>
      </c>
    </row>
    <row r="307" ht="56.25" customHeight="1">
      <c r="A307" s="28" t="s">
        <v>948</v>
      </c>
      <c r="B307" s="29" t="str">
        <f>IMAGE("https://storage.googleapis.com/acdb/wall-mounted/FtrPartydecorationWall_Remake_2_0.png")</f>
        <v/>
      </c>
      <c r="C307" s="28" t="s">
        <v>957</v>
      </c>
      <c r="D307" s="30" t="s">
        <v>83</v>
      </c>
      <c r="E307" s="28" t="s">
        <v>83</v>
      </c>
      <c r="F307" s="30" t="s">
        <v>83</v>
      </c>
      <c r="G307" s="28" t="s">
        <v>40</v>
      </c>
      <c r="H307" s="28" t="s">
        <v>40</v>
      </c>
      <c r="I307" s="28" t="s">
        <v>83</v>
      </c>
      <c r="J307" s="28">
        <v>650.0</v>
      </c>
      <c r="K307" s="28">
        <v>162.0</v>
      </c>
      <c r="L307" s="28" t="s">
        <v>88</v>
      </c>
      <c r="M307" s="28" t="s">
        <v>44</v>
      </c>
      <c r="N307" s="28" t="s">
        <v>63</v>
      </c>
      <c r="O307" s="31" t="s">
        <v>89</v>
      </c>
      <c r="P307" s="28" t="s">
        <v>212</v>
      </c>
      <c r="Q307" s="28" t="s">
        <v>36</v>
      </c>
      <c r="R307" s="28"/>
      <c r="S307" s="28"/>
      <c r="T307" s="28" t="s">
        <v>40</v>
      </c>
      <c r="U307" s="28" t="s">
        <v>41</v>
      </c>
      <c r="V307" s="28" t="s">
        <v>43</v>
      </c>
      <c r="W307" s="28" t="s">
        <v>958</v>
      </c>
      <c r="X307" s="28" t="s">
        <v>103</v>
      </c>
      <c r="Y307" s="28">
        <v>4077.0</v>
      </c>
    </row>
    <row r="308" ht="56.25" customHeight="1">
      <c r="A308" s="28" t="s">
        <v>948</v>
      </c>
      <c r="B308" s="29" t="str">
        <f>IMAGE("https://storage.googleapis.com/acdb/wall-mounted/FtrPartydecorationWall_Remake_3_0.png")</f>
        <v/>
      </c>
      <c r="C308" s="28" t="s">
        <v>960</v>
      </c>
      <c r="D308" s="30" t="s">
        <v>83</v>
      </c>
      <c r="E308" s="28" t="s">
        <v>83</v>
      </c>
      <c r="F308" s="30" t="s">
        <v>83</v>
      </c>
      <c r="G308" s="28" t="s">
        <v>40</v>
      </c>
      <c r="H308" s="28" t="s">
        <v>40</v>
      </c>
      <c r="I308" s="28" t="s">
        <v>83</v>
      </c>
      <c r="J308" s="28">
        <v>650.0</v>
      </c>
      <c r="K308" s="28">
        <v>162.0</v>
      </c>
      <c r="L308" s="28" t="s">
        <v>88</v>
      </c>
      <c r="M308" s="28" t="s">
        <v>44</v>
      </c>
      <c r="N308" s="28" t="s">
        <v>63</v>
      </c>
      <c r="O308" s="31" t="s">
        <v>89</v>
      </c>
      <c r="P308" s="28" t="s">
        <v>212</v>
      </c>
      <c r="Q308" s="28" t="s">
        <v>36</v>
      </c>
      <c r="R308" s="28"/>
      <c r="S308" s="28"/>
      <c r="T308" s="28" t="s">
        <v>40</v>
      </c>
      <c r="U308" s="28" t="s">
        <v>41</v>
      </c>
      <c r="V308" s="28" t="s">
        <v>43</v>
      </c>
      <c r="W308" s="28" t="s">
        <v>961</v>
      </c>
      <c r="X308" s="28" t="s">
        <v>110</v>
      </c>
      <c r="Y308" s="28">
        <v>4077.0</v>
      </c>
    </row>
    <row r="309" ht="56.25" customHeight="1">
      <c r="A309" s="28" t="s">
        <v>948</v>
      </c>
      <c r="B309" s="29" t="str">
        <f>IMAGE("https://storage.googleapis.com/acdb/wall-mounted/FtrPartydecorationWall_Remake_4_0.png")</f>
        <v/>
      </c>
      <c r="C309" s="28" t="s">
        <v>833</v>
      </c>
      <c r="D309" s="30" t="s">
        <v>83</v>
      </c>
      <c r="E309" s="28" t="s">
        <v>83</v>
      </c>
      <c r="F309" s="30" t="s">
        <v>83</v>
      </c>
      <c r="G309" s="28" t="s">
        <v>40</v>
      </c>
      <c r="H309" s="28" t="s">
        <v>40</v>
      </c>
      <c r="I309" s="28" t="s">
        <v>83</v>
      </c>
      <c r="J309" s="28">
        <v>650.0</v>
      </c>
      <c r="K309" s="28">
        <v>162.0</v>
      </c>
      <c r="L309" s="28" t="s">
        <v>88</v>
      </c>
      <c r="M309" s="28" t="s">
        <v>44</v>
      </c>
      <c r="N309" s="28" t="s">
        <v>63</v>
      </c>
      <c r="O309" s="31" t="s">
        <v>89</v>
      </c>
      <c r="P309" s="28" t="s">
        <v>212</v>
      </c>
      <c r="Q309" s="28" t="s">
        <v>36</v>
      </c>
      <c r="R309" s="28"/>
      <c r="S309" s="28"/>
      <c r="T309" s="28" t="s">
        <v>40</v>
      </c>
      <c r="U309" s="28" t="s">
        <v>41</v>
      </c>
      <c r="V309" s="28" t="s">
        <v>43</v>
      </c>
      <c r="W309" s="28" t="s">
        <v>963</v>
      </c>
      <c r="X309" s="28" t="s">
        <v>115</v>
      </c>
      <c r="Y309" s="28">
        <v>4077.0</v>
      </c>
    </row>
    <row r="310" ht="56.25" customHeight="1">
      <c r="A310" s="28" t="s">
        <v>948</v>
      </c>
      <c r="B310" s="29" t="str">
        <f>IMAGE("https://storage.googleapis.com/acdb/wall-mounted/FtrPartydecorationWall_Remake_5_0.png")</f>
        <v/>
      </c>
      <c r="C310" s="28" t="s">
        <v>852</v>
      </c>
      <c r="D310" s="30" t="s">
        <v>83</v>
      </c>
      <c r="E310" s="28" t="s">
        <v>83</v>
      </c>
      <c r="F310" s="30" t="s">
        <v>83</v>
      </c>
      <c r="G310" s="28" t="s">
        <v>40</v>
      </c>
      <c r="H310" s="28" t="s">
        <v>40</v>
      </c>
      <c r="I310" s="28" t="s">
        <v>83</v>
      </c>
      <c r="J310" s="28">
        <v>650.0</v>
      </c>
      <c r="K310" s="28">
        <v>162.0</v>
      </c>
      <c r="L310" s="28" t="s">
        <v>88</v>
      </c>
      <c r="M310" s="28" t="s">
        <v>44</v>
      </c>
      <c r="N310" s="28" t="s">
        <v>63</v>
      </c>
      <c r="O310" s="31" t="s">
        <v>89</v>
      </c>
      <c r="P310" s="28" t="s">
        <v>212</v>
      </c>
      <c r="Q310" s="28" t="s">
        <v>36</v>
      </c>
      <c r="R310" s="28"/>
      <c r="S310" s="28"/>
      <c r="T310" s="28" t="s">
        <v>40</v>
      </c>
      <c r="U310" s="28" t="s">
        <v>41</v>
      </c>
      <c r="V310" s="28" t="s">
        <v>43</v>
      </c>
      <c r="W310" s="28" t="s">
        <v>965</v>
      </c>
      <c r="X310" s="28" t="s">
        <v>120</v>
      </c>
      <c r="Y310" s="28">
        <v>4077.0</v>
      </c>
    </row>
    <row r="311" ht="56.25" customHeight="1">
      <c r="A311" s="28" t="s">
        <v>966</v>
      </c>
      <c r="B311" s="29" t="str">
        <f>IMAGE("https://storage.googleapis.com/acdb/wall-mounted/FtrDoorOrnamentPaw_Remake_0_0.png")</f>
        <v/>
      </c>
      <c r="C311" s="28" t="s">
        <v>969</v>
      </c>
      <c r="D311" s="30" t="s">
        <v>199</v>
      </c>
      <c r="E311" s="28" t="s">
        <v>83</v>
      </c>
      <c r="F311" s="30" t="s">
        <v>83</v>
      </c>
      <c r="G311" s="28" t="s">
        <v>53</v>
      </c>
      <c r="H311" s="28" t="s">
        <v>53</v>
      </c>
      <c r="I311" s="28">
        <v>1.0</v>
      </c>
      <c r="J311" s="28" t="s">
        <v>51</v>
      </c>
      <c r="K311" s="28">
        <v>360.0</v>
      </c>
      <c r="L311" s="28" t="s">
        <v>123</v>
      </c>
      <c r="M311" s="28" t="s">
        <v>55</v>
      </c>
      <c r="N311" s="28"/>
      <c r="O311" s="31" t="s">
        <v>89</v>
      </c>
      <c r="P311" s="28" t="s">
        <v>60</v>
      </c>
      <c r="Q311" s="28" t="s">
        <v>36</v>
      </c>
      <c r="R311" s="28"/>
      <c r="S311" s="28"/>
      <c r="T311" s="28" t="s">
        <v>40</v>
      </c>
      <c r="U311" s="28" t="s">
        <v>41</v>
      </c>
      <c r="V311" s="28" t="s">
        <v>54</v>
      </c>
      <c r="W311" s="28" t="s">
        <v>970</v>
      </c>
      <c r="X311" s="28" t="s">
        <v>92</v>
      </c>
      <c r="Y311" s="28">
        <v>5716.0</v>
      </c>
    </row>
    <row r="312" ht="56.25" customHeight="1">
      <c r="A312" s="28" t="s">
        <v>966</v>
      </c>
      <c r="B312" s="29" t="str">
        <f>IMAGE("https://storage.googleapis.com/acdb/wall-mounted/FtrDoorOrnamentPaw_Remake_1_0.png")</f>
        <v/>
      </c>
      <c r="C312" s="28" t="s">
        <v>515</v>
      </c>
      <c r="D312" s="30" t="s">
        <v>199</v>
      </c>
      <c r="E312" s="28" t="s">
        <v>83</v>
      </c>
      <c r="F312" s="30" t="s">
        <v>83</v>
      </c>
      <c r="G312" s="28" t="s">
        <v>53</v>
      </c>
      <c r="H312" s="28" t="s">
        <v>53</v>
      </c>
      <c r="I312" s="28">
        <v>1.0</v>
      </c>
      <c r="J312" s="28" t="s">
        <v>51</v>
      </c>
      <c r="K312" s="28">
        <v>360.0</v>
      </c>
      <c r="L312" s="28" t="s">
        <v>123</v>
      </c>
      <c r="M312" s="28" t="s">
        <v>55</v>
      </c>
      <c r="N312" s="28"/>
      <c r="O312" s="31" t="s">
        <v>89</v>
      </c>
      <c r="P312" s="28" t="s">
        <v>60</v>
      </c>
      <c r="Q312" s="28" t="s">
        <v>36</v>
      </c>
      <c r="R312" s="28"/>
      <c r="S312" s="28"/>
      <c r="T312" s="28" t="s">
        <v>40</v>
      </c>
      <c r="U312" s="28" t="s">
        <v>41</v>
      </c>
      <c r="V312" s="28" t="s">
        <v>54</v>
      </c>
      <c r="W312" s="28" t="s">
        <v>972</v>
      </c>
      <c r="X312" s="28" t="s">
        <v>97</v>
      </c>
      <c r="Y312" s="28">
        <v>5716.0</v>
      </c>
    </row>
    <row r="313" ht="56.25" customHeight="1">
      <c r="A313" s="28" t="s">
        <v>966</v>
      </c>
      <c r="B313" s="29" t="str">
        <f>IMAGE("https://storage.googleapis.com/acdb/wall-mounted/FtrDoorOrnamentPaw_Remake_2_0.png")</f>
        <v/>
      </c>
      <c r="C313" s="28" t="s">
        <v>973</v>
      </c>
      <c r="D313" s="30" t="s">
        <v>199</v>
      </c>
      <c r="E313" s="28" t="s">
        <v>83</v>
      </c>
      <c r="F313" s="30" t="s">
        <v>83</v>
      </c>
      <c r="G313" s="28" t="s">
        <v>53</v>
      </c>
      <c r="H313" s="28" t="s">
        <v>53</v>
      </c>
      <c r="I313" s="28">
        <v>1.0</v>
      </c>
      <c r="J313" s="28" t="s">
        <v>51</v>
      </c>
      <c r="K313" s="28">
        <v>360.0</v>
      </c>
      <c r="L313" s="28" t="s">
        <v>123</v>
      </c>
      <c r="M313" s="28" t="s">
        <v>55</v>
      </c>
      <c r="N313" s="28"/>
      <c r="O313" s="31" t="s">
        <v>89</v>
      </c>
      <c r="P313" s="28" t="s">
        <v>60</v>
      </c>
      <c r="Q313" s="28" t="s">
        <v>36</v>
      </c>
      <c r="R313" s="28"/>
      <c r="S313" s="28"/>
      <c r="T313" s="28" t="s">
        <v>40</v>
      </c>
      <c r="U313" s="28" t="s">
        <v>41</v>
      </c>
      <c r="V313" s="28" t="s">
        <v>54</v>
      </c>
      <c r="W313" s="28" t="s">
        <v>975</v>
      </c>
      <c r="X313" s="28" t="s">
        <v>103</v>
      </c>
      <c r="Y313" s="28">
        <v>5716.0</v>
      </c>
    </row>
    <row r="314" ht="56.25" customHeight="1">
      <c r="A314" s="28" t="s">
        <v>966</v>
      </c>
      <c r="B314" s="29" t="str">
        <f>IMAGE("https://storage.googleapis.com/acdb/wall-mounted/FtrDoorOrnamentPaw_Remake_3_0.png")</f>
        <v/>
      </c>
      <c r="C314" s="28" t="s">
        <v>219</v>
      </c>
      <c r="D314" s="30" t="s">
        <v>199</v>
      </c>
      <c r="E314" s="28" t="s">
        <v>83</v>
      </c>
      <c r="F314" s="30" t="s">
        <v>83</v>
      </c>
      <c r="G314" s="28" t="s">
        <v>53</v>
      </c>
      <c r="H314" s="28" t="s">
        <v>53</v>
      </c>
      <c r="I314" s="28">
        <v>1.0</v>
      </c>
      <c r="J314" s="28" t="s">
        <v>51</v>
      </c>
      <c r="K314" s="28">
        <v>360.0</v>
      </c>
      <c r="L314" s="28" t="s">
        <v>123</v>
      </c>
      <c r="M314" s="28" t="s">
        <v>55</v>
      </c>
      <c r="N314" s="28"/>
      <c r="O314" s="31" t="s">
        <v>89</v>
      </c>
      <c r="P314" s="28" t="s">
        <v>60</v>
      </c>
      <c r="Q314" s="28" t="s">
        <v>36</v>
      </c>
      <c r="R314" s="28"/>
      <c r="S314" s="28"/>
      <c r="T314" s="28" t="s">
        <v>40</v>
      </c>
      <c r="U314" s="28" t="s">
        <v>41</v>
      </c>
      <c r="V314" s="28" t="s">
        <v>54</v>
      </c>
      <c r="W314" s="28" t="s">
        <v>977</v>
      </c>
      <c r="X314" s="28" t="s">
        <v>110</v>
      </c>
      <c r="Y314" s="28">
        <v>5716.0</v>
      </c>
    </row>
    <row r="315" ht="56.25" customHeight="1">
      <c r="A315" s="28" t="s">
        <v>966</v>
      </c>
      <c r="B315" s="29" t="str">
        <f>IMAGE("https://storage.googleapis.com/acdb/wall-mounted/FtrDoorOrnamentPaw_Remake_4_0.png")</f>
        <v/>
      </c>
      <c r="C315" s="28" t="s">
        <v>233</v>
      </c>
      <c r="D315" s="30" t="s">
        <v>199</v>
      </c>
      <c r="E315" s="28" t="s">
        <v>83</v>
      </c>
      <c r="F315" s="30" t="s">
        <v>83</v>
      </c>
      <c r="G315" s="28" t="s">
        <v>53</v>
      </c>
      <c r="H315" s="28" t="s">
        <v>53</v>
      </c>
      <c r="I315" s="28">
        <v>1.0</v>
      </c>
      <c r="J315" s="28" t="s">
        <v>51</v>
      </c>
      <c r="K315" s="28">
        <v>360.0</v>
      </c>
      <c r="L315" s="28" t="s">
        <v>123</v>
      </c>
      <c r="M315" s="28" t="s">
        <v>55</v>
      </c>
      <c r="N315" s="28"/>
      <c r="O315" s="31" t="s">
        <v>89</v>
      </c>
      <c r="P315" s="28" t="s">
        <v>60</v>
      </c>
      <c r="Q315" s="28" t="s">
        <v>36</v>
      </c>
      <c r="R315" s="28"/>
      <c r="S315" s="28"/>
      <c r="T315" s="28" t="s">
        <v>40</v>
      </c>
      <c r="U315" s="28" t="s">
        <v>41</v>
      </c>
      <c r="V315" s="28" t="s">
        <v>54</v>
      </c>
      <c r="W315" s="28" t="s">
        <v>979</v>
      </c>
      <c r="X315" s="28" t="s">
        <v>115</v>
      </c>
      <c r="Y315" s="28">
        <v>5716.0</v>
      </c>
    </row>
    <row r="316" ht="30.0" customHeight="1">
      <c r="A316" s="28" t="s">
        <v>966</v>
      </c>
      <c r="B316" s="29" t="str">
        <f>IMAGE("https://storage.googleapis.com/acdb/wall-mounted/FtrDoorOrnamentPaw_Remake_5_0.png")</f>
        <v/>
      </c>
      <c r="C316" s="28" t="s">
        <v>82</v>
      </c>
      <c r="D316" s="30" t="s">
        <v>199</v>
      </c>
      <c r="E316" s="28" t="s">
        <v>83</v>
      </c>
      <c r="F316" s="30" t="s">
        <v>83</v>
      </c>
      <c r="G316" s="28" t="s">
        <v>53</v>
      </c>
      <c r="H316" s="28" t="s">
        <v>53</v>
      </c>
      <c r="I316" s="28">
        <v>1.0</v>
      </c>
      <c r="J316" s="28" t="s">
        <v>51</v>
      </c>
      <c r="K316" s="28">
        <v>360.0</v>
      </c>
      <c r="L316" s="28" t="s">
        <v>123</v>
      </c>
      <c r="M316" s="28" t="s">
        <v>55</v>
      </c>
      <c r="N316" s="28"/>
      <c r="O316" s="31" t="s">
        <v>89</v>
      </c>
      <c r="P316" s="28" t="s">
        <v>60</v>
      </c>
      <c r="Q316" s="28" t="s">
        <v>36</v>
      </c>
      <c r="R316" s="28"/>
      <c r="S316" s="28"/>
      <c r="T316" s="28" t="s">
        <v>40</v>
      </c>
      <c r="U316" s="28" t="s">
        <v>41</v>
      </c>
      <c r="V316" s="28" t="s">
        <v>54</v>
      </c>
      <c r="W316" s="28" t="s">
        <v>981</v>
      </c>
      <c r="X316" s="28" t="s">
        <v>120</v>
      </c>
      <c r="Y316" s="28">
        <v>5716.0</v>
      </c>
    </row>
    <row r="317" ht="56.25" customHeight="1">
      <c r="A317" s="28" t="s">
        <v>966</v>
      </c>
      <c r="B317" s="29" t="str">
        <f>IMAGE("https://storage.googleapis.com/acdb/wall-mounted/FtrDoorOrnamentPaw_Remake_6_0.png")</f>
        <v/>
      </c>
      <c r="C317" s="28" t="s">
        <v>112</v>
      </c>
      <c r="D317" s="30" t="s">
        <v>199</v>
      </c>
      <c r="E317" s="28" t="s">
        <v>83</v>
      </c>
      <c r="F317" s="30" t="s">
        <v>83</v>
      </c>
      <c r="G317" s="28" t="s">
        <v>53</v>
      </c>
      <c r="H317" s="28" t="s">
        <v>53</v>
      </c>
      <c r="I317" s="28">
        <v>1.0</v>
      </c>
      <c r="J317" s="28" t="s">
        <v>51</v>
      </c>
      <c r="K317" s="28">
        <v>360.0</v>
      </c>
      <c r="L317" s="28" t="s">
        <v>123</v>
      </c>
      <c r="M317" s="28" t="s">
        <v>55</v>
      </c>
      <c r="N317" s="28"/>
      <c r="O317" s="31" t="s">
        <v>89</v>
      </c>
      <c r="P317" s="28" t="s">
        <v>60</v>
      </c>
      <c r="Q317" s="28" t="s">
        <v>36</v>
      </c>
      <c r="R317" s="28"/>
      <c r="S317" s="28"/>
      <c r="T317" s="28" t="s">
        <v>40</v>
      </c>
      <c r="U317" s="28" t="s">
        <v>41</v>
      </c>
      <c r="V317" s="28" t="s">
        <v>54</v>
      </c>
      <c r="W317" s="28" t="s">
        <v>983</v>
      </c>
      <c r="X317" s="28" t="s">
        <v>218</v>
      </c>
      <c r="Y317" s="28">
        <v>5716.0</v>
      </c>
    </row>
    <row r="318" ht="56.25" customHeight="1">
      <c r="A318" s="28" t="s">
        <v>966</v>
      </c>
      <c r="B318" s="29" t="str">
        <f>IMAGE("https://storage.googleapis.com/acdb/wall-mounted/FtrDoorOrnamentPaw_Remake_7_0.png")</f>
        <v/>
      </c>
      <c r="C318" s="28" t="s">
        <v>107</v>
      </c>
      <c r="D318" s="30" t="s">
        <v>199</v>
      </c>
      <c r="E318" s="28" t="s">
        <v>83</v>
      </c>
      <c r="F318" s="30" t="s">
        <v>83</v>
      </c>
      <c r="G318" s="28" t="s">
        <v>53</v>
      </c>
      <c r="H318" s="28" t="s">
        <v>53</v>
      </c>
      <c r="I318" s="28">
        <v>1.0</v>
      </c>
      <c r="J318" s="28" t="s">
        <v>51</v>
      </c>
      <c r="K318" s="28">
        <v>360.0</v>
      </c>
      <c r="L318" s="28" t="s">
        <v>123</v>
      </c>
      <c r="M318" s="28" t="s">
        <v>55</v>
      </c>
      <c r="N318" s="28"/>
      <c r="O318" s="31" t="s">
        <v>89</v>
      </c>
      <c r="P318" s="28" t="s">
        <v>60</v>
      </c>
      <c r="Q318" s="28" t="s">
        <v>36</v>
      </c>
      <c r="R318" s="28"/>
      <c r="S318" s="28"/>
      <c r="T318" s="28" t="s">
        <v>40</v>
      </c>
      <c r="U318" s="28" t="s">
        <v>41</v>
      </c>
      <c r="V318" s="28" t="s">
        <v>54</v>
      </c>
      <c r="W318" s="28" t="s">
        <v>984</v>
      </c>
      <c r="X318" s="28" t="s">
        <v>223</v>
      </c>
      <c r="Y318" s="28">
        <v>5716.0</v>
      </c>
    </row>
    <row r="319" ht="56.25" customHeight="1">
      <c r="A319" s="28" t="s">
        <v>985</v>
      </c>
      <c r="B319" s="29" t="str">
        <f>IMAGE("https://storage.googleapis.com/acdb/wall-mounted/FtrClockPendulumWall.png")</f>
        <v/>
      </c>
      <c r="C319" s="28" t="s">
        <v>83</v>
      </c>
      <c r="D319" s="28" t="s">
        <v>83</v>
      </c>
      <c r="E319" s="28" t="s">
        <v>83</v>
      </c>
      <c r="F319" s="28" t="s">
        <v>83</v>
      </c>
      <c r="G319" s="28" t="s">
        <v>40</v>
      </c>
      <c r="H319" s="28" t="s">
        <v>40</v>
      </c>
      <c r="I319" s="28" t="s">
        <v>83</v>
      </c>
      <c r="J319" s="28">
        <v>1900.0</v>
      </c>
      <c r="K319" s="28">
        <v>475.0</v>
      </c>
      <c r="L319" s="28" t="s">
        <v>123</v>
      </c>
      <c r="M319" s="28" t="s">
        <v>44</v>
      </c>
      <c r="N319" s="28" t="s">
        <v>63</v>
      </c>
      <c r="O319" s="31" t="s">
        <v>89</v>
      </c>
      <c r="P319" s="28" t="s">
        <v>60</v>
      </c>
      <c r="Q319" s="28"/>
      <c r="R319" s="28"/>
      <c r="S319" s="28"/>
      <c r="T319" s="28" t="s">
        <v>53</v>
      </c>
      <c r="U319" s="28" t="s">
        <v>41</v>
      </c>
      <c r="V319" s="28" t="s">
        <v>43</v>
      </c>
      <c r="W319" s="28" t="s">
        <v>987</v>
      </c>
      <c r="X319" s="28" t="s">
        <v>83</v>
      </c>
      <c r="Y319" s="28">
        <v>4106.0</v>
      </c>
    </row>
    <row r="320" ht="56.25" customHeight="1">
      <c r="A320" s="28" t="s">
        <v>988</v>
      </c>
      <c r="B320" s="29" t="str">
        <f>IMAGE("https://storage.googleapis.com/acdb/wall-mounted/FtrPennant_Remake_0_0.png")</f>
        <v/>
      </c>
      <c r="C320" s="28" t="s">
        <v>990</v>
      </c>
      <c r="D320" s="30" t="s">
        <v>83</v>
      </c>
      <c r="E320" s="28" t="s">
        <v>83</v>
      </c>
      <c r="F320" s="30" t="s">
        <v>83</v>
      </c>
      <c r="G320" s="28" t="s">
        <v>40</v>
      </c>
      <c r="H320" s="28" t="s">
        <v>40</v>
      </c>
      <c r="I320" s="28" t="s">
        <v>83</v>
      </c>
      <c r="J320" s="28">
        <v>1300.0</v>
      </c>
      <c r="K320" s="28">
        <v>325.0</v>
      </c>
      <c r="L320" s="28" t="s">
        <v>88</v>
      </c>
      <c r="M320" s="28" t="s">
        <v>44</v>
      </c>
      <c r="N320" s="28" t="s">
        <v>68</v>
      </c>
      <c r="O320" s="31" t="s">
        <v>89</v>
      </c>
      <c r="P320" s="28" t="s">
        <v>37</v>
      </c>
      <c r="Q320" s="28" t="s">
        <v>113</v>
      </c>
      <c r="R320" s="28"/>
      <c r="S320" s="28"/>
      <c r="T320" s="28" t="s">
        <v>40</v>
      </c>
      <c r="U320" s="28" t="s">
        <v>41</v>
      </c>
      <c r="V320" s="28" t="s">
        <v>43</v>
      </c>
      <c r="W320" s="28" t="s">
        <v>991</v>
      </c>
      <c r="X320" s="28" t="s">
        <v>92</v>
      </c>
      <c r="Y320" s="28">
        <v>3818.0</v>
      </c>
    </row>
    <row r="321" ht="56.25" customHeight="1">
      <c r="A321" s="28" t="s">
        <v>988</v>
      </c>
      <c r="B321" s="29" t="str">
        <f>IMAGE("https://storage.googleapis.com/acdb/wall-mounted/FtrPennant_Remake_1_0.png")</f>
        <v/>
      </c>
      <c r="C321" s="28" t="s">
        <v>992</v>
      </c>
      <c r="D321" s="30" t="s">
        <v>83</v>
      </c>
      <c r="E321" s="28" t="s">
        <v>83</v>
      </c>
      <c r="F321" s="30" t="s">
        <v>83</v>
      </c>
      <c r="G321" s="28" t="s">
        <v>40</v>
      </c>
      <c r="H321" s="28" t="s">
        <v>40</v>
      </c>
      <c r="I321" s="28" t="s">
        <v>83</v>
      </c>
      <c r="J321" s="28">
        <v>1300.0</v>
      </c>
      <c r="K321" s="28">
        <v>325.0</v>
      </c>
      <c r="L321" s="28" t="s">
        <v>88</v>
      </c>
      <c r="M321" s="28" t="s">
        <v>44</v>
      </c>
      <c r="N321" s="28" t="s">
        <v>68</v>
      </c>
      <c r="O321" s="31" t="s">
        <v>89</v>
      </c>
      <c r="P321" s="28" t="s">
        <v>37</v>
      </c>
      <c r="Q321" s="28" t="s">
        <v>113</v>
      </c>
      <c r="R321" s="28"/>
      <c r="S321" s="28"/>
      <c r="T321" s="28" t="s">
        <v>40</v>
      </c>
      <c r="U321" s="28" t="s">
        <v>41</v>
      </c>
      <c r="V321" s="28" t="s">
        <v>43</v>
      </c>
      <c r="W321" s="28" t="s">
        <v>994</v>
      </c>
      <c r="X321" s="28" t="s">
        <v>97</v>
      </c>
      <c r="Y321" s="28">
        <v>3818.0</v>
      </c>
    </row>
    <row r="322" ht="56.25" customHeight="1">
      <c r="A322" s="28" t="s">
        <v>988</v>
      </c>
      <c r="B322" s="29" t="str">
        <f>IMAGE("https://storage.googleapis.com/acdb/wall-mounted/FtrPennant_Remake_2_0.png")</f>
        <v/>
      </c>
      <c r="C322" s="28" t="s">
        <v>996</v>
      </c>
      <c r="D322" s="30" t="s">
        <v>83</v>
      </c>
      <c r="E322" s="28" t="s">
        <v>83</v>
      </c>
      <c r="F322" s="30" t="s">
        <v>83</v>
      </c>
      <c r="G322" s="28" t="s">
        <v>40</v>
      </c>
      <c r="H322" s="28" t="s">
        <v>40</v>
      </c>
      <c r="I322" s="28" t="s">
        <v>83</v>
      </c>
      <c r="J322" s="28">
        <v>1300.0</v>
      </c>
      <c r="K322" s="28">
        <v>325.0</v>
      </c>
      <c r="L322" s="28" t="s">
        <v>88</v>
      </c>
      <c r="M322" s="28" t="s">
        <v>44</v>
      </c>
      <c r="N322" s="28" t="s">
        <v>68</v>
      </c>
      <c r="O322" s="31" t="s">
        <v>89</v>
      </c>
      <c r="P322" s="28" t="s">
        <v>37</v>
      </c>
      <c r="Q322" s="28" t="s">
        <v>113</v>
      </c>
      <c r="R322" s="28"/>
      <c r="S322" s="28"/>
      <c r="T322" s="28" t="s">
        <v>40</v>
      </c>
      <c r="U322" s="28" t="s">
        <v>41</v>
      </c>
      <c r="V322" s="28" t="s">
        <v>43</v>
      </c>
      <c r="W322" s="28" t="s">
        <v>997</v>
      </c>
      <c r="X322" s="28" t="s">
        <v>103</v>
      </c>
      <c r="Y322" s="28">
        <v>3818.0</v>
      </c>
    </row>
    <row r="323" ht="56.25" customHeight="1">
      <c r="A323" s="28" t="s">
        <v>988</v>
      </c>
      <c r="B323" s="29" t="str">
        <f>IMAGE("https://storage.googleapis.com/acdb/wall-mounted/FtrPennant_Remake_3_0.png")</f>
        <v/>
      </c>
      <c r="C323" s="28" t="s">
        <v>998</v>
      </c>
      <c r="D323" s="30" t="s">
        <v>83</v>
      </c>
      <c r="E323" s="28" t="s">
        <v>83</v>
      </c>
      <c r="F323" s="30" t="s">
        <v>83</v>
      </c>
      <c r="G323" s="28" t="s">
        <v>40</v>
      </c>
      <c r="H323" s="28" t="s">
        <v>40</v>
      </c>
      <c r="I323" s="28" t="s">
        <v>83</v>
      </c>
      <c r="J323" s="28">
        <v>1300.0</v>
      </c>
      <c r="K323" s="28">
        <v>325.0</v>
      </c>
      <c r="L323" s="28" t="s">
        <v>88</v>
      </c>
      <c r="M323" s="28" t="s">
        <v>44</v>
      </c>
      <c r="N323" s="28" t="s">
        <v>68</v>
      </c>
      <c r="O323" s="31" t="s">
        <v>89</v>
      </c>
      <c r="P323" s="28" t="s">
        <v>37</v>
      </c>
      <c r="Q323" s="28" t="s">
        <v>113</v>
      </c>
      <c r="R323" s="28"/>
      <c r="S323" s="28"/>
      <c r="T323" s="28" t="s">
        <v>40</v>
      </c>
      <c r="U323" s="28" t="s">
        <v>41</v>
      </c>
      <c r="V323" s="28" t="s">
        <v>43</v>
      </c>
      <c r="W323" s="28" t="s">
        <v>999</v>
      </c>
      <c r="X323" s="28" t="s">
        <v>110</v>
      </c>
      <c r="Y323" s="28">
        <v>3818.0</v>
      </c>
    </row>
    <row r="324" ht="56.25" customHeight="1">
      <c r="A324" s="28" t="s">
        <v>988</v>
      </c>
      <c r="B324" s="29" t="str">
        <f>IMAGE("https://storage.googleapis.com/acdb/wall-mounted/FtrPennant_Remake_4_0.png")</f>
        <v/>
      </c>
      <c r="C324" s="28" t="s">
        <v>1001</v>
      </c>
      <c r="D324" s="30" t="s">
        <v>83</v>
      </c>
      <c r="E324" s="28" t="s">
        <v>83</v>
      </c>
      <c r="F324" s="30" t="s">
        <v>83</v>
      </c>
      <c r="G324" s="28" t="s">
        <v>40</v>
      </c>
      <c r="H324" s="28" t="s">
        <v>40</v>
      </c>
      <c r="I324" s="28" t="s">
        <v>83</v>
      </c>
      <c r="J324" s="28">
        <v>1300.0</v>
      </c>
      <c r="K324" s="28">
        <v>325.0</v>
      </c>
      <c r="L324" s="28" t="s">
        <v>88</v>
      </c>
      <c r="M324" s="28" t="s">
        <v>44</v>
      </c>
      <c r="N324" s="28" t="s">
        <v>68</v>
      </c>
      <c r="O324" s="31" t="s">
        <v>89</v>
      </c>
      <c r="P324" s="28" t="s">
        <v>37</v>
      </c>
      <c r="Q324" s="28" t="s">
        <v>113</v>
      </c>
      <c r="R324" s="28"/>
      <c r="S324" s="28"/>
      <c r="T324" s="28" t="s">
        <v>40</v>
      </c>
      <c r="U324" s="28" t="s">
        <v>41</v>
      </c>
      <c r="V324" s="28" t="s">
        <v>43</v>
      </c>
      <c r="W324" s="28" t="s">
        <v>1003</v>
      </c>
      <c r="X324" s="28" t="s">
        <v>115</v>
      </c>
      <c r="Y324" s="28">
        <v>3818.0</v>
      </c>
    </row>
    <row r="325" ht="56.25" customHeight="1">
      <c r="A325" s="28" t="s">
        <v>1004</v>
      </c>
      <c r="B325" s="29" t="str">
        <f>IMAGE("https://storage.googleapis.com/acdb/wall-mounted/FtrPotrack_Remake_0_0.png")</f>
        <v/>
      </c>
      <c r="C325" s="28" t="s">
        <v>605</v>
      </c>
      <c r="D325" s="30" t="s">
        <v>83</v>
      </c>
      <c r="E325" s="28" t="s">
        <v>83</v>
      </c>
      <c r="F325" s="30" t="s">
        <v>83</v>
      </c>
      <c r="G325" s="28" t="s">
        <v>40</v>
      </c>
      <c r="H325" s="28" t="s">
        <v>40</v>
      </c>
      <c r="I325" s="28" t="s">
        <v>83</v>
      </c>
      <c r="J325" s="28">
        <v>3000.0</v>
      </c>
      <c r="K325" s="28">
        <v>750.0</v>
      </c>
      <c r="L325" s="28" t="s">
        <v>88</v>
      </c>
      <c r="M325" s="28" t="s">
        <v>44</v>
      </c>
      <c r="N325" s="28" t="s">
        <v>63</v>
      </c>
      <c r="O325" s="31" t="s">
        <v>89</v>
      </c>
      <c r="P325" s="28" t="s">
        <v>86</v>
      </c>
      <c r="Q325" s="28" t="s">
        <v>37</v>
      </c>
      <c r="R325" s="28"/>
      <c r="S325" s="28"/>
      <c r="T325" s="28" t="s">
        <v>40</v>
      </c>
      <c r="U325" s="28" t="s">
        <v>41</v>
      </c>
      <c r="V325" s="28" t="s">
        <v>43</v>
      </c>
      <c r="W325" s="28" t="s">
        <v>1005</v>
      </c>
      <c r="X325" s="28" t="s">
        <v>92</v>
      </c>
      <c r="Y325" s="28">
        <v>928.0</v>
      </c>
    </row>
    <row r="326" ht="69.0" customHeight="1">
      <c r="A326" s="28" t="s">
        <v>1004</v>
      </c>
      <c r="B326" s="29" t="str">
        <f>IMAGE("https://storage.googleapis.com/acdb/wall-mounted/FtrPotrack_Remake_1_0.png")</f>
        <v/>
      </c>
      <c r="C326" s="28" t="s">
        <v>828</v>
      </c>
      <c r="D326" s="30" t="s">
        <v>83</v>
      </c>
      <c r="E326" s="28" t="s">
        <v>83</v>
      </c>
      <c r="F326" s="30" t="s">
        <v>83</v>
      </c>
      <c r="G326" s="28" t="s">
        <v>40</v>
      </c>
      <c r="H326" s="28" t="s">
        <v>40</v>
      </c>
      <c r="I326" s="28" t="s">
        <v>83</v>
      </c>
      <c r="J326" s="28">
        <v>3000.0</v>
      </c>
      <c r="K326" s="28">
        <v>750.0</v>
      </c>
      <c r="L326" s="28" t="s">
        <v>88</v>
      </c>
      <c r="M326" s="28" t="s">
        <v>44</v>
      </c>
      <c r="N326" s="28" t="s">
        <v>63</v>
      </c>
      <c r="O326" s="31" t="s">
        <v>89</v>
      </c>
      <c r="P326" s="28" t="s">
        <v>86</v>
      </c>
      <c r="Q326" s="28" t="s">
        <v>37</v>
      </c>
      <c r="R326" s="28"/>
      <c r="S326" s="28"/>
      <c r="T326" s="28" t="s">
        <v>40</v>
      </c>
      <c r="U326" s="28" t="s">
        <v>41</v>
      </c>
      <c r="V326" s="28" t="s">
        <v>43</v>
      </c>
      <c r="W326" s="28" t="s">
        <v>1007</v>
      </c>
      <c r="X326" s="28" t="s">
        <v>97</v>
      </c>
      <c r="Y326" s="28">
        <v>928.0</v>
      </c>
    </row>
    <row r="327" ht="69.0" customHeight="1">
      <c r="A327" s="28" t="s">
        <v>1004</v>
      </c>
      <c r="B327" s="29" t="str">
        <f>IMAGE("https://storage.googleapis.com/acdb/wall-mounted/FtrPotrack_Remake_2_0.png")</f>
        <v/>
      </c>
      <c r="C327" s="28" t="s">
        <v>833</v>
      </c>
      <c r="D327" s="30" t="s">
        <v>83</v>
      </c>
      <c r="E327" s="28" t="s">
        <v>83</v>
      </c>
      <c r="F327" s="30" t="s">
        <v>83</v>
      </c>
      <c r="G327" s="28" t="s">
        <v>40</v>
      </c>
      <c r="H327" s="28" t="s">
        <v>40</v>
      </c>
      <c r="I327" s="28" t="s">
        <v>83</v>
      </c>
      <c r="J327" s="28">
        <v>3000.0</v>
      </c>
      <c r="K327" s="28">
        <v>750.0</v>
      </c>
      <c r="L327" s="28" t="s">
        <v>88</v>
      </c>
      <c r="M327" s="28" t="s">
        <v>44</v>
      </c>
      <c r="N327" s="28" t="s">
        <v>63</v>
      </c>
      <c r="O327" s="31" t="s">
        <v>89</v>
      </c>
      <c r="P327" s="28" t="s">
        <v>86</v>
      </c>
      <c r="Q327" s="28" t="s">
        <v>37</v>
      </c>
      <c r="R327" s="28"/>
      <c r="S327" s="28"/>
      <c r="T327" s="28" t="s">
        <v>40</v>
      </c>
      <c r="U327" s="28" t="s">
        <v>41</v>
      </c>
      <c r="V327" s="28" t="s">
        <v>43</v>
      </c>
      <c r="W327" s="28" t="s">
        <v>1009</v>
      </c>
      <c r="X327" s="28" t="s">
        <v>103</v>
      </c>
      <c r="Y327" s="28">
        <v>928.0</v>
      </c>
    </row>
    <row r="328" ht="69.0" customHeight="1">
      <c r="A328" s="28" t="s">
        <v>1010</v>
      </c>
      <c r="B328" s="29" t="str">
        <f>IMAGE("https://storage.googleapis.com/acdb/wall-mounted/FtrLeafWall_Remake_0_0.png")</f>
        <v/>
      </c>
      <c r="C328" s="28" t="s">
        <v>939</v>
      </c>
      <c r="D328" s="30" t="s">
        <v>199</v>
      </c>
      <c r="E328" s="28" t="s">
        <v>83</v>
      </c>
      <c r="F328" s="30" t="s">
        <v>83</v>
      </c>
      <c r="G328" s="28" t="s">
        <v>53</v>
      </c>
      <c r="H328" s="28" t="s">
        <v>53</v>
      </c>
      <c r="I328" s="28">
        <v>2.0</v>
      </c>
      <c r="J328" s="28" t="s">
        <v>51</v>
      </c>
      <c r="K328" s="28">
        <v>1100.0</v>
      </c>
      <c r="L328" s="28" t="s">
        <v>123</v>
      </c>
      <c r="M328" s="28" t="s">
        <v>55</v>
      </c>
      <c r="N328" s="28"/>
      <c r="O328" s="31" t="s">
        <v>89</v>
      </c>
      <c r="P328" s="28" t="s">
        <v>60</v>
      </c>
      <c r="Q328" s="28"/>
      <c r="R328" s="28"/>
      <c r="S328" s="28"/>
      <c r="T328" s="28" t="s">
        <v>40</v>
      </c>
      <c r="U328" s="28" t="s">
        <v>41</v>
      </c>
      <c r="V328" s="28" t="s">
        <v>54</v>
      </c>
      <c r="W328" s="28" t="s">
        <v>1012</v>
      </c>
      <c r="X328" s="28" t="s">
        <v>92</v>
      </c>
      <c r="Y328" s="28">
        <v>3785.0</v>
      </c>
    </row>
    <row r="329" ht="69.0" customHeight="1">
      <c r="A329" s="28" t="s">
        <v>1010</v>
      </c>
      <c r="B329" s="29" t="str">
        <f>IMAGE("https://storage.googleapis.com/acdb/wall-mounted/FtrLeafWall_Remake_1_0.png")</f>
        <v/>
      </c>
      <c r="C329" s="28" t="s">
        <v>211</v>
      </c>
      <c r="D329" s="30" t="s">
        <v>199</v>
      </c>
      <c r="E329" s="28" t="s">
        <v>83</v>
      </c>
      <c r="F329" s="30" t="s">
        <v>83</v>
      </c>
      <c r="G329" s="28" t="s">
        <v>53</v>
      </c>
      <c r="H329" s="28" t="s">
        <v>53</v>
      </c>
      <c r="I329" s="28">
        <v>2.0</v>
      </c>
      <c r="J329" s="28" t="s">
        <v>51</v>
      </c>
      <c r="K329" s="28">
        <v>1100.0</v>
      </c>
      <c r="L329" s="28" t="s">
        <v>123</v>
      </c>
      <c r="M329" s="28" t="s">
        <v>55</v>
      </c>
      <c r="N329" s="28"/>
      <c r="O329" s="31" t="s">
        <v>89</v>
      </c>
      <c r="P329" s="28" t="s">
        <v>60</v>
      </c>
      <c r="Q329" s="28"/>
      <c r="R329" s="28"/>
      <c r="S329" s="28"/>
      <c r="T329" s="28" t="s">
        <v>40</v>
      </c>
      <c r="U329" s="28" t="s">
        <v>41</v>
      </c>
      <c r="V329" s="28" t="s">
        <v>54</v>
      </c>
      <c r="W329" s="28" t="s">
        <v>1014</v>
      </c>
      <c r="X329" s="28" t="s">
        <v>97</v>
      </c>
      <c r="Y329" s="28">
        <v>3785.0</v>
      </c>
    </row>
    <row r="330" ht="69.0" customHeight="1">
      <c r="A330" s="28" t="s">
        <v>1010</v>
      </c>
      <c r="B330" s="29" t="str">
        <f>IMAGE("https://storage.googleapis.com/acdb/wall-mounted/FtrLeafWall_Remake_2_0.png")</f>
        <v/>
      </c>
      <c r="C330" s="28" t="s">
        <v>208</v>
      </c>
      <c r="D330" s="30" t="s">
        <v>199</v>
      </c>
      <c r="E330" s="28" t="s">
        <v>83</v>
      </c>
      <c r="F330" s="30" t="s">
        <v>83</v>
      </c>
      <c r="G330" s="28" t="s">
        <v>53</v>
      </c>
      <c r="H330" s="28" t="s">
        <v>53</v>
      </c>
      <c r="I330" s="28">
        <v>2.0</v>
      </c>
      <c r="J330" s="28" t="s">
        <v>51</v>
      </c>
      <c r="K330" s="28">
        <v>1100.0</v>
      </c>
      <c r="L330" s="28" t="s">
        <v>123</v>
      </c>
      <c r="M330" s="28" t="s">
        <v>55</v>
      </c>
      <c r="N330" s="28"/>
      <c r="O330" s="31" t="s">
        <v>89</v>
      </c>
      <c r="P330" s="28" t="s">
        <v>60</v>
      </c>
      <c r="Q330" s="28"/>
      <c r="R330" s="28"/>
      <c r="S330" s="28"/>
      <c r="T330" s="28" t="s">
        <v>40</v>
      </c>
      <c r="U330" s="28" t="s">
        <v>41</v>
      </c>
      <c r="V330" s="28" t="s">
        <v>54</v>
      </c>
      <c r="W330" s="28" t="s">
        <v>1016</v>
      </c>
      <c r="X330" s="28" t="s">
        <v>103</v>
      </c>
      <c r="Y330" s="28">
        <v>3785.0</v>
      </c>
    </row>
    <row r="331" ht="69.0" customHeight="1">
      <c r="A331" s="28" t="s">
        <v>1010</v>
      </c>
      <c r="B331" s="29" t="str">
        <f>IMAGE("https://storage.googleapis.com/acdb/wall-mounted/FtrLeafWall_Remake_3_0.png")</f>
        <v/>
      </c>
      <c r="C331" s="28" t="s">
        <v>369</v>
      </c>
      <c r="D331" s="30" t="s">
        <v>199</v>
      </c>
      <c r="E331" s="28" t="s">
        <v>83</v>
      </c>
      <c r="F331" s="30" t="s">
        <v>83</v>
      </c>
      <c r="G331" s="28" t="s">
        <v>53</v>
      </c>
      <c r="H331" s="28" t="s">
        <v>53</v>
      </c>
      <c r="I331" s="28">
        <v>2.0</v>
      </c>
      <c r="J331" s="28" t="s">
        <v>51</v>
      </c>
      <c r="K331" s="28">
        <v>1100.0</v>
      </c>
      <c r="L331" s="28" t="s">
        <v>123</v>
      </c>
      <c r="M331" s="28" t="s">
        <v>55</v>
      </c>
      <c r="N331" s="28"/>
      <c r="O331" s="31" t="s">
        <v>89</v>
      </c>
      <c r="P331" s="28" t="s">
        <v>60</v>
      </c>
      <c r="Q331" s="28"/>
      <c r="R331" s="28"/>
      <c r="S331" s="28"/>
      <c r="T331" s="28" t="s">
        <v>40</v>
      </c>
      <c r="U331" s="28" t="s">
        <v>41</v>
      </c>
      <c r="V331" s="28" t="s">
        <v>54</v>
      </c>
      <c r="W331" s="28" t="s">
        <v>1018</v>
      </c>
      <c r="X331" s="28" t="s">
        <v>110</v>
      </c>
      <c r="Y331" s="28">
        <v>3785.0</v>
      </c>
    </row>
    <row r="332" ht="69.0" customHeight="1">
      <c r="A332" s="28" t="s">
        <v>1019</v>
      </c>
      <c r="B332" s="29" t="str">
        <f>IMAGE("https://storage.googleapis.com/acdb/wall-mounted/FtrDoorOrnamentWreathCosmosMix.png")</f>
        <v/>
      </c>
      <c r="C332" s="28" t="s">
        <v>83</v>
      </c>
      <c r="D332" s="28" t="s">
        <v>83</v>
      </c>
      <c r="E332" s="28" t="s">
        <v>83</v>
      </c>
      <c r="F332" s="28" t="s">
        <v>83</v>
      </c>
      <c r="G332" s="28" t="s">
        <v>53</v>
      </c>
      <c r="H332" s="28" t="s">
        <v>40</v>
      </c>
      <c r="I332" s="28" t="s">
        <v>83</v>
      </c>
      <c r="J332" s="28" t="s">
        <v>51</v>
      </c>
      <c r="K332" s="28">
        <v>1200.0</v>
      </c>
      <c r="L332" s="28" t="s">
        <v>123</v>
      </c>
      <c r="M332" s="28" t="s">
        <v>55</v>
      </c>
      <c r="N332" s="28"/>
      <c r="O332" s="31" t="s">
        <v>89</v>
      </c>
      <c r="P332" s="28" t="s">
        <v>36</v>
      </c>
      <c r="Q332" s="28"/>
      <c r="R332" s="28"/>
      <c r="S332" s="28"/>
      <c r="T332" s="28" t="s">
        <v>40</v>
      </c>
      <c r="U332" s="28" t="s">
        <v>41</v>
      </c>
      <c r="V332" s="28" t="s">
        <v>54</v>
      </c>
      <c r="W332" s="28" t="s">
        <v>1021</v>
      </c>
      <c r="X332" s="28" t="s">
        <v>83</v>
      </c>
      <c r="Y332" s="28">
        <v>5745.0</v>
      </c>
    </row>
    <row r="333" ht="69.0" customHeight="1">
      <c r="A333" s="28" t="s">
        <v>1022</v>
      </c>
      <c r="B333" s="29" t="str">
        <f>IMAGE("https://storage.googleapis.com/acdb/wall-mounted/FtrDoorOrnamentWreathTulipMix.png")</f>
        <v/>
      </c>
      <c r="C333" s="28" t="s">
        <v>83</v>
      </c>
      <c r="D333" s="28" t="s">
        <v>83</v>
      </c>
      <c r="E333" s="28" t="s">
        <v>83</v>
      </c>
      <c r="F333" s="28" t="s">
        <v>83</v>
      </c>
      <c r="G333" s="28" t="s">
        <v>53</v>
      </c>
      <c r="H333" s="28" t="s">
        <v>40</v>
      </c>
      <c r="I333" s="28" t="s">
        <v>83</v>
      </c>
      <c r="J333" s="28" t="s">
        <v>51</v>
      </c>
      <c r="K333" s="28">
        <v>2400.0</v>
      </c>
      <c r="L333" s="28" t="s">
        <v>123</v>
      </c>
      <c r="M333" s="28" t="s">
        <v>55</v>
      </c>
      <c r="N333" s="28"/>
      <c r="O333" s="31" t="s">
        <v>89</v>
      </c>
      <c r="P333" s="28" t="s">
        <v>36</v>
      </c>
      <c r="Q333" s="28"/>
      <c r="R333" s="28"/>
      <c r="S333" s="28"/>
      <c r="T333" s="28" t="s">
        <v>40</v>
      </c>
      <c r="U333" s="28" t="s">
        <v>41</v>
      </c>
      <c r="V333" s="28" t="s">
        <v>54</v>
      </c>
      <c r="W333" s="28" t="s">
        <v>1023</v>
      </c>
      <c r="X333" s="28" t="s">
        <v>83</v>
      </c>
      <c r="Y333" s="28">
        <v>5751.0</v>
      </c>
    </row>
    <row r="334" ht="56.25" customHeight="1">
      <c r="A334" s="28" t="s">
        <v>1025</v>
      </c>
      <c r="B334" s="29" t="str">
        <f>IMAGE("https://storage.googleapis.com/acdb/wall-mounted/FtrDoorOrnamentWreathHyacinthRare.png")</f>
        <v/>
      </c>
      <c r="C334" s="28" t="s">
        <v>83</v>
      </c>
      <c r="D334" s="28" t="s">
        <v>83</v>
      </c>
      <c r="E334" s="28" t="s">
        <v>83</v>
      </c>
      <c r="F334" s="28" t="s">
        <v>83</v>
      </c>
      <c r="G334" s="28" t="s">
        <v>53</v>
      </c>
      <c r="H334" s="28" t="s">
        <v>40</v>
      </c>
      <c r="I334" s="28" t="s">
        <v>83</v>
      </c>
      <c r="J334" s="28" t="s">
        <v>51</v>
      </c>
      <c r="K334" s="28">
        <v>4800.0</v>
      </c>
      <c r="L334" s="28" t="s">
        <v>123</v>
      </c>
      <c r="M334" s="28" t="s">
        <v>55</v>
      </c>
      <c r="N334" s="28"/>
      <c r="O334" s="31" t="s">
        <v>89</v>
      </c>
      <c r="P334" s="28" t="s">
        <v>36</v>
      </c>
      <c r="Q334" s="28"/>
      <c r="R334" s="28"/>
      <c r="S334" s="28"/>
      <c r="T334" s="28" t="s">
        <v>40</v>
      </c>
      <c r="U334" s="28" t="s">
        <v>41</v>
      </c>
      <c r="V334" s="28" t="s">
        <v>54</v>
      </c>
      <c r="W334" s="28" t="s">
        <v>1027</v>
      </c>
      <c r="X334" s="28" t="s">
        <v>83</v>
      </c>
      <c r="Y334" s="28">
        <v>5769.0</v>
      </c>
    </row>
    <row r="335" ht="56.25" customHeight="1">
      <c r="A335" s="28" t="s">
        <v>1028</v>
      </c>
      <c r="B335" s="29" t="str">
        <f>IMAGE("https://storage.googleapis.com/acdb/wall-mounted/FtrCentralheating.png")</f>
        <v/>
      </c>
      <c r="C335" s="28" t="s">
        <v>83</v>
      </c>
      <c r="D335" s="28" t="s">
        <v>83</v>
      </c>
      <c r="E335" s="28" t="s">
        <v>83</v>
      </c>
      <c r="F335" s="28" t="s">
        <v>83</v>
      </c>
      <c r="G335" s="28" t="s">
        <v>40</v>
      </c>
      <c r="H335" s="28" t="s">
        <v>40</v>
      </c>
      <c r="I335" s="28" t="s">
        <v>83</v>
      </c>
      <c r="J335" s="28">
        <v>1300.0</v>
      </c>
      <c r="K335" s="28">
        <v>325.0</v>
      </c>
      <c r="L335" s="28" t="s">
        <v>123</v>
      </c>
      <c r="M335" s="28" t="s">
        <v>44</v>
      </c>
      <c r="N335" s="28" t="s">
        <v>68</v>
      </c>
      <c r="O335" s="31" t="s">
        <v>89</v>
      </c>
      <c r="P335" s="28" t="s">
        <v>60</v>
      </c>
      <c r="Q335" s="28" t="s">
        <v>80</v>
      </c>
      <c r="R335" s="28"/>
      <c r="S335" s="28"/>
      <c r="T335" s="28" t="s">
        <v>40</v>
      </c>
      <c r="U335" s="28" t="s">
        <v>41</v>
      </c>
      <c r="V335" s="28" t="s">
        <v>43</v>
      </c>
      <c r="W335" s="28" t="s">
        <v>1029</v>
      </c>
      <c r="X335" s="28" t="s">
        <v>83</v>
      </c>
      <c r="Y335" s="28">
        <v>4028.0</v>
      </c>
    </row>
    <row r="336" ht="56.25" customHeight="1">
      <c r="A336" s="28" t="s">
        <v>1030</v>
      </c>
      <c r="B336" s="29" t="str">
        <f>IMAGE("https://storage.googleapis.com/acdb/wall-mounted/FtrDoorOrnamentWreathRose.png")</f>
        <v/>
      </c>
      <c r="C336" s="28" t="s">
        <v>83</v>
      </c>
      <c r="D336" s="28" t="s">
        <v>83</v>
      </c>
      <c r="E336" s="28" t="s">
        <v>83</v>
      </c>
      <c r="F336" s="28" t="s">
        <v>83</v>
      </c>
      <c r="G336" s="28" t="s">
        <v>53</v>
      </c>
      <c r="H336" s="28" t="s">
        <v>40</v>
      </c>
      <c r="I336" s="28" t="s">
        <v>83</v>
      </c>
      <c r="J336" s="28" t="s">
        <v>51</v>
      </c>
      <c r="K336" s="28">
        <v>720.0</v>
      </c>
      <c r="L336" s="28" t="s">
        <v>123</v>
      </c>
      <c r="M336" s="28" t="s">
        <v>55</v>
      </c>
      <c r="N336" s="28"/>
      <c r="O336" s="31" t="s">
        <v>89</v>
      </c>
      <c r="P336" s="28" t="s">
        <v>36</v>
      </c>
      <c r="Q336" s="28"/>
      <c r="R336" s="28"/>
      <c r="S336" s="28"/>
      <c r="T336" s="28" t="s">
        <v>40</v>
      </c>
      <c r="U336" s="28" t="s">
        <v>41</v>
      </c>
      <c r="V336" s="28" t="s">
        <v>54</v>
      </c>
      <c r="W336" s="28" t="s">
        <v>1032</v>
      </c>
      <c r="X336" s="28" t="s">
        <v>83</v>
      </c>
      <c r="Y336" s="28">
        <v>5437.0</v>
      </c>
    </row>
    <row r="337" ht="56.25" customHeight="1">
      <c r="A337" s="28" t="s">
        <v>1033</v>
      </c>
      <c r="B337" s="29" t="str">
        <f>IMAGE("https://storage.googleapis.com/acdb/wall-mounted/FtrZodiacSagittarius.png")</f>
        <v/>
      </c>
      <c r="C337" s="28" t="s">
        <v>83</v>
      </c>
      <c r="D337" s="28" t="s">
        <v>83</v>
      </c>
      <c r="E337" s="28" t="s">
        <v>83</v>
      </c>
      <c r="F337" s="28" t="s">
        <v>83</v>
      </c>
      <c r="G337" s="28" t="s">
        <v>53</v>
      </c>
      <c r="H337" s="28" t="s">
        <v>40</v>
      </c>
      <c r="I337" s="28" t="s">
        <v>83</v>
      </c>
      <c r="J337" s="28" t="s">
        <v>51</v>
      </c>
      <c r="K337" s="28">
        <v>21750.0</v>
      </c>
      <c r="L337" s="28" t="s">
        <v>123</v>
      </c>
      <c r="M337" s="28" t="s">
        <v>55</v>
      </c>
      <c r="N337" s="28"/>
      <c r="O337" s="31" t="s">
        <v>89</v>
      </c>
      <c r="P337" s="28" t="s">
        <v>62</v>
      </c>
      <c r="Q337" s="28"/>
      <c r="R337" s="28"/>
      <c r="S337" s="28"/>
      <c r="T337" s="28" t="s">
        <v>40</v>
      </c>
      <c r="U337" s="28" t="s">
        <v>41</v>
      </c>
      <c r="V337" s="28" t="s">
        <v>54</v>
      </c>
      <c r="W337" s="28" t="s">
        <v>1035</v>
      </c>
      <c r="X337" s="28" t="s">
        <v>83</v>
      </c>
      <c r="Y337" s="28">
        <v>5958.0</v>
      </c>
    </row>
    <row r="338" ht="56.25" customHeight="1">
      <c r="A338" s="28" t="s">
        <v>1036</v>
      </c>
      <c r="B338" s="29" t="str">
        <f>IMAGE("https://storage.googleapis.com/acdb/wall-mounted/FtrDoorOrnamentWreathShell.png")</f>
        <v/>
      </c>
      <c r="C338" s="28" t="s">
        <v>83</v>
      </c>
      <c r="D338" s="28" t="s">
        <v>83</v>
      </c>
      <c r="E338" s="28" t="s">
        <v>83</v>
      </c>
      <c r="F338" s="28" t="s">
        <v>83</v>
      </c>
      <c r="G338" s="28" t="s">
        <v>53</v>
      </c>
      <c r="H338" s="28" t="s">
        <v>40</v>
      </c>
      <c r="I338" s="28" t="s">
        <v>83</v>
      </c>
      <c r="J338" s="28" t="s">
        <v>51</v>
      </c>
      <c r="K338" s="28">
        <v>4720.0</v>
      </c>
      <c r="L338" s="28" t="s">
        <v>123</v>
      </c>
      <c r="M338" s="28" t="s">
        <v>55</v>
      </c>
      <c r="N338" s="28"/>
      <c r="O338" s="31" t="s">
        <v>89</v>
      </c>
      <c r="P338" s="28" t="s">
        <v>84</v>
      </c>
      <c r="Q338" s="28"/>
      <c r="R338" s="28"/>
      <c r="S338" s="28"/>
      <c r="T338" s="28" t="s">
        <v>40</v>
      </c>
      <c r="U338" s="28" t="s">
        <v>41</v>
      </c>
      <c r="V338" s="28" t="s">
        <v>54</v>
      </c>
      <c r="W338" s="28" t="s">
        <v>1038</v>
      </c>
      <c r="X338" s="28" t="s">
        <v>83</v>
      </c>
      <c r="Y338" s="28">
        <v>4376.0</v>
      </c>
    </row>
    <row r="339" ht="56.25" customHeight="1">
      <c r="A339" s="28" t="s">
        <v>1039</v>
      </c>
      <c r="B339" s="29" t="str">
        <f>IMAGE("https://storage.googleapis.com/acdb/wall-mounted/FtrShowerWall_Remake_0_0.png")</f>
        <v/>
      </c>
      <c r="C339" s="28" t="s">
        <v>182</v>
      </c>
      <c r="D339" s="30" t="s">
        <v>83</v>
      </c>
      <c r="E339" s="28" t="s">
        <v>83</v>
      </c>
      <c r="F339" s="30" t="s">
        <v>83</v>
      </c>
      <c r="G339" s="28" t="s">
        <v>40</v>
      </c>
      <c r="H339" s="28" t="s">
        <v>40</v>
      </c>
      <c r="I339" s="28" t="s">
        <v>83</v>
      </c>
      <c r="J339" s="28">
        <v>1800.0</v>
      </c>
      <c r="K339" s="28">
        <v>450.0</v>
      </c>
      <c r="L339" s="28" t="s">
        <v>251</v>
      </c>
      <c r="M339" s="28" t="s">
        <v>44</v>
      </c>
      <c r="N339" s="28" t="s">
        <v>68</v>
      </c>
      <c r="O339" s="31" t="s">
        <v>89</v>
      </c>
      <c r="P339" s="28" t="s">
        <v>183</v>
      </c>
      <c r="Q339" s="28"/>
      <c r="R339" s="28"/>
      <c r="S339" s="28" t="s">
        <v>184</v>
      </c>
      <c r="T339" s="28" t="s">
        <v>53</v>
      </c>
      <c r="U339" s="28" t="s">
        <v>41</v>
      </c>
      <c r="V339" s="28" t="s">
        <v>43</v>
      </c>
      <c r="W339" s="28" t="s">
        <v>1040</v>
      </c>
      <c r="X339" s="28" t="s">
        <v>92</v>
      </c>
      <c r="Y339" s="28">
        <v>4017.0</v>
      </c>
    </row>
    <row r="340" ht="56.25" customHeight="1">
      <c r="A340" s="28" t="s">
        <v>1039</v>
      </c>
      <c r="B340" s="29" t="str">
        <f>IMAGE("https://storage.googleapis.com/acdb/wall-mounted/FtrShowerWall_Remake_1_0.png")</f>
        <v/>
      </c>
      <c r="C340" s="28" t="s">
        <v>187</v>
      </c>
      <c r="D340" s="30" t="s">
        <v>83</v>
      </c>
      <c r="E340" s="28" t="s">
        <v>83</v>
      </c>
      <c r="F340" s="30" t="s">
        <v>83</v>
      </c>
      <c r="G340" s="28" t="s">
        <v>40</v>
      </c>
      <c r="H340" s="28" t="s">
        <v>40</v>
      </c>
      <c r="I340" s="28" t="s">
        <v>83</v>
      </c>
      <c r="J340" s="28">
        <v>1800.0</v>
      </c>
      <c r="K340" s="28">
        <v>450.0</v>
      </c>
      <c r="L340" s="28" t="s">
        <v>251</v>
      </c>
      <c r="M340" s="28" t="s">
        <v>44</v>
      </c>
      <c r="N340" s="28" t="s">
        <v>68</v>
      </c>
      <c r="O340" s="31" t="s">
        <v>89</v>
      </c>
      <c r="P340" s="28" t="s">
        <v>183</v>
      </c>
      <c r="Q340" s="28"/>
      <c r="R340" s="28"/>
      <c r="S340" s="28" t="s">
        <v>184</v>
      </c>
      <c r="T340" s="28" t="s">
        <v>53</v>
      </c>
      <c r="U340" s="28" t="s">
        <v>41</v>
      </c>
      <c r="V340" s="28" t="s">
        <v>43</v>
      </c>
      <c r="W340" s="28" t="s">
        <v>1042</v>
      </c>
      <c r="X340" s="28" t="s">
        <v>97</v>
      </c>
      <c r="Y340" s="28">
        <v>4017.0</v>
      </c>
    </row>
    <row r="341" ht="56.25" customHeight="1">
      <c r="A341" s="28" t="s">
        <v>1039</v>
      </c>
      <c r="B341" s="29" t="str">
        <f>IMAGE("https://storage.googleapis.com/acdb/wall-mounted/FtrShowerWall_Remake_2_0.png")</f>
        <v/>
      </c>
      <c r="C341" s="28" t="s">
        <v>190</v>
      </c>
      <c r="D341" s="30" t="s">
        <v>83</v>
      </c>
      <c r="E341" s="28" t="s">
        <v>83</v>
      </c>
      <c r="F341" s="30" t="s">
        <v>83</v>
      </c>
      <c r="G341" s="28" t="s">
        <v>40</v>
      </c>
      <c r="H341" s="28" t="s">
        <v>40</v>
      </c>
      <c r="I341" s="28" t="s">
        <v>83</v>
      </c>
      <c r="J341" s="28">
        <v>1800.0</v>
      </c>
      <c r="K341" s="28">
        <v>450.0</v>
      </c>
      <c r="L341" s="28" t="s">
        <v>251</v>
      </c>
      <c r="M341" s="28" t="s">
        <v>44</v>
      </c>
      <c r="N341" s="28" t="s">
        <v>68</v>
      </c>
      <c r="O341" s="31" t="s">
        <v>89</v>
      </c>
      <c r="P341" s="28" t="s">
        <v>183</v>
      </c>
      <c r="Q341" s="28"/>
      <c r="R341" s="28"/>
      <c r="S341" s="28" t="s">
        <v>184</v>
      </c>
      <c r="T341" s="28" t="s">
        <v>53</v>
      </c>
      <c r="U341" s="28" t="s">
        <v>41</v>
      </c>
      <c r="V341" s="28" t="s">
        <v>43</v>
      </c>
      <c r="W341" s="28" t="s">
        <v>1043</v>
      </c>
      <c r="X341" s="28" t="s">
        <v>103</v>
      </c>
      <c r="Y341" s="28">
        <v>4017.0</v>
      </c>
    </row>
    <row r="342" ht="56.25" customHeight="1">
      <c r="A342" s="28" t="s">
        <v>1039</v>
      </c>
      <c r="B342" s="29" t="str">
        <f>IMAGE("https://storage.googleapis.com/acdb/wall-mounted/FtrShowerWall_Remake_3_0.png")</f>
        <v/>
      </c>
      <c r="C342" s="28" t="s">
        <v>99</v>
      </c>
      <c r="D342" s="30" t="s">
        <v>83</v>
      </c>
      <c r="E342" s="28" t="s">
        <v>83</v>
      </c>
      <c r="F342" s="30" t="s">
        <v>83</v>
      </c>
      <c r="G342" s="28" t="s">
        <v>40</v>
      </c>
      <c r="H342" s="28" t="s">
        <v>40</v>
      </c>
      <c r="I342" s="28" t="s">
        <v>83</v>
      </c>
      <c r="J342" s="28">
        <v>1800.0</v>
      </c>
      <c r="K342" s="28">
        <v>450.0</v>
      </c>
      <c r="L342" s="28" t="s">
        <v>251</v>
      </c>
      <c r="M342" s="28" t="s">
        <v>44</v>
      </c>
      <c r="N342" s="28" t="s">
        <v>68</v>
      </c>
      <c r="O342" s="31" t="s">
        <v>89</v>
      </c>
      <c r="P342" s="28" t="s">
        <v>183</v>
      </c>
      <c r="Q342" s="28"/>
      <c r="R342" s="28"/>
      <c r="S342" s="28" t="s">
        <v>184</v>
      </c>
      <c r="T342" s="28" t="s">
        <v>53</v>
      </c>
      <c r="U342" s="28" t="s">
        <v>41</v>
      </c>
      <c r="V342" s="28" t="s">
        <v>43</v>
      </c>
      <c r="W342" s="28" t="s">
        <v>1045</v>
      </c>
      <c r="X342" s="28" t="s">
        <v>110</v>
      </c>
      <c r="Y342" s="28">
        <v>4017.0</v>
      </c>
    </row>
    <row r="343" ht="56.25" customHeight="1">
      <c r="A343" s="28" t="s">
        <v>1046</v>
      </c>
      <c r="B343" s="29" t="str">
        <f>IMAGE("https://storage.googleapis.com/acdb/wall-mounted/FtrShieldHhaSilver.png")</f>
        <v/>
      </c>
      <c r="C343" s="28" t="s">
        <v>83</v>
      </c>
      <c r="D343" s="28" t="s">
        <v>83</v>
      </c>
      <c r="E343" s="28" t="s">
        <v>83</v>
      </c>
      <c r="F343" s="28" t="s">
        <v>83</v>
      </c>
      <c r="G343" s="28" t="s">
        <v>40</v>
      </c>
      <c r="H343" s="28" t="s">
        <v>40</v>
      </c>
      <c r="I343" s="28" t="s">
        <v>83</v>
      </c>
      <c r="J343" s="34" t="s">
        <v>51</v>
      </c>
      <c r="K343" s="28">
        <v>425.0</v>
      </c>
      <c r="L343" s="28" t="s">
        <v>123</v>
      </c>
      <c r="M343" s="28" t="s">
        <v>247</v>
      </c>
      <c r="N343" s="28"/>
      <c r="O343" s="31" t="s">
        <v>89</v>
      </c>
      <c r="P343" s="28" t="s">
        <v>60</v>
      </c>
      <c r="Q343" s="28" t="s">
        <v>62</v>
      </c>
      <c r="R343" s="28"/>
      <c r="S343" s="28"/>
      <c r="T343" s="28" t="s">
        <v>40</v>
      </c>
      <c r="U343" s="28" t="s">
        <v>41</v>
      </c>
      <c r="V343" s="28" t="s">
        <v>54</v>
      </c>
      <c r="W343" s="28" t="s">
        <v>1047</v>
      </c>
      <c r="X343" s="28" t="s">
        <v>83</v>
      </c>
      <c r="Y343" s="28">
        <v>7036.0</v>
      </c>
    </row>
    <row r="344" ht="56.25" customHeight="1">
      <c r="A344" s="28" t="s">
        <v>1048</v>
      </c>
      <c r="B344" s="29" t="str">
        <f>IMAGE("https://storage.googleapis.com/acdb/wall-mounted/FtrDoorPlateSkull_Remake_0_0.png")</f>
        <v/>
      </c>
      <c r="C344" s="28" t="s">
        <v>118</v>
      </c>
      <c r="D344" s="30" t="s">
        <v>83</v>
      </c>
      <c r="E344" s="28" t="s">
        <v>83</v>
      </c>
      <c r="F344" s="30" t="s">
        <v>83</v>
      </c>
      <c r="G344" s="28" t="s">
        <v>40</v>
      </c>
      <c r="H344" s="28" t="s">
        <v>40</v>
      </c>
      <c r="I344" s="28" t="s">
        <v>83</v>
      </c>
      <c r="J344" s="28">
        <v>540.0</v>
      </c>
      <c r="K344" s="28">
        <v>135.0</v>
      </c>
      <c r="L344" s="28" t="s">
        <v>123</v>
      </c>
      <c r="M344" s="28" t="s">
        <v>44</v>
      </c>
      <c r="N344" s="28" t="s">
        <v>63</v>
      </c>
      <c r="O344" s="31" t="s">
        <v>89</v>
      </c>
      <c r="P344" s="28" t="s">
        <v>346</v>
      </c>
      <c r="Q344" s="28"/>
      <c r="R344" s="28"/>
      <c r="S344" s="28"/>
      <c r="T344" s="28" t="s">
        <v>40</v>
      </c>
      <c r="U344" s="28" t="s">
        <v>41</v>
      </c>
      <c r="V344" s="28" t="s">
        <v>43</v>
      </c>
      <c r="W344" s="28" t="s">
        <v>1049</v>
      </c>
      <c r="X344" s="28" t="s">
        <v>92</v>
      </c>
      <c r="Y344" s="28">
        <v>4738.0</v>
      </c>
    </row>
    <row r="345" ht="56.25" customHeight="1">
      <c r="A345" s="28" t="s">
        <v>1048</v>
      </c>
      <c r="B345" s="29" t="str">
        <f>IMAGE("https://storage.googleapis.com/acdb/wall-mounted/FtrDoorPlateSkull_Remake_1_0.png")</f>
        <v/>
      </c>
      <c r="C345" s="28" t="s">
        <v>82</v>
      </c>
      <c r="D345" s="30" t="s">
        <v>83</v>
      </c>
      <c r="E345" s="28" t="s">
        <v>83</v>
      </c>
      <c r="F345" s="30" t="s">
        <v>83</v>
      </c>
      <c r="G345" s="28" t="s">
        <v>40</v>
      </c>
      <c r="H345" s="28" t="s">
        <v>40</v>
      </c>
      <c r="I345" s="28" t="s">
        <v>83</v>
      </c>
      <c r="J345" s="28">
        <v>540.0</v>
      </c>
      <c r="K345" s="28">
        <v>135.0</v>
      </c>
      <c r="L345" s="28" t="s">
        <v>123</v>
      </c>
      <c r="M345" s="28" t="s">
        <v>44</v>
      </c>
      <c r="N345" s="28" t="s">
        <v>63</v>
      </c>
      <c r="O345" s="31" t="s">
        <v>89</v>
      </c>
      <c r="P345" s="28" t="s">
        <v>346</v>
      </c>
      <c r="Q345" s="28"/>
      <c r="R345" s="28"/>
      <c r="S345" s="28"/>
      <c r="T345" s="28" t="s">
        <v>40</v>
      </c>
      <c r="U345" s="28" t="s">
        <v>41</v>
      </c>
      <c r="V345" s="28" t="s">
        <v>43</v>
      </c>
      <c r="W345" s="28" t="s">
        <v>1051</v>
      </c>
      <c r="X345" s="28" t="s">
        <v>97</v>
      </c>
      <c r="Y345" s="28">
        <v>4738.0</v>
      </c>
    </row>
    <row r="346" ht="56.25" customHeight="1">
      <c r="A346" s="28" t="s">
        <v>1052</v>
      </c>
      <c r="B346" s="29" t="str">
        <f>IMAGE("https://storage.googleapis.com/acdb/wall-mounted/FtrDoorOrnamentWreathPansyMix.png")</f>
        <v/>
      </c>
      <c r="C346" s="28" t="s">
        <v>83</v>
      </c>
      <c r="D346" s="28" t="s">
        <v>83</v>
      </c>
      <c r="E346" s="28" t="s">
        <v>83</v>
      </c>
      <c r="F346" s="28" t="s">
        <v>83</v>
      </c>
      <c r="G346" s="28" t="s">
        <v>53</v>
      </c>
      <c r="H346" s="28" t="s">
        <v>40</v>
      </c>
      <c r="I346" s="28" t="s">
        <v>83</v>
      </c>
      <c r="J346" s="28" t="s">
        <v>51</v>
      </c>
      <c r="K346" s="28">
        <v>1200.0</v>
      </c>
      <c r="L346" s="28" t="s">
        <v>123</v>
      </c>
      <c r="M346" s="28" t="s">
        <v>55</v>
      </c>
      <c r="N346" s="28"/>
      <c r="O346" s="31" t="s">
        <v>89</v>
      </c>
      <c r="P346" s="28" t="s">
        <v>36</v>
      </c>
      <c r="Q346" s="28"/>
      <c r="R346" s="28"/>
      <c r="S346" s="28"/>
      <c r="T346" s="28" t="s">
        <v>40</v>
      </c>
      <c r="U346" s="28" t="s">
        <v>41</v>
      </c>
      <c r="V346" s="28" t="s">
        <v>54</v>
      </c>
      <c r="W346" s="28" t="s">
        <v>1054</v>
      </c>
      <c r="X346" s="28" t="s">
        <v>83</v>
      </c>
      <c r="Y346" s="28">
        <v>5748.0</v>
      </c>
    </row>
    <row r="347" ht="56.25" customHeight="1">
      <c r="A347" s="28" t="s">
        <v>1055</v>
      </c>
      <c r="B347" s="29" t="str">
        <f>IMAGE("https://storage.googleapis.com/acdb/wall-mounted/FtrDoorOrnamentWreathIce.png")</f>
        <v/>
      </c>
      <c r="C347" s="28" t="s">
        <v>83</v>
      </c>
      <c r="D347" s="28" t="s">
        <v>83</v>
      </c>
      <c r="E347" s="28" t="s">
        <v>83</v>
      </c>
      <c r="F347" s="28" t="s">
        <v>83</v>
      </c>
      <c r="G347" s="28" t="s">
        <v>53</v>
      </c>
      <c r="H347" s="28" t="s">
        <v>40</v>
      </c>
      <c r="I347" s="28" t="s">
        <v>83</v>
      </c>
      <c r="J347" s="28" t="s">
        <v>51</v>
      </c>
      <c r="K347" s="28">
        <v>1600.0</v>
      </c>
      <c r="L347" s="28" t="s">
        <v>123</v>
      </c>
      <c r="M347" s="28" t="s">
        <v>55</v>
      </c>
      <c r="N347" s="28" t="s">
        <v>1057</v>
      </c>
      <c r="O347" s="31" t="s">
        <v>89</v>
      </c>
      <c r="P347" s="28" t="s">
        <v>745</v>
      </c>
      <c r="Q347" s="28" t="s">
        <v>36</v>
      </c>
      <c r="R347" s="28"/>
      <c r="S347" s="28"/>
      <c r="T347" s="28" t="s">
        <v>40</v>
      </c>
      <c r="U347" s="28" t="s">
        <v>41</v>
      </c>
      <c r="V347" s="28" t="s">
        <v>54</v>
      </c>
      <c r="W347" s="28" t="s">
        <v>1058</v>
      </c>
      <c r="X347" s="28" t="s">
        <v>83</v>
      </c>
      <c r="Y347" s="28">
        <v>4375.0</v>
      </c>
    </row>
    <row r="348" ht="56.25" customHeight="1">
      <c r="A348" s="28" t="s">
        <v>1059</v>
      </c>
      <c r="B348" s="29" t="str">
        <f>IMAGE("https://storage.googleapis.com/acdb/wall-mounted/FtrDoorOrnamentPlateInsect_Remake_0_0.png")</f>
        <v/>
      </c>
      <c r="C348" s="28" t="s">
        <v>99</v>
      </c>
      <c r="D348" s="30" t="s">
        <v>199</v>
      </c>
      <c r="E348" s="28" t="s">
        <v>83</v>
      </c>
      <c r="F348" s="30" t="s">
        <v>83</v>
      </c>
      <c r="G348" s="28" t="s">
        <v>40</v>
      </c>
      <c r="H348" s="28" t="s">
        <v>40</v>
      </c>
      <c r="I348" s="28" t="s">
        <v>83</v>
      </c>
      <c r="J348" s="28">
        <v>360.0</v>
      </c>
      <c r="K348" s="28">
        <v>90.0</v>
      </c>
      <c r="L348" s="28" t="s">
        <v>123</v>
      </c>
      <c r="M348" s="28" t="s">
        <v>264</v>
      </c>
      <c r="N348" s="28"/>
      <c r="O348" s="31" t="s">
        <v>89</v>
      </c>
      <c r="P348" s="28" t="s">
        <v>113</v>
      </c>
      <c r="Q348" s="28" t="s">
        <v>346</v>
      </c>
      <c r="R348" s="28"/>
      <c r="S348" s="28"/>
      <c r="T348" s="28" t="s">
        <v>40</v>
      </c>
      <c r="U348" s="28" t="s">
        <v>41</v>
      </c>
      <c r="V348" s="28" t="s">
        <v>54</v>
      </c>
      <c r="W348" s="28" t="s">
        <v>1060</v>
      </c>
      <c r="X348" s="28" t="s">
        <v>92</v>
      </c>
      <c r="Y348" s="28">
        <v>5310.0</v>
      </c>
    </row>
    <row r="349" ht="56.25" customHeight="1">
      <c r="A349" s="28" t="s">
        <v>1059</v>
      </c>
      <c r="B349" s="29" t="str">
        <f>IMAGE("https://storage.googleapis.com/acdb/wall-mounted/FtrDoorOrnamentPlateInsect_Remake_1_0.png")</f>
        <v/>
      </c>
      <c r="C349" s="28" t="s">
        <v>211</v>
      </c>
      <c r="D349" s="30" t="s">
        <v>199</v>
      </c>
      <c r="E349" s="28" t="s">
        <v>83</v>
      </c>
      <c r="F349" s="30" t="s">
        <v>83</v>
      </c>
      <c r="G349" s="28" t="s">
        <v>40</v>
      </c>
      <c r="H349" s="28" t="s">
        <v>40</v>
      </c>
      <c r="I349" s="28" t="s">
        <v>83</v>
      </c>
      <c r="J349" s="28">
        <v>360.0</v>
      </c>
      <c r="K349" s="28">
        <v>90.0</v>
      </c>
      <c r="L349" s="28" t="s">
        <v>123</v>
      </c>
      <c r="M349" s="28" t="s">
        <v>264</v>
      </c>
      <c r="N349" s="28"/>
      <c r="O349" s="31" t="s">
        <v>89</v>
      </c>
      <c r="P349" s="28" t="s">
        <v>113</v>
      </c>
      <c r="Q349" s="28" t="s">
        <v>346</v>
      </c>
      <c r="R349" s="28"/>
      <c r="S349" s="28"/>
      <c r="T349" s="28" t="s">
        <v>40</v>
      </c>
      <c r="U349" s="28" t="s">
        <v>41</v>
      </c>
      <c r="V349" s="28" t="s">
        <v>54</v>
      </c>
      <c r="W349" s="28" t="s">
        <v>1062</v>
      </c>
      <c r="X349" s="28" t="s">
        <v>97</v>
      </c>
      <c r="Y349" s="28">
        <v>5310.0</v>
      </c>
    </row>
    <row r="350" ht="56.25" customHeight="1">
      <c r="A350" s="28" t="s">
        <v>1059</v>
      </c>
      <c r="B350" s="29" t="str">
        <f>IMAGE("https://storage.googleapis.com/acdb/wall-mounted/FtrDoorOrnamentPlateInsect_Remake_2_0.png")</f>
        <v/>
      </c>
      <c r="C350" s="28" t="s">
        <v>369</v>
      </c>
      <c r="D350" s="30" t="s">
        <v>199</v>
      </c>
      <c r="E350" s="28" t="s">
        <v>83</v>
      </c>
      <c r="F350" s="30" t="s">
        <v>83</v>
      </c>
      <c r="G350" s="28" t="s">
        <v>40</v>
      </c>
      <c r="H350" s="28" t="s">
        <v>40</v>
      </c>
      <c r="I350" s="28" t="s">
        <v>83</v>
      </c>
      <c r="J350" s="28">
        <v>360.0</v>
      </c>
      <c r="K350" s="28">
        <v>90.0</v>
      </c>
      <c r="L350" s="28" t="s">
        <v>123</v>
      </c>
      <c r="M350" s="28" t="s">
        <v>264</v>
      </c>
      <c r="N350" s="28"/>
      <c r="O350" s="31" t="s">
        <v>89</v>
      </c>
      <c r="P350" s="28" t="s">
        <v>113</v>
      </c>
      <c r="Q350" s="28" t="s">
        <v>346</v>
      </c>
      <c r="R350" s="28"/>
      <c r="S350" s="28"/>
      <c r="T350" s="28" t="s">
        <v>40</v>
      </c>
      <c r="U350" s="28" t="s">
        <v>41</v>
      </c>
      <c r="V350" s="28" t="s">
        <v>54</v>
      </c>
      <c r="W350" s="28" t="s">
        <v>1064</v>
      </c>
      <c r="X350" s="28" t="s">
        <v>103</v>
      </c>
      <c r="Y350" s="28">
        <v>5310.0</v>
      </c>
    </row>
    <row r="351" ht="56.25" customHeight="1">
      <c r="A351" s="28" t="s">
        <v>1059</v>
      </c>
      <c r="B351" s="29" t="str">
        <f>IMAGE("https://storage.googleapis.com/acdb/wall-mounted/FtrDoorOrnamentPlateInsect_Remake_3_0.png")</f>
        <v/>
      </c>
      <c r="C351" s="28" t="s">
        <v>107</v>
      </c>
      <c r="D351" s="30" t="s">
        <v>199</v>
      </c>
      <c r="E351" s="28" t="s">
        <v>83</v>
      </c>
      <c r="F351" s="30" t="s">
        <v>83</v>
      </c>
      <c r="G351" s="28" t="s">
        <v>40</v>
      </c>
      <c r="H351" s="28" t="s">
        <v>40</v>
      </c>
      <c r="I351" s="28" t="s">
        <v>83</v>
      </c>
      <c r="J351" s="28">
        <v>360.0</v>
      </c>
      <c r="K351" s="28">
        <v>90.0</v>
      </c>
      <c r="L351" s="28" t="s">
        <v>123</v>
      </c>
      <c r="M351" s="28" t="s">
        <v>264</v>
      </c>
      <c r="N351" s="28"/>
      <c r="O351" s="31" t="s">
        <v>89</v>
      </c>
      <c r="P351" s="28" t="s">
        <v>113</v>
      </c>
      <c r="Q351" s="28" t="s">
        <v>346</v>
      </c>
      <c r="R351" s="28"/>
      <c r="S351" s="28"/>
      <c r="T351" s="28" t="s">
        <v>40</v>
      </c>
      <c r="U351" s="28" t="s">
        <v>41</v>
      </c>
      <c r="V351" s="28" t="s">
        <v>54</v>
      </c>
      <c r="W351" s="28" t="s">
        <v>1065</v>
      </c>
      <c r="X351" s="28" t="s">
        <v>110</v>
      </c>
      <c r="Y351" s="28">
        <v>5310.0</v>
      </c>
    </row>
    <row r="352" ht="56.25" customHeight="1">
      <c r="A352" s="28" t="s">
        <v>1059</v>
      </c>
      <c r="B352" s="29" t="str">
        <f>IMAGE("https://storage.googleapis.com/acdb/wall-mounted/FtrDoorOrnamentPlateInsect_Remake_4_0.png")</f>
        <v/>
      </c>
      <c r="C352" s="28" t="s">
        <v>464</v>
      </c>
      <c r="D352" s="30" t="s">
        <v>199</v>
      </c>
      <c r="E352" s="28" t="s">
        <v>83</v>
      </c>
      <c r="F352" s="30" t="s">
        <v>83</v>
      </c>
      <c r="G352" s="28" t="s">
        <v>40</v>
      </c>
      <c r="H352" s="28" t="s">
        <v>40</v>
      </c>
      <c r="I352" s="28" t="s">
        <v>83</v>
      </c>
      <c r="J352" s="28">
        <v>360.0</v>
      </c>
      <c r="K352" s="28">
        <v>90.0</v>
      </c>
      <c r="L352" s="28" t="s">
        <v>123</v>
      </c>
      <c r="M352" s="28" t="s">
        <v>264</v>
      </c>
      <c r="N352" s="28"/>
      <c r="O352" s="31" t="s">
        <v>89</v>
      </c>
      <c r="P352" s="28" t="s">
        <v>113</v>
      </c>
      <c r="Q352" s="28" t="s">
        <v>346</v>
      </c>
      <c r="R352" s="28"/>
      <c r="S352" s="28"/>
      <c r="T352" s="28" t="s">
        <v>40</v>
      </c>
      <c r="U352" s="28" t="s">
        <v>41</v>
      </c>
      <c r="V352" s="28" t="s">
        <v>54</v>
      </c>
      <c r="W352" s="28" t="s">
        <v>1066</v>
      </c>
      <c r="X352" s="28" t="s">
        <v>115</v>
      </c>
      <c r="Y352" s="28">
        <v>5310.0</v>
      </c>
    </row>
    <row r="353" ht="56.25" customHeight="1">
      <c r="A353" s="28" t="s">
        <v>1059</v>
      </c>
      <c r="B353" s="29" t="str">
        <f>IMAGE("https://storage.googleapis.com/acdb/wall-mounted/FtrDoorOrnamentPlateInsect_Remake_5_0.png")</f>
        <v/>
      </c>
      <c r="C353" s="28" t="s">
        <v>208</v>
      </c>
      <c r="D353" s="30" t="s">
        <v>199</v>
      </c>
      <c r="E353" s="28" t="s">
        <v>83</v>
      </c>
      <c r="F353" s="30" t="s">
        <v>83</v>
      </c>
      <c r="G353" s="28" t="s">
        <v>40</v>
      </c>
      <c r="H353" s="28" t="s">
        <v>40</v>
      </c>
      <c r="I353" s="28" t="s">
        <v>83</v>
      </c>
      <c r="J353" s="28">
        <v>360.0</v>
      </c>
      <c r="K353" s="28">
        <v>90.0</v>
      </c>
      <c r="L353" s="28" t="s">
        <v>123</v>
      </c>
      <c r="M353" s="28" t="s">
        <v>264</v>
      </c>
      <c r="N353" s="28"/>
      <c r="O353" s="31" t="s">
        <v>89</v>
      </c>
      <c r="P353" s="28" t="s">
        <v>113</v>
      </c>
      <c r="Q353" s="28" t="s">
        <v>346</v>
      </c>
      <c r="R353" s="28"/>
      <c r="S353" s="28"/>
      <c r="T353" s="28" t="s">
        <v>40</v>
      </c>
      <c r="U353" s="28" t="s">
        <v>41</v>
      </c>
      <c r="V353" s="28" t="s">
        <v>54</v>
      </c>
      <c r="W353" s="28" t="s">
        <v>1069</v>
      </c>
      <c r="X353" s="28" t="s">
        <v>120</v>
      </c>
      <c r="Y353" s="28">
        <v>5310.0</v>
      </c>
    </row>
    <row r="354" ht="56.25" customHeight="1">
      <c r="A354" s="28" t="s">
        <v>1059</v>
      </c>
      <c r="B354" s="29" t="str">
        <f>IMAGE("https://storage.googleapis.com/acdb/wall-mounted/FtrDoorOrnamentPlateInsect_Remake_6_0.png")</f>
        <v/>
      </c>
      <c r="C354" s="28" t="s">
        <v>94</v>
      </c>
      <c r="D354" s="30" t="s">
        <v>199</v>
      </c>
      <c r="E354" s="28" t="s">
        <v>83</v>
      </c>
      <c r="F354" s="30" t="s">
        <v>83</v>
      </c>
      <c r="G354" s="28" t="s">
        <v>40</v>
      </c>
      <c r="H354" s="28" t="s">
        <v>40</v>
      </c>
      <c r="I354" s="28" t="s">
        <v>83</v>
      </c>
      <c r="J354" s="28">
        <v>360.0</v>
      </c>
      <c r="K354" s="28">
        <v>90.0</v>
      </c>
      <c r="L354" s="28" t="s">
        <v>123</v>
      </c>
      <c r="M354" s="28" t="s">
        <v>264</v>
      </c>
      <c r="N354" s="28"/>
      <c r="O354" s="31" t="s">
        <v>89</v>
      </c>
      <c r="P354" s="28" t="s">
        <v>113</v>
      </c>
      <c r="Q354" s="28" t="s">
        <v>346</v>
      </c>
      <c r="R354" s="28"/>
      <c r="S354" s="28"/>
      <c r="T354" s="28" t="s">
        <v>40</v>
      </c>
      <c r="U354" s="28" t="s">
        <v>41</v>
      </c>
      <c r="V354" s="28" t="s">
        <v>54</v>
      </c>
      <c r="W354" s="28" t="s">
        <v>1070</v>
      </c>
      <c r="X354" s="28" t="s">
        <v>218</v>
      </c>
      <c r="Y354" s="28">
        <v>5310.0</v>
      </c>
    </row>
    <row r="355" ht="56.25" customHeight="1">
      <c r="A355" s="28" t="s">
        <v>1059</v>
      </c>
      <c r="B355" s="29" t="str">
        <f>IMAGE("https://storage.googleapis.com/acdb/wall-mounted/FtrDoorOrnamentPlateInsect_Remake_7_0.png")</f>
        <v/>
      </c>
      <c r="C355" s="28" t="s">
        <v>112</v>
      </c>
      <c r="D355" s="30" t="s">
        <v>199</v>
      </c>
      <c r="E355" s="28" t="s">
        <v>83</v>
      </c>
      <c r="F355" s="30" t="s">
        <v>83</v>
      </c>
      <c r="G355" s="28" t="s">
        <v>40</v>
      </c>
      <c r="H355" s="28" t="s">
        <v>40</v>
      </c>
      <c r="I355" s="28" t="s">
        <v>83</v>
      </c>
      <c r="J355" s="28">
        <v>360.0</v>
      </c>
      <c r="K355" s="28">
        <v>90.0</v>
      </c>
      <c r="L355" s="28" t="s">
        <v>123</v>
      </c>
      <c r="M355" s="28" t="s">
        <v>264</v>
      </c>
      <c r="N355" s="28"/>
      <c r="O355" s="31" t="s">
        <v>89</v>
      </c>
      <c r="P355" s="28" t="s">
        <v>113</v>
      </c>
      <c r="Q355" s="28" t="s">
        <v>346</v>
      </c>
      <c r="R355" s="28"/>
      <c r="S355" s="28"/>
      <c r="T355" s="28" t="s">
        <v>40</v>
      </c>
      <c r="U355" s="28" t="s">
        <v>41</v>
      </c>
      <c r="V355" s="28" t="s">
        <v>54</v>
      </c>
      <c r="W355" s="28" t="s">
        <v>1072</v>
      </c>
      <c r="X355" s="28" t="s">
        <v>223</v>
      </c>
      <c r="Y355" s="28">
        <v>5310.0</v>
      </c>
    </row>
    <row r="356" ht="56.25" customHeight="1">
      <c r="A356" s="28" t="s">
        <v>1074</v>
      </c>
      <c r="B356" s="29" t="str">
        <f>IMAGE("https://storage.googleapis.com/acdb/wall-mounted/FtrSpiderweb.png")</f>
        <v/>
      </c>
      <c r="C356" s="28" t="s">
        <v>83</v>
      </c>
      <c r="D356" s="28" t="s">
        <v>83</v>
      </c>
      <c r="E356" s="28" t="s">
        <v>83</v>
      </c>
      <c r="F356" s="28" t="s">
        <v>83</v>
      </c>
      <c r="G356" s="34" t="s">
        <v>40</v>
      </c>
      <c r="H356" s="28" t="s">
        <v>40</v>
      </c>
      <c r="I356" s="28" t="s">
        <v>83</v>
      </c>
      <c r="J356" s="28" t="s">
        <v>51</v>
      </c>
      <c r="K356" s="28">
        <v>25.0</v>
      </c>
      <c r="L356" s="28" t="s">
        <v>88</v>
      </c>
      <c r="M356" s="28" t="s">
        <v>264</v>
      </c>
      <c r="N356" s="28"/>
      <c r="O356" s="31" t="s">
        <v>89</v>
      </c>
      <c r="P356" s="28" t="s">
        <v>90</v>
      </c>
      <c r="Q356" s="28" t="s">
        <v>346</v>
      </c>
      <c r="R356" s="28"/>
      <c r="S356" s="28"/>
      <c r="T356" s="28" t="s">
        <v>40</v>
      </c>
      <c r="U356" s="28" t="s">
        <v>41</v>
      </c>
      <c r="V356" s="28" t="s">
        <v>54</v>
      </c>
      <c r="W356" s="28" t="s">
        <v>1075</v>
      </c>
      <c r="X356" s="28" t="s">
        <v>83</v>
      </c>
      <c r="Y356" s="28">
        <v>3817.0</v>
      </c>
    </row>
    <row r="357" ht="56.25" customHeight="1">
      <c r="A357" s="28" t="s">
        <v>1076</v>
      </c>
      <c r="B357" s="29" t="str">
        <f>IMAGE("https://storage.googleapis.com/acdb/wall-mounted/FtrStarDecorationWall_Remake_0_0.png")</f>
        <v/>
      </c>
      <c r="C357" s="28" t="s">
        <v>211</v>
      </c>
      <c r="D357" s="30" t="s">
        <v>199</v>
      </c>
      <c r="E357" s="28" t="s">
        <v>83</v>
      </c>
      <c r="F357" s="30" t="s">
        <v>83</v>
      </c>
      <c r="G357" s="28" t="s">
        <v>53</v>
      </c>
      <c r="H357" s="28" t="s">
        <v>53</v>
      </c>
      <c r="I357" s="28">
        <v>7.0</v>
      </c>
      <c r="J357" s="28" t="s">
        <v>51</v>
      </c>
      <c r="K357" s="28">
        <v>5000.0</v>
      </c>
      <c r="L357" s="28" t="s">
        <v>88</v>
      </c>
      <c r="M357" s="28" t="s">
        <v>55</v>
      </c>
      <c r="N357" s="28"/>
      <c r="O357" s="31" t="s">
        <v>89</v>
      </c>
      <c r="P357" s="28" t="s">
        <v>269</v>
      </c>
      <c r="Q357" s="28" t="s">
        <v>36</v>
      </c>
      <c r="R357" s="28"/>
      <c r="S357" s="28"/>
      <c r="T357" s="28" t="s">
        <v>53</v>
      </c>
      <c r="U357" s="28" t="s">
        <v>365</v>
      </c>
      <c r="V357" s="28" t="s">
        <v>54</v>
      </c>
      <c r="W357" s="28" t="s">
        <v>1079</v>
      </c>
      <c r="X357" s="28" t="s">
        <v>92</v>
      </c>
      <c r="Y357" s="28">
        <v>6827.0</v>
      </c>
    </row>
    <row r="358" ht="56.25" customHeight="1">
      <c r="A358" s="28" t="s">
        <v>1076</v>
      </c>
      <c r="B358" s="29" t="str">
        <f>IMAGE("https://storage.googleapis.com/acdb/wall-mounted/FtrStarDecorationWall_Remake_1_0.png")</f>
        <v/>
      </c>
      <c r="C358" s="28" t="s">
        <v>369</v>
      </c>
      <c r="D358" s="30" t="s">
        <v>199</v>
      </c>
      <c r="E358" s="28" t="s">
        <v>83</v>
      </c>
      <c r="F358" s="30" t="s">
        <v>83</v>
      </c>
      <c r="G358" s="28" t="s">
        <v>53</v>
      </c>
      <c r="H358" s="28" t="s">
        <v>53</v>
      </c>
      <c r="I358" s="28">
        <v>7.0</v>
      </c>
      <c r="J358" s="28" t="s">
        <v>51</v>
      </c>
      <c r="K358" s="28">
        <v>5000.0</v>
      </c>
      <c r="L358" s="28" t="s">
        <v>88</v>
      </c>
      <c r="M358" s="28" t="s">
        <v>55</v>
      </c>
      <c r="N358" s="28"/>
      <c r="O358" s="31" t="s">
        <v>89</v>
      </c>
      <c r="P358" s="28" t="s">
        <v>269</v>
      </c>
      <c r="Q358" s="28" t="s">
        <v>36</v>
      </c>
      <c r="R358" s="28"/>
      <c r="S358" s="28"/>
      <c r="T358" s="28" t="s">
        <v>53</v>
      </c>
      <c r="U358" s="28" t="s">
        <v>365</v>
      </c>
      <c r="V358" s="28" t="s">
        <v>54</v>
      </c>
      <c r="W358" s="28" t="s">
        <v>1080</v>
      </c>
      <c r="X358" s="28" t="s">
        <v>97</v>
      </c>
      <c r="Y358" s="28">
        <v>6827.0</v>
      </c>
    </row>
    <row r="359" ht="56.25" customHeight="1">
      <c r="A359" s="28" t="s">
        <v>1076</v>
      </c>
      <c r="B359" s="29" t="str">
        <f>IMAGE("https://storage.googleapis.com/acdb/wall-mounted/FtrStarDecorationWall_Remake_2_0.png")</f>
        <v/>
      </c>
      <c r="C359" s="28" t="s">
        <v>112</v>
      </c>
      <c r="D359" s="30" t="s">
        <v>199</v>
      </c>
      <c r="E359" s="28" t="s">
        <v>83</v>
      </c>
      <c r="F359" s="30" t="s">
        <v>83</v>
      </c>
      <c r="G359" s="28" t="s">
        <v>53</v>
      </c>
      <c r="H359" s="28" t="s">
        <v>53</v>
      </c>
      <c r="I359" s="28">
        <v>7.0</v>
      </c>
      <c r="J359" s="28" t="s">
        <v>51</v>
      </c>
      <c r="K359" s="28">
        <v>5000.0</v>
      </c>
      <c r="L359" s="28" t="s">
        <v>88</v>
      </c>
      <c r="M359" s="28" t="s">
        <v>55</v>
      </c>
      <c r="N359" s="28"/>
      <c r="O359" s="31" t="s">
        <v>89</v>
      </c>
      <c r="P359" s="28" t="s">
        <v>269</v>
      </c>
      <c r="Q359" s="28" t="s">
        <v>36</v>
      </c>
      <c r="R359" s="28"/>
      <c r="S359" s="28"/>
      <c r="T359" s="28" t="s">
        <v>53</v>
      </c>
      <c r="U359" s="28" t="s">
        <v>365</v>
      </c>
      <c r="V359" s="28" t="s">
        <v>54</v>
      </c>
      <c r="W359" s="28" t="s">
        <v>1083</v>
      </c>
      <c r="X359" s="28" t="s">
        <v>103</v>
      </c>
      <c r="Y359" s="28">
        <v>6827.0</v>
      </c>
    </row>
    <row r="360" ht="56.25" customHeight="1">
      <c r="A360" s="28" t="s">
        <v>1076</v>
      </c>
      <c r="B360" s="29" t="str">
        <f>IMAGE("https://storage.googleapis.com/acdb/wall-mounted/FtrStarDecorationWall_Remake_3_0.png")</f>
        <v/>
      </c>
      <c r="C360" s="28" t="s">
        <v>464</v>
      </c>
      <c r="D360" s="30" t="s">
        <v>199</v>
      </c>
      <c r="E360" s="28" t="s">
        <v>83</v>
      </c>
      <c r="F360" s="30" t="s">
        <v>83</v>
      </c>
      <c r="G360" s="28" t="s">
        <v>53</v>
      </c>
      <c r="H360" s="28" t="s">
        <v>53</v>
      </c>
      <c r="I360" s="28">
        <v>7.0</v>
      </c>
      <c r="J360" s="28" t="s">
        <v>51</v>
      </c>
      <c r="K360" s="28">
        <v>5000.0</v>
      </c>
      <c r="L360" s="28" t="s">
        <v>88</v>
      </c>
      <c r="M360" s="28" t="s">
        <v>55</v>
      </c>
      <c r="N360" s="28"/>
      <c r="O360" s="31" t="s">
        <v>89</v>
      </c>
      <c r="P360" s="28" t="s">
        <v>269</v>
      </c>
      <c r="Q360" s="28" t="s">
        <v>36</v>
      </c>
      <c r="R360" s="28"/>
      <c r="S360" s="28"/>
      <c r="T360" s="28" t="s">
        <v>53</v>
      </c>
      <c r="U360" s="28" t="s">
        <v>365</v>
      </c>
      <c r="V360" s="28" t="s">
        <v>54</v>
      </c>
      <c r="W360" s="28" t="s">
        <v>1084</v>
      </c>
      <c r="X360" s="28" t="s">
        <v>110</v>
      </c>
      <c r="Y360" s="28">
        <v>6827.0</v>
      </c>
    </row>
    <row r="361" ht="56.25" customHeight="1">
      <c r="A361" s="28" t="s">
        <v>1076</v>
      </c>
      <c r="B361" s="29" t="str">
        <f>IMAGE("https://storage.googleapis.com/acdb/wall-mounted/FtrStarDecorationWall_Remake_4_0.png")</f>
        <v/>
      </c>
      <c r="C361" s="28" t="s">
        <v>107</v>
      </c>
      <c r="D361" s="30" t="s">
        <v>199</v>
      </c>
      <c r="E361" s="28" t="s">
        <v>83</v>
      </c>
      <c r="F361" s="30" t="s">
        <v>83</v>
      </c>
      <c r="G361" s="28" t="s">
        <v>53</v>
      </c>
      <c r="H361" s="28" t="s">
        <v>53</v>
      </c>
      <c r="I361" s="28">
        <v>7.0</v>
      </c>
      <c r="J361" s="28" t="s">
        <v>51</v>
      </c>
      <c r="K361" s="28">
        <v>5000.0</v>
      </c>
      <c r="L361" s="28" t="s">
        <v>88</v>
      </c>
      <c r="M361" s="28" t="s">
        <v>55</v>
      </c>
      <c r="N361" s="28"/>
      <c r="O361" s="31" t="s">
        <v>89</v>
      </c>
      <c r="P361" s="28" t="s">
        <v>269</v>
      </c>
      <c r="Q361" s="28" t="s">
        <v>36</v>
      </c>
      <c r="R361" s="28"/>
      <c r="S361" s="28"/>
      <c r="T361" s="28" t="s">
        <v>53</v>
      </c>
      <c r="U361" s="28" t="s">
        <v>365</v>
      </c>
      <c r="V361" s="28" t="s">
        <v>54</v>
      </c>
      <c r="W361" s="28" t="s">
        <v>1087</v>
      </c>
      <c r="X361" s="28" t="s">
        <v>115</v>
      </c>
      <c r="Y361" s="28">
        <v>6827.0</v>
      </c>
    </row>
    <row r="362" ht="56.25" customHeight="1">
      <c r="A362" s="28" t="s">
        <v>1076</v>
      </c>
      <c r="B362" s="29" t="str">
        <f>IMAGE("https://storage.googleapis.com/acdb/wall-mounted/FtrStarDecorationWall_Remake_5_0.png")</f>
        <v/>
      </c>
      <c r="C362" s="28" t="s">
        <v>521</v>
      </c>
      <c r="D362" s="30" t="s">
        <v>199</v>
      </c>
      <c r="E362" s="28" t="s">
        <v>83</v>
      </c>
      <c r="F362" s="30" t="s">
        <v>83</v>
      </c>
      <c r="G362" s="28" t="s">
        <v>53</v>
      </c>
      <c r="H362" s="28" t="s">
        <v>53</v>
      </c>
      <c r="I362" s="28">
        <v>7.0</v>
      </c>
      <c r="J362" s="28" t="s">
        <v>51</v>
      </c>
      <c r="K362" s="28">
        <v>5000.0</v>
      </c>
      <c r="L362" s="28" t="s">
        <v>88</v>
      </c>
      <c r="M362" s="28" t="s">
        <v>55</v>
      </c>
      <c r="N362" s="28"/>
      <c r="O362" s="31" t="s">
        <v>89</v>
      </c>
      <c r="P362" s="28" t="s">
        <v>269</v>
      </c>
      <c r="Q362" s="28" t="s">
        <v>36</v>
      </c>
      <c r="R362" s="28"/>
      <c r="S362" s="28"/>
      <c r="T362" s="28" t="s">
        <v>53</v>
      </c>
      <c r="U362" s="28" t="s">
        <v>365</v>
      </c>
      <c r="V362" s="28" t="s">
        <v>54</v>
      </c>
      <c r="W362" s="28" t="s">
        <v>1088</v>
      </c>
      <c r="X362" s="28" t="s">
        <v>120</v>
      </c>
      <c r="Y362" s="28">
        <v>6827.0</v>
      </c>
    </row>
    <row r="363" ht="56.25" customHeight="1">
      <c r="A363" s="28" t="s">
        <v>1076</v>
      </c>
      <c r="B363" s="29" t="str">
        <f>IMAGE("https://storage.googleapis.com/acdb/wall-mounted/FtrStarDecorationWall_Remake_6_0.png")</f>
        <v/>
      </c>
      <c r="C363" s="28" t="s">
        <v>82</v>
      </c>
      <c r="D363" s="30" t="s">
        <v>199</v>
      </c>
      <c r="E363" s="28" t="s">
        <v>83</v>
      </c>
      <c r="F363" s="30" t="s">
        <v>83</v>
      </c>
      <c r="G363" s="28" t="s">
        <v>53</v>
      </c>
      <c r="H363" s="28" t="s">
        <v>53</v>
      </c>
      <c r="I363" s="28">
        <v>7.0</v>
      </c>
      <c r="J363" s="28" t="s">
        <v>51</v>
      </c>
      <c r="K363" s="28">
        <v>5000.0</v>
      </c>
      <c r="L363" s="28" t="s">
        <v>88</v>
      </c>
      <c r="M363" s="28" t="s">
        <v>55</v>
      </c>
      <c r="N363" s="28"/>
      <c r="O363" s="31" t="s">
        <v>89</v>
      </c>
      <c r="P363" s="28" t="s">
        <v>269</v>
      </c>
      <c r="Q363" s="28" t="s">
        <v>36</v>
      </c>
      <c r="R363" s="28"/>
      <c r="S363" s="28"/>
      <c r="T363" s="28" t="s">
        <v>53</v>
      </c>
      <c r="U363" s="28" t="s">
        <v>365</v>
      </c>
      <c r="V363" s="28" t="s">
        <v>54</v>
      </c>
      <c r="W363" s="28" t="s">
        <v>1090</v>
      </c>
      <c r="X363" s="28" t="s">
        <v>218</v>
      </c>
      <c r="Y363" s="28">
        <v>6827.0</v>
      </c>
    </row>
    <row r="364" ht="56.25" customHeight="1">
      <c r="A364" s="28" t="s">
        <v>1091</v>
      </c>
      <c r="B364" s="29" t="str">
        <f>IMAGE("https://storage.googleapis.com/acdb/wall-mounted/FtrLampSpotWall_Remake_0_0.png")</f>
        <v/>
      </c>
      <c r="C364" s="28" t="s">
        <v>82</v>
      </c>
      <c r="D364" s="30" t="s">
        <v>83</v>
      </c>
      <c r="E364" s="28" t="s">
        <v>83</v>
      </c>
      <c r="F364" s="30" t="s">
        <v>83</v>
      </c>
      <c r="G364" s="28" t="s">
        <v>40</v>
      </c>
      <c r="H364" s="28" t="s">
        <v>40</v>
      </c>
      <c r="I364" s="28" t="s">
        <v>83</v>
      </c>
      <c r="J364" s="28">
        <v>2300.0</v>
      </c>
      <c r="K364" s="28">
        <v>575.0</v>
      </c>
      <c r="L364" s="28" t="s">
        <v>123</v>
      </c>
      <c r="M364" s="28" t="s">
        <v>44</v>
      </c>
      <c r="N364" s="28" t="s">
        <v>68</v>
      </c>
      <c r="O364" s="31" t="s">
        <v>89</v>
      </c>
      <c r="P364" s="28" t="s">
        <v>90</v>
      </c>
      <c r="Q364" s="28" t="s">
        <v>67</v>
      </c>
      <c r="R364" s="28"/>
      <c r="S364" s="28"/>
      <c r="T364" s="28" t="s">
        <v>53</v>
      </c>
      <c r="U364" s="28" t="s">
        <v>689</v>
      </c>
      <c r="V364" s="28" t="s">
        <v>43</v>
      </c>
      <c r="W364" s="28" t="s">
        <v>1093</v>
      </c>
      <c r="X364" s="28" t="s">
        <v>92</v>
      </c>
      <c r="Y364" s="28">
        <v>7190.0</v>
      </c>
    </row>
    <row r="365" ht="56.25" customHeight="1">
      <c r="A365" s="28" t="s">
        <v>1091</v>
      </c>
      <c r="B365" s="29" t="str">
        <f>IMAGE("https://storage.googleapis.com/acdb/wall-mounted/FtrLampSpotWall_Remake_1_0.png")</f>
        <v/>
      </c>
      <c r="C365" s="28" t="s">
        <v>211</v>
      </c>
      <c r="D365" s="30" t="s">
        <v>83</v>
      </c>
      <c r="E365" s="28" t="s">
        <v>83</v>
      </c>
      <c r="F365" s="30" t="s">
        <v>83</v>
      </c>
      <c r="G365" s="28" t="s">
        <v>40</v>
      </c>
      <c r="H365" s="28" t="s">
        <v>40</v>
      </c>
      <c r="I365" s="28" t="s">
        <v>83</v>
      </c>
      <c r="J365" s="28">
        <v>2300.0</v>
      </c>
      <c r="K365" s="28">
        <v>575.0</v>
      </c>
      <c r="L365" s="28" t="s">
        <v>123</v>
      </c>
      <c r="M365" s="28" t="s">
        <v>44</v>
      </c>
      <c r="N365" s="28" t="s">
        <v>68</v>
      </c>
      <c r="O365" s="31" t="s">
        <v>89</v>
      </c>
      <c r="P365" s="28" t="s">
        <v>90</v>
      </c>
      <c r="Q365" s="28" t="s">
        <v>67</v>
      </c>
      <c r="R365" s="28"/>
      <c r="S365" s="28"/>
      <c r="T365" s="28" t="s">
        <v>53</v>
      </c>
      <c r="U365" s="28" t="s">
        <v>689</v>
      </c>
      <c r="V365" s="28" t="s">
        <v>43</v>
      </c>
      <c r="W365" s="28" t="s">
        <v>1094</v>
      </c>
      <c r="X365" s="28" t="s">
        <v>97</v>
      </c>
      <c r="Y365" s="28">
        <v>7190.0</v>
      </c>
    </row>
    <row r="366" ht="56.25" customHeight="1">
      <c r="A366" s="28" t="s">
        <v>1091</v>
      </c>
      <c r="B366" s="29" t="str">
        <f>IMAGE("https://storage.googleapis.com/acdb/wall-mounted/FtrLampSpotWall_Remake_2_0.png")</f>
        <v/>
      </c>
      <c r="C366" s="28" t="s">
        <v>521</v>
      </c>
      <c r="D366" s="30" t="s">
        <v>83</v>
      </c>
      <c r="E366" s="28" t="s">
        <v>83</v>
      </c>
      <c r="F366" s="30" t="s">
        <v>83</v>
      </c>
      <c r="G366" s="28" t="s">
        <v>40</v>
      </c>
      <c r="H366" s="28" t="s">
        <v>40</v>
      </c>
      <c r="I366" s="28" t="s">
        <v>83</v>
      </c>
      <c r="J366" s="28">
        <v>2300.0</v>
      </c>
      <c r="K366" s="28">
        <v>575.0</v>
      </c>
      <c r="L366" s="28" t="s">
        <v>123</v>
      </c>
      <c r="M366" s="28" t="s">
        <v>44</v>
      </c>
      <c r="N366" s="28" t="s">
        <v>68</v>
      </c>
      <c r="O366" s="31" t="s">
        <v>89</v>
      </c>
      <c r="P366" s="28" t="s">
        <v>90</v>
      </c>
      <c r="Q366" s="28" t="s">
        <v>67</v>
      </c>
      <c r="R366" s="28"/>
      <c r="S366" s="28"/>
      <c r="T366" s="28" t="s">
        <v>53</v>
      </c>
      <c r="U366" s="28" t="s">
        <v>689</v>
      </c>
      <c r="V366" s="28" t="s">
        <v>43</v>
      </c>
      <c r="W366" s="28" t="s">
        <v>1096</v>
      </c>
      <c r="X366" s="28" t="s">
        <v>103</v>
      </c>
      <c r="Y366" s="28">
        <v>7190.0</v>
      </c>
    </row>
    <row r="367" ht="56.25" customHeight="1">
      <c r="A367" s="28" t="s">
        <v>1091</v>
      </c>
      <c r="B367" s="29" t="str">
        <f>IMAGE("https://storage.googleapis.com/acdb/wall-mounted/FtrLampSpotWall_Remake_3_0.png")</f>
        <v/>
      </c>
      <c r="C367" s="28" t="s">
        <v>208</v>
      </c>
      <c r="D367" s="30" t="s">
        <v>83</v>
      </c>
      <c r="E367" s="28" t="s">
        <v>83</v>
      </c>
      <c r="F367" s="30" t="s">
        <v>83</v>
      </c>
      <c r="G367" s="28" t="s">
        <v>40</v>
      </c>
      <c r="H367" s="28" t="s">
        <v>40</v>
      </c>
      <c r="I367" s="28" t="s">
        <v>83</v>
      </c>
      <c r="J367" s="28">
        <v>2300.0</v>
      </c>
      <c r="K367" s="28">
        <v>575.0</v>
      </c>
      <c r="L367" s="28" t="s">
        <v>123</v>
      </c>
      <c r="M367" s="28" t="s">
        <v>44</v>
      </c>
      <c r="N367" s="28" t="s">
        <v>68</v>
      </c>
      <c r="O367" s="31" t="s">
        <v>89</v>
      </c>
      <c r="P367" s="28" t="s">
        <v>90</v>
      </c>
      <c r="Q367" s="28" t="s">
        <v>67</v>
      </c>
      <c r="R367" s="28"/>
      <c r="S367" s="28"/>
      <c r="T367" s="28" t="s">
        <v>53</v>
      </c>
      <c r="U367" s="28" t="s">
        <v>689</v>
      </c>
      <c r="V367" s="28" t="s">
        <v>43</v>
      </c>
      <c r="W367" s="28" t="s">
        <v>1097</v>
      </c>
      <c r="X367" s="28" t="s">
        <v>110</v>
      </c>
      <c r="Y367" s="28">
        <v>7190.0</v>
      </c>
    </row>
    <row r="368" ht="56.25" customHeight="1">
      <c r="A368" s="28" t="s">
        <v>1091</v>
      </c>
      <c r="B368" s="29" t="str">
        <f>IMAGE("https://storage.googleapis.com/acdb/wall-mounted/FtrLampSpotWall_Remake_4_0.png")</f>
        <v/>
      </c>
      <c r="C368" s="28" t="s">
        <v>107</v>
      </c>
      <c r="D368" s="30" t="s">
        <v>83</v>
      </c>
      <c r="E368" s="28" t="s">
        <v>83</v>
      </c>
      <c r="F368" s="30" t="s">
        <v>83</v>
      </c>
      <c r="G368" s="28" t="s">
        <v>40</v>
      </c>
      <c r="H368" s="28" t="s">
        <v>40</v>
      </c>
      <c r="I368" s="28" t="s">
        <v>83</v>
      </c>
      <c r="J368" s="28">
        <v>2300.0</v>
      </c>
      <c r="K368" s="28">
        <v>575.0</v>
      </c>
      <c r="L368" s="28" t="s">
        <v>123</v>
      </c>
      <c r="M368" s="28" t="s">
        <v>44</v>
      </c>
      <c r="N368" s="28" t="s">
        <v>68</v>
      </c>
      <c r="O368" s="31" t="s">
        <v>89</v>
      </c>
      <c r="P368" s="28" t="s">
        <v>90</v>
      </c>
      <c r="Q368" s="28" t="s">
        <v>67</v>
      </c>
      <c r="R368" s="28"/>
      <c r="S368" s="28"/>
      <c r="T368" s="28" t="s">
        <v>53</v>
      </c>
      <c r="U368" s="28" t="s">
        <v>689</v>
      </c>
      <c r="V368" s="28" t="s">
        <v>43</v>
      </c>
      <c r="W368" s="28" t="s">
        <v>1100</v>
      </c>
      <c r="X368" s="28" t="s">
        <v>115</v>
      </c>
      <c r="Y368" s="28">
        <v>7190.0</v>
      </c>
    </row>
    <row r="369" ht="56.25" customHeight="1">
      <c r="A369" s="28" t="s">
        <v>1091</v>
      </c>
      <c r="B369" s="29" t="str">
        <f>IMAGE("https://storage.googleapis.com/acdb/wall-mounted/FtrLampSpotWall_Remake_5_0.png")</f>
        <v/>
      </c>
      <c r="C369" s="28" t="s">
        <v>464</v>
      </c>
      <c r="D369" s="30" t="s">
        <v>83</v>
      </c>
      <c r="E369" s="28" t="s">
        <v>83</v>
      </c>
      <c r="F369" s="30" t="s">
        <v>83</v>
      </c>
      <c r="G369" s="28" t="s">
        <v>40</v>
      </c>
      <c r="H369" s="28" t="s">
        <v>40</v>
      </c>
      <c r="I369" s="28" t="s">
        <v>83</v>
      </c>
      <c r="J369" s="28">
        <v>2300.0</v>
      </c>
      <c r="K369" s="28">
        <v>575.0</v>
      </c>
      <c r="L369" s="28" t="s">
        <v>123</v>
      </c>
      <c r="M369" s="28" t="s">
        <v>44</v>
      </c>
      <c r="N369" s="28" t="s">
        <v>68</v>
      </c>
      <c r="O369" s="31" t="s">
        <v>89</v>
      </c>
      <c r="P369" s="28" t="s">
        <v>90</v>
      </c>
      <c r="Q369" s="28" t="s">
        <v>67</v>
      </c>
      <c r="R369" s="28"/>
      <c r="S369" s="28"/>
      <c r="T369" s="28" t="s">
        <v>53</v>
      </c>
      <c r="U369" s="28" t="s">
        <v>689</v>
      </c>
      <c r="V369" s="28" t="s">
        <v>43</v>
      </c>
      <c r="W369" s="28" t="s">
        <v>1101</v>
      </c>
      <c r="X369" s="28" t="s">
        <v>120</v>
      </c>
      <c r="Y369" s="28">
        <v>7190.0</v>
      </c>
    </row>
    <row r="370" ht="56.25" customHeight="1">
      <c r="A370" s="28" t="s">
        <v>1091</v>
      </c>
      <c r="B370" s="29" t="str">
        <f>IMAGE("https://storage.googleapis.com/acdb/wall-mounted/FtrLampSpotWall_Remake_6_0.png")</f>
        <v/>
      </c>
      <c r="C370" s="28" t="s">
        <v>112</v>
      </c>
      <c r="D370" s="30" t="s">
        <v>83</v>
      </c>
      <c r="E370" s="28" t="s">
        <v>83</v>
      </c>
      <c r="F370" s="30" t="s">
        <v>83</v>
      </c>
      <c r="G370" s="28" t="s">
        <v>40</v>
      </c>
      <c r="H370" s="28" t="s">
        <v>40</v>
      </c>
      <c r="I370" s="28" t="s">
        <v>83</v>
      </c>
      <c r="J370" s="28">
        <v>2300.0</v>
      </c>
      <c r="K370" s="28">
        <v>575.0</v>
      </c>
      <c r="L370" s="28" t="s">
        <v>123</v>
      </c>
      <c r="M370" s="28" t="s">
        <v>44</v>
      </c>
      <c r="N370" s="28" t="s">
        <v>68</v>
      </c>
      <c r="O370" s="31" t="s">
        <v>89</v>
      </c>
      <c r="P370" s="28" t="s">
        <v>90</v>
      </c>
      <c r="Q370" s="28" t="s">
        <v>67</v>
      </c>
      <c r="R370" s="28"/>
      <c r="S370" s="28"/>
      <c r="T370" s="28" t="s">
        <v>53</v>
      </c>
      <c r="U370" s="28" t="s">
        <v>689</v>
      </c>
      <c r="V370" s="28" t="s">
        <v>43</v>
      </c>
      <c r="W370" s="28" t="s">
        <v>1103</v>
      </c>
      <c r="X370" s="28" t="s">
        <v>218</v>
      </c>
      <c r="Y370" s="28">
        <v>7190.0</v>
      </c>
    </row>
    <row r="371" ht="56.25" customHeight="1">
      <c r="A371" s="28" t="s">
        <v>1091</v>
      </c>
      <c r="B371" s="29" t="str">
        <f>IMAGE("https://storage.googleapis.com/acdb/wall-mounted/FtrLampSpotWall_Remake_7_0.png")</f>
        <v/>
      </c>
      <c r="C371" s="28" t="s">
        <v>369</v>
      </c>
      <c r="D371" s="30" t="s">
        <v>83</v>
      </c>
      <c r="E371" s="28" t="s">
        <v>83</v>
      </c>
      <c r="F371" s="30" t="s">
        <v>83</v>
      </c>
      <c r="G371" s="28" t="s">
        <v>40</v>
      </c>
      <c r="H371" s="28" t="s">
        <v>40</v>
      </c>
      <c r="I371" s="28" t="s">
        <v>83</v>
      </c>
      <c r="J371" s="28">
        <v>2300.0</v>
      </c>
      <c r="K371" s="28">
        <v>575.0</v>
      </c>
      <c r="L371" s="28" t="s">
        <v>123</v>
      </c>
      <c r="M371" s="28" t="s">
        <v>44</v>
      </c>
      <c r="N371" s="28" t="s">
        <v>68</v>
      </c>
      <c r="O371" s="31" t="s">
        <v>89</v>
      </c>
      <c r="P371" s="28" t="s">
        <v>90</v>
      </c>
      <c r="Q371" s="28" t="s">
        <v>67</v>
      </c>
      <c r="R371" s="28"/>
      <c r="S371" s="28"/>
      <c r="T371" s="28" t="s">
        <v>53</v>
      </c>
      <c r="U371" s="28" t="s">
        <v>689</v>
      </c>
      <c r="V371" s="28" t="s">
        <v>43</v>
      </c>
      <c r="W371" s="28" t="s">
        <v>1104</v>
      </c>
      <c r="X371" s="28" t="s">
        <v>223</v>
      </c>
      <c r="Y371" s="28">
        <v>7190.0</v>
      </c>
    </row>
    <row r="372" ht="56.25" customHeight="1">
      <c r="A372" s="28" t="s">
        <v>1106</v>
      </c>
      <c r="B372" s="29" t="str">
        <f>IMAGE("https://storage.googleapis.com/acdb/wall-mounted/FtrSurveillance.png")</f>
        <v/>
      </c>
      <c r="C372" s="28" t="s">
        <v>83</v>
      </c>
      <c r="D372" s="28" t="s">
        <v>83</v>
      </c>
      <c r="E372" s="28" t="s">
        <v>83</v>
      </c>
      <c r="F372" s="28" t="s">
        <v>83</v>
      </c>
      <c r="G372" s="28" t="s">
        <v>40</v>
      </c>
      <c r="H372" s="28" t="s">
        <v>40</v>
      </c>
      <c r="I372" s="28" t="s">
        <v>83</v>
      </c>
      <c r="J372" s="28">
        <v>1000.0</v>
      </c>
      <c r="K372" s="28">
        <v>250.0</v>
      </c>
      <c r="L372" s="28" t="s">
        <v>123</v>
      </c>
      <c r="M372" s="28" t="s">
        <v>44</v>
      </c>
      <c r="N372" s="28" t="s">
        <v>68</v>
      </c>
      <c r="O372" s="31" t="s">
        <v>89</v>
      </c>
      <c r="P372" s="28" t="s">
        <v>90</v>
      </c>
      <c r="Q372" s="28"/>
      <c r="R372" s="28"/>
      <c r="S372" s="28"/>
      <c r="T372" s="28" t="s">
        <v>53</v>
      </c>
      <c r="U372" s="28" t="s">
        <v>41</v>
      </c>
      <c r="V372" s="28" t="s">
        <v>43</v>
      </c>
      <c r="W372" s="28" t="s">
        <v>1108</v>
      </c>
      <c r="X372" s="28" t="s">
        <v>83</v>
      </c>
      <c r="Y372" s="28">
        <v>1165.0</v>
      </c>
    </row>
    <row r="373" ht="56.25" customHeight="1">
      <c r="A373" s="28" t="s">
        <v>1109</v>
      </c>
      <c r="B373" s="29" t="str">
        <f>IMAGE("https://storage.googleapis.com/acdb/wall-mounted/FtrSwitchWall_Remake_0_0.png")</f>
        <v/>
      </c>
      <c r="C373" s="28" t="s">
        <v>94</v>
      </c>
      <c r="D373" s="30" t="s">
        <v>83</v>
      </c>
      <c r="E373" s="28" t="s">
        <v>83</v>
      </c>
      <c r="F373" s="30" t="s">
        <v>83</v>
      </c>
      <c r="G373" s="28" t="s">
        <v>40</v>
      </c>
      <c r="H373" s="28" t="s">
        <v>40</v>
      </c>
      <c r="I373" s="28" t="s">
        <v>83</v>
      </c>
      <c r="J373" s="28">
        <v>340.0</v>
      </c>
      <c r="K373" s="28">
        <v>85.0</v>
      </c>
      <c r="L373" s="28" t="s">
        <v>123</v>
      </c>
      <c r="M373" s="28" t="s">
        <v>44</v>
      </c>
      <c r="N373" s="28" t="s">
        <v>68</v>
      </c>
      <c r="O373" s="31" t="s">
        <v>89</v>
      </c>
      <c r="P373" s="28" t="s">
        <v>60</v>
      </c>
      <c r="Q373" s="28" t="s">
        <v>90</v>
      </c>
      <c r="R373" s="28"/>
      <c r="S373" s="28"/>
      <c r="T373" s="28" t="s">
        <v>53</v>
      </c>
      <c r="U373" s="28" t="s">
        <v>41</v>
      </c>
      <c r="V373" s="28" t="s">
        <v>43</v>
      </c>
      <c r="W373" s="28" t="s">
        <v>1110</v>
      </c>
      <c r="X373" s="28" t="s">
        <v>92</v>
      </c>
      <c r="Y373" s="28">
        <v>3471.0</v>
      </c>
    </row>
    <row r="374" ht="56.25" customHeight="1">
      <c r="A374" s="28" t="s">
        <v>1109</v>
      </c>
      <c r="B374" s="29" t="str">
        <f>IMAGE("https://storage.googleapis.com/acdb/wall-mounted/FtrSwitchWall_Remake_1_0.png")</f>
        <v/>
      </c>
      <c r="C374" s="28" t="s">
        <v>118</v>
      </c>
      <c r="D374" s="30" t="s">
        <v>83</v>
      </c>
      <c r="E374" s="28" t="s">
        <v>83</v>
      </c>
      <c r="F374" s="30" t="s">
        <v>83</v>
      </c>
      <c r="G374" s="28" t="s">
        <v>40</v>
      </c>
      <c r="H374" s="28" t="s">
        <v>40</v>
      </c>
      <c r="I374" s="28" t="s">
        <v>83</v>
      </c>
      <c r="J374" s="28">
        <v>340.0</v>
      </c>
      <c r="K374" s="28">
        <v>85.0</v>
      </c>
      <c r="L374" s="28" t="s">
        <v>123</v>
      </c>
      <c r="M374" s="28" t="s">
        <v>44</v>
      </c>
      <c r="N374" s="28" t="s">
        <v>68</v>
      </c>
      <c r="O374" s="31" t="s">
        <v>89</v>
      </c>
      <c r="P374" s="28" t="s">
        <v>60</v>
      </c>
      <c r="Q374" s="28" t="s">
        <v>90</v>
      </c>
      <c r="R374" s="28"/>
      <c r="S374" s="28"/>
      <c r="T374" s="28" t="s">
        <v>53</v>
      </c>
      <c r="U374" s="28" t="s">
        <v>41</v>
      </c>
      <c r="V374" s="28" t="s">
        <v>43</v>
      </c>
      <c r="W374" s="28" t="s">
        <v>1113</v>
      </c>
      <c r="X374" s="28" t="s">
        <v>97</v>
      </c>
      <c r="Y374" s="28">
        <v>3471.0</v>
      </c>
    </row>
    <row r="375" ht="56.25" customHeight="1">
      <c r="A375" s="28" t="s">
        <v>1109</v>
      </c>
      <c r="B375" s="29" t="str">
        <f>IMAGE("https://storage.googleapis.com/acdb/wall-mounted/FtrSwitchWall_Remake_2_0.png")</f>
        <v/>
      </c>
      <c r="C375" s="28" t="s">
        <v>82</v>
      </c>
      <c r="D375" s="30" t="s">
        <v>83</v>
      </c>
      <c r="E375" s="28" t="s">
        <v>83</v>
      </c>
      <c r="F375" s="30" t="s">
        <v>83</v>
      </c>
      <c r="G375" s="28" t="s">
        <v>40</v>
      </c>
      <c r="H375" s="28" t="s">
        <v>40</v>
      </c>
      <c r="I375" s="28" t="s">
        <v>83</v>
      </c>
      <c r="J375" s="28">
        <v>340.0</v>
      </c>
      <c r="K375" s="28">
        <v>85.0</v>
      </c>
      <c r="L375" s="28" t="s">
        <v>123</v>
      </c>
      <c r="M375" s="28" t="s">
        <v>44</v>
      </c>
      <c r="N375" s="28" t="s">
        <v>68</v>
      </c>
      <c r="O375" s="31" t="s">
        <v>89</v>
      </c>
      <c r="P375" s="28" t="s">
        <v>60</v>
      </c>
      <c r="Q375" s="28" t="s">
        <v>90</v>
      </c>
      <c r="R375" s="28"/>
      <c r="S375" s="28"/>
      <c r="T375" s="28" t="s">
        <v>53</v>
      </c>
      <c r="U375" s="28" t="s">
        <v>41</v>
      </c>
      <c r="V375" s="28" t="s">
        <v>43</v>
      </c>
      <c r="W375" s="28" t="s">
        <v>1114</v>
      </c>
      <c r="X375" s="28" t="s">
        <v>103</v>
      </c>
      <c r="Y375" s="28">
        <v>3471.0</v>
      </c>
    </row>
    <row r="376" ht="56.25" customHeight="1">
      <c r="A376" s="28" t="s">
        <v>1109</v>
      </c>
      <c r="B376" s="29" t="str">
        <f>IMAGE("https://storage.googleapis.com/acdb/wall-mounted/FtrSwitchWall_Remake_3_0.png")</f>
        <v/>
      </c>
      <c r="C376" s="28" t="s">
        <v>1117</v>
      </c>
      <c r="D376" s="30" t="s">
        <v>83</v>
      </c>
      <c r="E376" s="28" t="s">
        <v>83</v>
      </c>
      <c r="F376" s="30" t="s">
        <v>83</v>
      </c>
      <c r="G376" s="28" t="s">
        <v>40</v>
      </c>
      <c r="H376" s="28" t="s">
        <v>40</v>
      </c>
      <c r="I376" s="28" t="s">
        <v>83</v>
      </c>
      <c r="J376" s="28">
        <v>340.0</v>
      </c>
      <c r="K376" s="28">
        <v>85.0</v>
      </c>
      <c r="L376" s="28" t="s">
        <v>123</v>
      </c>
      <c r="M376" s="28" t="s">
        <v>44</v>
      </c>
      <c r="N376" s="28" t="s">
        <v>68</v>
      </c>
      <c r="O376" s="31" t="s">
        <v>89</v>
      </c>
      <c r="P376" s="28" t="s">
        <v>60</v>
      </c>
      <c r="Q376" s="28" t="s">
        <v>90</v>
      </c>
      <c r="R376" s="28"/>
      <c r="S376" s="28"/>
      <c r="T376" s="28" t="s">
        <v>53</v>
      </c>
      <c r="U376" s="28" t="s">
        <v>41</v>
      </c>
      <c r="V376" s="28" t="s">
        <v>43</v>
      </c>
      <c r="W376" s="28" t="s">
        <v>1118</v>
      </c>
      <c r="X376" s="28" t="s">
        <v>110</v>
      </c>
      <c r="Y376" s="28">
        <v>3471.0</v>
      </c>
    </row>
    <row r="377" ht="56.25" customHeight="1">
      <c r="A377" s="28" t="s">
        <v>1119</v>
      </c>
      <c r="B377" s="29" t="str">
        <f>IMAGE("https://storage.googleapis.com/acdb/wall-mounted/FtrTapestry_Remake_0_0.png")</f>
        <v/>
      </c>
      <c r="C377" s="28" t="s">
        <v>1121</v>
      </c>
      <c r="D377" s="30" t="s">
        <v>83</v>
      </c>
      <c r="E377" s="28" t="s">
        <v>83</v>
      </c>
      <c r="F377" s="30" t="s">
        <v>83</v>
      </c>
      <c r="G377" s="28" t="s">
        <v>40</v>
      </c>
      <c r="H377" s="28" t="s">
        <v>40</v>
      </c>
      <c r="I377" s="28" t="s">
        <v>83</v>
      </c>
      <c r="J377" s="28">
        <v>880.0</v>
      </c>
      <c r="K377" s="28">
        <v>220.0</v>
      </c>
      <c r="L377" s="28" t="s">
        <v>251</v>
      </c>
      <c r="M377" s="28" t="s">
        <v>44</v>
      </c>
      <c r="N377" s="28" t="s">
        <v>63</v>
      </c>
      <c r="O377" s="31" t="s">
        <v>89</v>
      </c>
      <c r="P377" s="28" t="s">
        <v>60</v>
      </c>
      <c r="Q377" s="28"/>
      <c r="R377" s="28"/>
      <c r="S377" s="28"/>
      <c r="T377" s="28" t="s">
        <v>40</v>
      </c>
      <c r="U377" s="28" t="s">
        <v>41</v>
      </c>
      <c r="V377" s="28" t="s">
        <v>43</v>
      </c>
      <c r="W377" s="28" t="s">
        <v>1123</v>
      </c>
      <c r="X377" s="28" t="s">
        <v>92</v>
      </c>
      <c r="Y377" s="28">
        <v>704.0</v>
      </c>
    </row>
    <row r="378" ht="56.25" customHeight="1">
      <c r="A378" s="28" t="s">
        <v>1119</v>
      </c>
      <c r="B378" s="29" t="str">
        <f>IMAGE("https://storage.googleapis.com/acdb/wall-mounted/FtrTapestry_Remake_1_0.png")</f>
        <v/>
      </c>
      <c r="C378" s="28" t="s">
        <v>1124</v>
      </c>
      <c r="D378" s="30" t="s">
        <v>83</v>
      </c>
      <c r="E378" s="28" t="s">
        <v>83</v>
      </c>
      <c r="F378" s="30" t="s">
        <v>83</v>
      </c>
      <c r="G378" s="28" t="s">
        <v>40</v>
      </c>
      <c r="H378" s="28" t="s">
        <v>40</v>
      </c>
      <c r="I378" s="28" t="s">
        <v>83</v>
      </c>
      <c r="J378" s="28">
        <v>880.0</v>
      </c>
      <c r="K378" s="28">
        <v>220.0</v>
      </c>
      <c r="L378" s="28" t="s">
        <v>251</v>
      </c>
      <c r="M378" s="28" t="s">
        <v>44</v>
      </c>
      <c r="N378" s="28" t="s">
        <v>63</v>
      </c>
      <c r="O378" s="31" t="s">
        <v>89</v>
      </c>
      <c r="P378" s="28" t="s">
        <v>60</v>
      </c>
      <c r="Q378" s="28"/>
      <c r="R378" s="28"/>
      <c r="S378" s="28"/>
      <c r="T378" s="28" t="s">
        <v>40</v>
      </c>
      <c r="U378" s="28" t="s">
        <v>41</v>
      </c>
      <c r="V378" s="28" t="s">
        <v>43</v>
      </c>
      <c r="W378" s="28" t="s">
        <v>1127</v>
      </c>
      <c r="X378" s="28" t="s">
        <v>97</v>
      </c>
      <c r="Y378" s="28">
        <v>704.0</v>
      </c>
    </row>
    <row r="379" ht="56.25" customHeight="1">
      <c r="A379" s="28" t="s">
        <v>1119</v>
      </c>
      <c r="B379" s="29" t="str">
        <f>IMAGE("https://storage.googleapis.com/acdb/wall-mounted/FtrTapestry_Remake_2_0.png")</f>
        <v/>
      </c>
      <c r="C379" s="28" t="s">
        <v>1128</v>
      </c>
      <c r="D379" s="30" t="s">
        <v>83</v>
      </c>
      <c r="E379" s="28" t="s">
        <v>83</v>
      </c>
      <c r="F379" s="30" t="s">
        <v>83</v>
      </c>
      <c r="G379" s="28" t="s">
        <v>40</v>
      </c>
      <c r="H379" s="28" t="s">
        <v>40</v>
      </c>
      <c r="I379" s="28" t="s">
        <v>83</v>
      </c>
      <c r="J379" s="28">
        <v>880.0</v>
      </c>
      <c r="K379" s="28">
        <v>220.0</v>
      </c>
      <c r="L379" s="28" t="s">
        <v>251</v>
      </c>
      <c r="M379" s="28" t="s">
        <v>44</v>
      </c>
      <c r="N379" s="28" t="s">
        <v>63</v>
      </c>
      <c r="O379" s="31" t="s">
        <v>89</v>
      </c>
      <c r="P379" s="28" t="s">
        <v>60</v>
      </c>
      <c r="Q379" s="28"/>
      <c r="R379" s="28"/>
      <c r="S379" s="28"/>
      <c r="T379" s="28" t="s">
        <v>40</v>
      </c>
      <c r="U379" s="28" t="s">
        <v>41</v>
      </c>
      <c r="V379" s="28" t="s">
        <v>43</v>
      </c>
      <c r="W379" s="28" t="s">
        <v>1129</v>
      </c>
      <c r="X379" s="28" t="s">
        <v>103</v>
      </c>
      <c r="Y379" s="28">
        <v>704.0</v>
      </c>
    </row>
    <row r="380" ht="56.25" customHeight="1">
      <c r="A380" s="28" t="s">
        <v>1119</v>
      </c>
      <c r="B380" s="29" t="str">
        <f>IMAGE("https://storage.googleapis.com/acdb/wall-mounted/FtrTapestry_Remake_3_0.png")</f>
        <v/>
      </c>
      <c r="C380" s="28" t="s">
        <v>893</v>
      </c>
      <c r="D380" s="30" t="s">
        <v>83</v>
      </c>
      <c r="E380" s="28" t="s">
        <v>83</v>
      </c>
      <c r="F380" s="30" t="s">
        <v>83</v>
      </c>
      <c r="G380" s="28" t="s">
        <v>40</v>
      </c>
      <c r="H380" s="28" t="s">
        <v>40</v>
      </c>
      <c r="I380" s="28" t="s">
        <v>83</v>
      </c>
      <c r="J380" s="28">
        <v>880.0</v>
      </c>
      <c r="K380" s="28">
        <v>220.0</v>
      </c>
      <c r="L380" s="28" t="s">
        <v>251</v>
      </c>
      <c r="M380" s="28" t="s">
        <v>44</v>
      </c>
      <c r="N380" s="28" t="s">
        <v>63</v>
      </c>
      <c r="O380" s="31" t="s">
        <v>89</v>
      </c>
      <c r="P380" s="28" t="s">
        <v>60</v>
      </c>
      <c r="Q380" s="28"/>
      <c r="R380" s="28"/>
      <c r="S380" s="28"/>
      <c r="T380" s="28" t="s">
        <v>40</v>
      </c>
      <c r="U380" s="28" t="s">
        <v>41</v>
      </c>
      <c r="V380" s="28" t="s">
        <v>43</v>
      </c>
      <c r="W380" s="28" t="s">
        <v>1132</v>
      </c>
      <c r="X380" s="28" t="s">
        <v>110</v>
      </c>
      <c r="Y380" s="28">
        <v>704.0</v>
      </c>
    </row>
    <row r="381" ht="56.25" customHeight="1">
      <c r="A381" s="28" t="s">
        <v>1119</v>
      </c>
      <c r="B381" s="29" t="str">
        <f>IMAGE("https://storage.googleapis.com/acdb/wall-mounted/FtrTapestry_Remake_4_0.png")</f>
        <v/>
      </c>
      <c r="C381" s="28" t="s">
        <v>632</v>
      </c>
      <c r="D381" s="30" t="s">
        <v>83</v>
      </c>
      <c r="E381" s="28" t="s">
        <v>83</v>
      </c>
      <c r="F381" s="30" t="s">
        <v>83</v>
      </c>
      <c r="G381" s="28" t="s">
        <v>40</v>
      </c>
      <c r="H381" s="28" t="s">
        <v>40</v>
      </c>
      <c r="I381" s="28" t="s">
        <v>83</v>
      </c>
      <c r="J381" s="28">
        <v>880.0</v>
      </c>
      <c r="K381" s="28">
        <v>220.0</v>
      </c>
      <c r="L381" s="28" t="s">
        <v>251</v>
      </c>
      <c r="M381" s="28" t="s">
        <v>44</v>
      </c>
      <c r="N381" s="28" t="s">
        <v>63</v>
      </c>
      <c r="O381" s="31" t="s">
        <v>89</v>
      </c>
      <c r="P381" s="28" t="s">
        <v>60</v>
      </c>
      <c r="Q381" s="28"/>
      <c r="R381" s="28"/>
      <c r="S381" s="28"/>
      <c r="T381" s="28" t="s">
        <v>40</v>
      </c>
      <c r="U381" s="28" t="s">
        <v>41</v>
      </c>
      <c r="V381" s="28" t="s">
        <v>43</v>
      </c>
      <c r="W381" s="28" t="s">
        <v>1134</v>
      </c>
      <c r="X381" s="28" t="s">
        <v>115</v>
      </c>
      <c r="Y381" s="28">
        <v>704.0</v>
      </c>
    </row>
    <row r="382" ht="56.25" customHeight="1">
      <c r="A382" s="28" t="s">
        <v>1119</v>
      </c>
      <c r="B382" s="29" t="str">
        <f>IMAGE("https://storage.googleapis.com/acdb/wall-mounted/FtrTapestry_Remake_5_0.png")</f>
        <v/>
      </c>
      <c r="C382" s="28" t="s">
        <v>1136</v>
      </c>
      <c r="D382" s="30" t="s">
        <v>83</v>
      </c>
      <c r="E382" s="28" t="s">
        <v>83</v>
      </c>
      <c r="F382" s="30" t="s">
        <v>83</v>
      </c>
      <c r="G382" s="28" t="s">
        <v>40</v>
      </c>
      <c r="H382" s="28" t="s">
        <v>40</v>
      </c>
      <c r="I382" s="28" t="s">
        <v>83</v>
      </c>
      <c r="J382" s="28">
        <v>880.0</v>
      </c>
      <c r="K382" s="28">
        <v>220.0</v>
      </c>
      <c r="L382" s="28" t="s">
        <v>251</v>
      </c>
      <c r="M382" s="28" t="s">
        <v>44</v>
      </c>
      <c r="N382" s="28" t="s">
        <v>63</v>
      </c>
      <c r="O382" s="31" t="s">
        <v>89</v>
      </c>
      <c r="P382" s="28" t="s">
        <v>60</v>
      </c>
      <c r="Q382" s="28"/>
      <c r="R382" s="28"/>
      <c r="S382" s="28"/>
      <c r="T382" s="28" t="s">
        <v>40</v>
      </c>
      <c r="U382" s="28" t="s">
        <v>41</v>
      </c>
      <c r="V382" s="28" t="s">
        <v>43</v>
      </c>
      <c r="W382" s="28" t="s">
        <v>1138</v>
      </c>
      <c r="X382" s="28" t="s">
        <v>120</v>
      </c>
      <c r="Y382" s="28">
        <v>704.0</v>
      </c>
    </row>
    <row r="383" ht="56.25" customHeight="1">
      <c r="A383" s="28" t="s">
        <v>1139</v>
      </c>
      <c r="B383" s="29" t="str">
        <f>IMAGE("https://storage.googleapis.com/acdb/wall-mounted/FtrBoyClockWall_Remake_0_0.png")</f>
        <v/>
      </c>
      <c r="C383" s="28" t="s">
        <v>211</v>
      </c>
      <c r="D383" s="30" t="s">
        <v>83</v>
      </c>
      <c r="E383" s="28" t="s">
        <v>83</v>
      </c>
      <c r="F383" s="30" t="s">
        <v>83</v>
      </c>
      <c r="G383" s="28" t="s">
        <v>40</v>
      </c>
      <c r="H383" s="28" t="s">
        <v>40</v>
      </c>
      <c r="I383" s="28" t="s">
        <v>83</v>
      </c>
      <c r="J383" s="28">
        <v>4200.0</v>
      </c>
      <c r="K383" s="28">
        <v>1050.0</v>
      </c>
      <c r="L383" s="28" t="s">
        <v>554</v>
      </c>
      <c r="M383" s="28" t="s">
        <v>44</v>
      </c>
      <c r="N383" s="28" t="s">
        <v>68</v>
      </c>
      <c r="O383" s="31" t="s">
        <v>89</v>
      </c>
      <c r="P383" s="28" t="s">
        <v>113</v>
      </c>
      <c r="Q383" s="28"/>
      <c r="R383" s="28"/>
      <c r="S383" s="28" t="s">
        <v>1140</v>
      </c>
      <c r="T383" s="28" t="s">
        <v>53</v>
      </c>
      <c r="U383" s="28" t="s">
        <v>41</v>
      </c>
      <c r="V383" s="28" t="s">
        <v>43</v>
      </c>
      <c r="W383" s="28" t="s">
        <v>1141</v>
      </c>
      <c r="X383" s="28" t="s">
        <v>92</v>
      </c>
      <c r="Y383" s="28">
        <v>4756.0</v>
      </c>
    </row>
    <row r="384" ht="56.25" customHeight="1">
      <c r="A384" s="28" t="s">
        <v>1139</v>
      </c>
      <c r="B384" s="29" t="str">
        <f>IMAGE("https://storage.googleapis.com/acdb/wall-mounted/FtrBoyClockWall_Remake_1_0.png")</f>
        <v/>
      </c>
      <c r="C384" s="28" t="s">
        <v>208</v>
      </c>
      <c r="D384" s="30" t="s">
        <v>83</v>
      </c>
      <c r="E384" s="28" t="s">
        <v>83</v>
      </c>
      <c r="F384" s="30" t="s">
        <v>83</v>
      </c>
      <c r="G384" s="28" t="s">
        <v>40</v>
      </c>
      <c r="H384" s="28" t="s">
        <v>40</v>
      </c>
      <c r="I384" s="28" t="s">
        <v>83</v>
      </c>
      <c r="J384" s="28">
        <v>4200.0</v>
      </c>
      <c r="K384" s="28">
        <v>1050.0</v>
      </c>
      <c r="L384" s="28" t="s">
        <v>554</v>
      </c>
      <c r="M384" s="28" t="s">
        <v>44</v>
      </c>
      <c r="N384" s="28" t="s">
        <v>68</v>
      </c>
      <c r="O384" s="31" t="s">
        <v>89</v>
      </c>
      <c r="P384" s="28" t="s">
        <v>113</v>
      </c>
      <c r="Q384" s="28"/>
      <c r="R384" s="28"/>
      <c r="S384" s="28" t="s">
        <v>1140</v>
      </c>
      <c r="T384" s="28" t="s">
        <v>53</v>
      </c>
      <c r="U384" s="28" t="s">
        <v>41</v>
      </c>
      <c r="V384" s="28" t="s">
        <v>43</v>
      </c>
      <c r="W384" s="28" t="s">
        <v>1143</v>
      </c>
      <c r="X384" s="28" t="s">
        <v>97</v>
      </c>
      <c r="Y384" s="28">
        <v>4756.0</v>
      </c>
    </row>
    <row r="385" ht="56.25" customHeight="1">
      <c r="A385" s="28" t="s">
        <v>1139</v>
      </c>
      <c r="B385" s="29" t="str">
        <f>IMAGE("https://storage.googleapis.com/acdb/wall-mounted/FtrBoyClockWall_Remake_2_0.png")</f>
        <v/>
      </c>
      <c r="C385" s="28" t="s">
        <v>369</v>
      </c>
      <c r="D385" s="30" t="s">
        <v>83</v>
      </c>
      <c r="E385" s="28" t="s">
        <v>83</v>
      </c>
      <c r="F385" s="30" t="s">
        <v>83</v>
      </c>
      <c r="G385" s="28" t="s">
        <v>40</v>
      </c>
      <c r="H385" s="28" t="s">
        <v>40</v>
      </c>
      <c r="I385" s="28" t="s">
        <v>83</v>
      </c>
      <c r="J385" s="28">
        <v>4200.0</v>
      </c>
      <c r="K385" s="28">
        <v>1050.0</v>
      </c>
      <c r="L385" s="28" t="s">
        <v>554</v>
      </c>
      <c r="M385" s="28" t="s">
        <v>44</v>
      </c>
      <c r="N385" s="28" t="s">
        <v>68</v>
      </c>
      <c r="O385" s="31" t="s">
        <v>89</v>
      </c>
      <c r="P385" s="28" t="s">
        <v>113</v>
      </c>
      <c r="Q385" s="28"/>
      <c r="R385" s="28"/>
      <c r="S385" s="28" t="s">
        <v>1140</v>
      </c>
      <c r="T385" s="28" t="s">
        <v>53</v>
      </c>
      <c r="U385" s="28" t="s">
        <v>41</v>
      </c>
      <c r="V385" s="28" t="s">
        <v>43</v>
      </c>
      <c r="W385" s="28" t="s">
        <v>1145</v>
      </c>
      <c r="X385" s="28" t="s">
        <v>103</v>
      </c>
      <c r="Y385" s="28">
        <v>4756.0</v>
      </c>
    </row>
    <row r="386" ht="56.25" customHeight="1">
      <c r="A386" s="28" t="s">
        <v>1139</v>
      </c>
      <c r="B386" s="29" t="str">
        <f>IMAGE("https://storage.googleapis.com/acdb/wall-mounted/FtrBoyClockWall_Remake_3_0.png")</f>
        <v/>
      </c>
      <c r="C386" s="28" t="s">
        <v>112</v>
      </c>
      <c r="D386" s="30" t="s">
        <v>83</v>
      </c>
      <c r="E386" s="28" t="s">
        <v>83</v>
      </c>
      <c r="F386" s="30" t="s">
        <v>83</v>
      </c>
      <c r="G386" s="28" t="s">
        <v>40</v>
      </c>
      <c r="H386" s="28" t="s">
        <v>40</v>
      </c>
      <c r="I386" s="28" t="s">
        <v>83</v>
      </c>
      <c r="J386" s="28">
        <v>4200.0</v>
      </c>
      <c r="K386" s="28">
        <v>1050.0</v>
      </c>
      <c r="L386" s="28" t="s">
        <v>554</v>
      </c>
      <c r="M386" s="28" t="s">
        <v>44</v>
      </c>
      <c r="N386" s="28" t="s">
        <v>68</v>
      </c>
      <c r="O386" s="31" t="s">
        <v>89</v>
      </c>
      <c r="P386" s="28" t="s">
        <v>113</v>
      </c>
      <c r="Q386" s="28"/>
      <c r="R386" s="28"/>
      <c r="S386" s="28" t="s">
        <v>1140</v>
      </c>
      <c r="T386" s="28" t="s">
        <v>53</v>
      </c>
      <c r="U386" s="28" t="s">
        <v>41</v>
      </c>
      <c r="V386" s="28" t="s">
        <v>43</v>
      </c>
      <c r="W386" s="28" t="s">
        <v>1147</v>
      </c>
      <c r="X386" s="28" t="s">
        <v>110</v>
      </c>
      <c r="Y386" s="28">
        <v>4756.0</v>
      </c>
    </row>
    <row r="387" ht="56.25" customHeight="1">
      <c r="A387" s="28" t="s">
        <v>1139</v>
      </c>
      <c r="B387" s="29" t="str">
        <f>IMAGE("https://storage.googleapis.com/acdb/wall-mounted/FtrBoyClockWall_Remake_4_0.png")</f>
        <v/>
      </c>
      <c r="C387" s="28" t="s">
        <v>82</v>
      </c>
      <c r="D387" s="30" t="s">
        <v>83</v>
      </c>
      <c r="E387" s="28" t="s">
        <v>83</v>
      </c>
      <c r="F387" s="30" t="s">
        <v>83</v>
      </c>
      <c r="G387" s="28" t="s">
        <v>40</v>
      </c>
      <c r="H387" s="28" t="s">
        <v>40</v>
      </c>
      <c r="I387" s="28" t="s">
        <v>83</v>
      </c>
      <c r="J387" s="28">
        <v>4200.0</v>
      </c>
      <c r="K387" s="28">
        <v>1050.0</v>
      </c>
      <c r="L387" s="28" t="s">
        <v>554</v>
      </c>
      <c r="M387" s="28" t="s">
        <v>44</v>
      </c>
      <c r="N387" s="28" t="s">
        <v>68</v>
      </c>
      <c r="O387" s="31" t="s">
        <v>89</v>
      </c>
      <c r="P387" s="28" t="s">
        <v>113</v>
      </c>
      <c r="Q387" s="28"/>
      <c r="R387" s="28"/>
      <c r="S387" s="28" t="s">
        <v>1140</v>
      </c>
      <c r="T387" s="28" t="s">
        <v>53</v>
      </c>
      <c r="U387" s="28" t="s">
        <v>41</v>
      </c>
      <c r="V387" s="28" t="s">
        <v>43</v>
      </c>
      <c r="W387" s="28" t="s">
        <v>1149</v>
      </c>
      <c r="X387" s="28" t="s">
        <v>115</v>
      </c>
      <c r="Y387" s="28">
        <v>4756.0</v>
      </c>
    </row>
    <row r="388" ht="56.25" customHeight="1">
      <c r="A388" s="28" t="s">
        <v>1139</v>
      </c>
      <c r="B388" s="29" t="str">
        <f>IMAGE("https://storage.googleapis.com/acdb/wall-mounted/FtrBoyClockWall_Remake_5_0.png")</f>
        <v/>
      </c>
      <c r="C388" s="28" t="s">
        <v>94</v>
      </c>
      <c r="D388" s="30" t="s">
        <v>83</v>
      </c>
      <c r="E388" s="28" t="s">
        <v>83</v>
      </c>
      <c r="F388" s="30" t="s">
        <v>83</v>
      </c>
      <c r="G388" s="28" t="s">
        <v>40</v>
      </c>
      <c r="H388" s="28" t="s">
        <v>40</v>
      </c>
      <c r="I388" s="28" t="s">
        <v>83</v>
      </c>
      <c r="J388" s="28">
        <v>4200.0</v>
      </c>
      <c r="K388" s="28">
        <v>1050.0</v>
      </c>
      <c r="L388" s="28" t="s">
        <v>554</v>
      </c>
      <c r="M388" s="28" t="s">
        <v>44</v>
      </c>
      <c r="N388" s="28" t="s">
        <v>68</v>
      </c>
      <c r="O388" s="31" t="s">
        <v>89</v>
      </c>
      <c r="P388" s="28" t="s">
        <v>113</v>
      </c>
      <c r="Q388" s="28"/>
      <c r="R388" s="28"/>
      <c r="S388" s="28" t="s">
        <v>1140</v>
      </c>
      <c r="T388" s="28" t="s">
        <v>53</v>
      </c>
      <c r="U388" s="28" t="s">
        <v>41</v>
      </c>
      <c r="V388" s="28" t="s">
        <v>43</v>
      </c>
      <c r="W388" s="28" t="s">
        <v>1151</v>
      </c>
      <c r="X388" s="28" t="s">
        <v>120</v>
      </c>
      <c r="Y388" s="28">
        <v>4756.0</v>
      </c>
    </row>
    <row r="389" ht="56.25" customHeight="1">
      <c r="A389" s="28" t="s">
        <v>1139</v>
      </c>
      <c r="B389" s="29" t="str">
        <f>IMAGE("https://storage.googleapis.com/acdb/wall-mounted/FtrBoyClockWall_Remake_6_0.png")</f>
        <v/>
      </c>
      <c r="C389" s="28" t="s">
        <v>464</v>
      </c>
      <c r="D389" s="30" t="s">
        <v>83</v>
      </c>
      <c r="E389" s="28" t="s">
        <v>83</v>
      </c>
      <c r="F389" s="30" t="s">
        <v>83</v>
      </c>
      <c r="G389" s="28" t="s">
        <v>40</v>
      </c>
      <c r="H389" s="28" t="s">
        <v>40</v>
      </c>
      <c r="I389" s="28" t="s">
        <v>83</v>
      </c>
      <c r="J389" s="28">
        <v>4200.0</v>
      </c>
      <c r="K389" s="28">
        <v>1050.0</v>
      </c>
      <c r="L389" s="28" t="s">
        <v>554</v>
      </c>
      <c r="M389" s="28" t="s">
        <v>44</v>
      </c>
      <c r="N389" s="28" t="s">
        <v>68</v>
      </c>
      <c r="O389" s="31" t="s">
        <v>89</v>
      </c>
      <c r="P389" s="28" t="s">
        <v>113</v>
      </c>
      <c r="Q389" s="28"/>
      <c r="R389" s="28"/>
      <c r="S389" s="28" t="s">
        <v>1140</v>
      </c>
      <c r="T389" s="28" t="s">
        <v>53</v>
      </c>
      <c r="U389" s="28" t="s">
        <v>41</v>
      </c>
      <c r="V389" s="28" t="s">
        <v>43</v>
      </c>
      <c r="W389" s="28" t="s">
        <v>1153</v>
      </c>
      <c r="X389" s="28" t="s">
        <v>218</v>
      </c>
      <c r="Y389" s="28">
        <v>4756.0</v>
      </c>
    </row>
    <row r="390" ht="56.25" customHeight="1">
      <c r="A390" s="28" t="s">
        <v>1154</v>
      </c>
      <c r="B390" s="29" t="str">
        <f>IMAGE("https://storage.googleapis.com/acdb/wall-mounted/FtrDoorOrnamentLog_Remake_0_0.png")</f>
        <v/>
      </c>
      <c r="C390" s="28" t="s">
        <v>219</v>
      </c>
      <c r="D390" s="30" t="s">
        <v>199</v>
      </c>
      <c r="E390" s="28" t="s">
        <v>83</v>
      </c>
      <c r="F390" s="30" t="s">
        <v>83</v>
      </c>
      <c r="G390" s="28" t="s">
        <v>53</v>
      </c>
      <c r="H390" s="28" t="s">
        <v>53</v>
      </c>
      <c r="I390" s="28">
        <v>1.0</v>
      </c>
      <c r="J390" s="28" t="s">
        <v>51</v>
      </c>
      <c r="K390" s="28">
        <v>400.0</v>
      </c>
      <c r="L390" s="28" t="s">
        <v>123</v>
      </c>
      <c r="M390" s="28" t="s">
        <v>55</v>
      </c>
      <c r="N390" s="28"/>
      <c r="O390" s="31" t="s">
        <v>89</v>
      </c>
      <c r="P390" s="28" t="s">
        <v>60</v>
      </c>
      <c r="Q390" s="28" t="s">
        <v>113</v>
      </c>
      <c r="R390" s="28"/>
      <c r="S390" s="28"/>
      <c r="T390" s="28" t="s">
        <v>40</v>
      </c>
      <c r="U390" s="28" t="s">
        <v>41</v>
      </c>
      <c r="V390" s="28" t="s">
        <v>54</v>
      </c>
      <c r="W390" s="28" t="s">
        <v>1156</v>
      </c>
      <c r="X390" s="28" t="s">
        <v>92</v>
      </c>
      <c r="Y390" s="28">
        <v>5718.0</v>
      </c>
    </row>
    <row r="391" ht="56.25" customHeight="1">
      <c r="A391" s="28" t="s">
        <v>1154</v>
      </c>
      <c r="B391" s="29" t="str">
        <f>IMAGE("https://storage.googleapis.com/acdb/wall-mounted/FtrDoorOrnamentLog_Remake_1_0.png")</f>
        <v/>
      </c>
      <c r="C391" s="28" t="s">
        <v>118</v>
      </c>
      <c r="D391" s="30" t="s">
        <v>199</v>
      </c>
      <c r="E391" s="28" t="s">
        <v>83</v>
      </c>
      <c r="F391" s="30" t="s">
        <v>83</v>
      </c>
      <c r="G391" s="28" t="s">
        <v>53</v>
      </c>
      <c r="H391" s="28" t="s">
        <v>53</v>
      </c>
      <c r="I391" s="28">
        <v>1.0</v>
      </c>
      <c r="J391" s="28" t="s">
        <v>51</v>
      </c>
      <c r="K391" s="28">
        <v>400.0</v>
      </c>
      <c r="L391" s="28" t="s">
        <v>123</v>
      </c>
      <c r="M391" s="28" t="s">
        <v>55</v>
      </c>
      <c r="N391" s="28"/>
      <c r="O391" s="31" t="s">
        <v>89</v>
      </c>
      <c r="P391" s="28" t="s">
        <v>60</v>
      </c>
      <c r="Q391" s="28" t="s">
        <v>113</v>
      </c>
      <c r="R391" s="28"/>
      <c r="S391" s="28"/>
      <c r="T391" s="28" t="s">
        <v>40</v>
      </c>
      <c r="U391" s="28" t="s">
        <v>41</v>
      </c>
      <c r="V391" s="28" t="s">
        <v>54</v>
      </c>
      <c r="W391" s="28" t="s">
        <v>1159</v>
      </c>
      <c r="X391" s="28" t="s">
        <v>97</v>
      </c>
      <c r="Y391" s="28">
        <v>5718.0</v>
      </c>
    </row>
    <row r="392" ht="56.25" customHeight="1">
      <c r="A392" s="28" t="s">
        <v>1154</v>
      </c>
      <c r="B392" s="29" t="str">
        <f>IMAGE("https://storage.googleapis.com/acdb/wall-mounted/FtrDoorOrnamentLog_Remake_2_0.png")</f>
        <v/>
      </c>
      <c r="C392" s="28" t="s">
        <v>233</v>
      </c>
      <c r="D392" s="30" t="s">
        <v>199</v>
      </c>
      <c r="E392" s="28" t="s">
        <v>83</v>
      </c>
      <c r="F392" s="30" t="s">
        <v>83</v>
      </c>
      <c r="G392" s="28" t="s">
        <v>53</v>
      </c>
      <c r="H392" s="28" t="s">
        <v>53</v>
      </c>
      <c r="I392" s="28">
        <v>1.0</v>
      </c>
      <c r="J392" s="28" t="s">
        <v>51</v>
      </c>
      <c r="K392" s="28">
        <v>400.0</v>
      </c>
      <c r="L392" s="28" t="s">
        <v>123</v>
      </c>
      <c r="M392" s="28" t="s">
        <v>55</v>
      </c>
      <c r="N392" s="28"/>
      <c r="O392" s="31" t="s">
        <v>89</v>
      </c>
      <c r="P392" s="28" t="s">
        <v>60</v>
      </c>
      <c r="Q392" s="28" t="s">
        <v>113</v>
      </c>
      <c r="R392" s="28"/>
      <c r="S392" s="28"/>
      <c r="T392" s="28" t="s">
        <v>40</v>
      </c>
      <c r="U392" s="28" t="s">
        <v>41</v>
      </c>
      <c r="V392" s="28" t="s">
        <v>54</v>
      </c>
      <c r="W392" s="28" t="s">
        <v>1162</v>
      </c>
      <c r="X392" s="28" t="s">
        <v>103</v>
      </c>
      <c r="Y392" s="28">
        <v>5718.0</v>
      </c>
    </row>
    <row r="393" ht="56.25" customHeight="1">
      <c r="A393" s="28" t="s">
        <v>1154</v>
      </c>
      <c r="B393" s="29" t="str">
        <f>IMAGE("https://storage.googleapis.com/acdb/wall-mounted/FtrDoorOrnamentLog_Remake_3_0.png")</f>
        <v/>
      </c>
      <c r="C393" s="28" t="s">
        <v>582</v>
      </c>
      <c r="D393" s="30" t="s">
        <v>199</v>
      </c>
      <c r="E393" s="28" t="s">
        <v>83</v>
      </c>
      <c r="F393" s="30" t="s">
        <v>83</v>
      </c>
      <c r="G393" s="28" t="s">
        <v>53</v>
      </c>
      <c r="H393" s="28" t="s">
        <v>53</v>
      </c>
      <c r="I393" s="28">
        <v>1.0</v>
      </c>
      <c r="J393" s="28" t="s">
        <v>51</v>
      </c>
      <c r="K393" s="28">
        <v>400.0</v>
      </c>
      <c r="L393" s="28" t="s">
        <v>123</v>
      </c>
      <c r="M393" s="28" t="s">
        <v>55</v>
      </c>
      <c r="N393" s="28"/>
      <c r="O393" s="31" t="s">
        <v>89</v>
      </c>
      <c r="P393" s="28" t="s">
        <v>60</v>
      </c>
      <c r="Q393" s="28" t="s">
        <v>113</v>
      </c>
      <c r="R393" s="28"/>
      <c r="S393" s="28"/>
      <c r="T393" s="28" t="s">
        <v>40</v>
      </c>
      <c r="U393" s="28" t="s">
        <v>41</v>
      </c>
      <c r="V393" s="28" t="s">
        <v>54</v>
      </c>
      <c r="W393" s="28" t="s">
        <v>1164</v>
      </c>
      <c r="X393" s="28" t="s">
        <v>110</v>
      </c>
      <c r="Y393" s="28">
        <v>5718.0</v>
      </c>
    </row>
    <row r="394" ht="56.25" customHeight="1">
      <c r="A394" s="28" t="s">
        <v>1154</v>
      </c>
      <c r="B394" s="29" t="str">
        <f>IMAGE("https://storage.googleapis.com/acdb/wall-mounted/FtrDoorOrnamentLog_Remake_4_0.png")</f>
        <v/>
      </c>
      <c r="C394" s="28" t="s">
        <v>758</v>
      </c>
      <c r="D394" s="30" t="s">
        <v>199</v>
      </c>
      <c r="E394" s="28" t="s">
        <v>83</v>
      </c>
      <c r="F394" s="30" t="s">
        <v>83</v>
      </c>
      <c r="G394" s="28" t="s">
        <v>53</v>
      </c>
      <c r="H394" s="28" t="s">
        <v>53</v>
      </c>
      <c r="I394" s="28">
        <v>1.0</v>
      </c>
      <c r="J394" s="28" t="s">
        <v>51</v>
      </c>
      <c r="K394" s="28">
        <v>400.0</v>
      </c>
      <c r="L394" s="28" t="s">
        <v>123</v>
      </c>
      <c r="M394" s="28" t="s">
        <v>55</v>
      </c>
      <c r="N394" s="28"/>
      <c r="O394" s="31" t="s">
        <v>89</v>
      </c>
      <c r="P394" s="28" t="s">
        <v>60</v>
      </c>
      <c r="Q394" s="28" t="s">
        <v>113</v>
      </c>
      <c r="R394" s="28"/>
      <c r="S394" s="28"/>
      <c r="T394" s="28" t="s">
        <v>40</v>
      </c>
      <c r="U394" s="28" t="s">
        <v>41</v>
      </c>
      <c r="V394" s="28" t="s">
        <v>54</v>
      </c>
      <c r="W394" s="28" t="s">
        <v>1165</v>
      </c>
      <c r="X394" s="28" t="s">
        <v>115</v>
      </c>
      <c r="Y394" s="28">
        <v>5718.0</v>
      </c>
    </row>
    <row r="395" ht="56.25" customHeight="1">
      <c r="A395" s="28" t="s">
        <v>1154</v>
      </c>
      <c r="B395" s="29" t="str">
        <f>IMAGE("https://storage.googleapis.com/acdb/wall-mounted/FtrDoorOrnamentLog_Remake_5_0.png")</f>
        <v/>
      </c>
      <c r="C395" s="28" t="s">
        <v>99</v>
      </c>
      <c r="D395" s="30" t="s">
        <v>199</v>
      </c>
      <c r="E395" s="28" t="s">
        <v>83</v>
      </c>
      <c r="F395" s="30" t="s">
        <v>83</v>
      </c>
      <c r="G395" s="28" t="s">
        <v>53</v>
      </c>
      <c r="H395" s="28" t="s">
        <v>53</v>
      </c>
      <c r="I395" s="28">
        <v>1.0</v>
      </c>
      <c r="J395" s="28" t="s">
        <v>51</v>
      </c>
      <c r="K395" s="28">
        <v>400.0</v>
      </c>
      <c r="L395" s="28" t="s">
        <v>123</v>
      </c>
      <c r="M395" s="28" t="s">
        <v>55</v>
      </c>
      <c r="N395" s="28"/>
      <c r="O395" s="31" t="s">
        <v>89</v>
      </c>
      <c r="P395" s="28" t="s">
        <v>60</v>
      </c>
      <c r="Q395" s="28" t="s">
        <v>113</v>
      </c>
      <c r="R395" s="28"/>
      <c r="S395" s="28"/>
      <c r="T395" s="28" t="s">
        <v>40</v>
      </c>
      <c r="U395" s="28" t="s">
        <v>41</v>
      </c>
      <c r="V395" s="28" t="s">
        <v>54</v>
      </c>
      <c r="W395" s="28" t="s">
        <v>1168</v>
      </c>
      <c r="X395" s="28" t="s">
        <v>120</v>
      </c>
      <c r="Y395" s="28">
        <v>5718.0</v>
      </c>
    </row>
    <row r="396" ht="56.25" customHeight="1">
      <c r="A396" s="28" t="s">
        <v>1154</v>
      </c>
      <c r="B396" s="29" t="str">
        <f>IMAGE("https://storage.googleapis.com/acdb/wall-mounted/FtrDoorOrnamentLog_Remake_6_0.png")</f>
        <v/>
      </c>
      <c r="C396" s="28" t="s">
        <v>112</v>
      </c>
      <c r="D396" s="30" t="s">
        <v>199</v>
      </c>
      <c r="E396" s="28" t="s">
        <v>83</v>
      </c>
      <c r="F396" s="30" t="s">
        <v>83</v>
      </c>
      <c r="G396" s="28" t="s">
        <v>53</v>
      </c>
      <c r="H396" s="28" t="s">
        <v>53</v>
      </c>
      <c r="I396" s="28">
        <v>1.0</v>
      </c>
      <c r="J396" s="28" t="s">
        <v>51</v>
      </c>
      <c r="K396" s="28">
        <v>400.0</v>
      </c>
      <c r="L396" s="28" t="s">
        <v>123</v>
      </c>
      <c r="M396" s="28" t="s">
        <v>55</v>
      </c>
      <c r="N396" s="28"/>
      <c r="O396" s="31" t="s">
        <v>89</v>
      </c>
      <c r="P396" s="28" t="s">
        <v>60</v>
      </c>
      <c r="Q396" s="28" t="s">
        <v>113</v>
      </c>
      <c r="R396" s="28"/>
      <c r="S396" s="28"/>
      <c r="T396" s="28" t="s">
        <v>40</v>
      </c>
      <c r="U396" s="28" t="s">
        <v>41</v>
      </c>
      <c r="V396" s="28" t="s">
        <v>54</v>
      </c>
      <c r="W396" s="28" t="s">
        <v>1170</v>
      </c>
      <c r="X396" s="28" t="s">
        <v>218</v>
      </c>
      <c r="Y396" s="28">
        <v>5718.0</v>
      </c>
    </row>
    <row r="397" ht="56.25" customHeight="1">
      <c r="A397" s="28" t="s">
        <v>1154</v>
      </c>
      <c r="B397" s="29" t="str">
        <f>IMAGE("https://storage.googleapis.com/acdb/wall-mounted/FtrDoorOrnamentLog_Remake_7_0.png")</f>
        <v/>
      </c>
      <c r="C397" s="28" t="s">
        <v>107</v>
      </c>
      <c r="D397" s="30" t="s">
        <v>199</v>
      </c>
      <c r="E397" s="28" t="s">
        <v>83</v>
      </c>
      <c r="F397" s="30" t="s">
        <v>83</v>
      </c>
      <c r="G397" s="28" t="s">
        <v>53</v>
      </c>
      <c r="H397" s="28" t="s">
        <v>53</v>
      </c>
      <c r="I397" s="28">
        <v>1.0</v>
      </c>
      <c r="J397" s="28" t="s">
        <v>51</v>
      </c>
      <c r="K397" s="28">
        <v>400.0</v>
      </c>
      <c r="L397" s="28" t="s">
        <v>123</v>
      </c>
      <c r="M397" s="28" t="s">
        <v>55</v>
      </c>
      <c r="N397" s="28"/>
      <c r="O397" s="31" t="s">
        <v>89</v>
      </c>
      <c r="P397" s="28" t="s">
        <v>60</v>
      </c>
      <c r="Q397" s="28" t="s">
        <v>113</v>
      </c>
      <c r="R397" s="28"/>
      <c r="S397" s="28"/>
      <c r="T397" s="28" t="s">
        <v>40</v>
      </c>
      <c r="U397" s="28" t="s">
        <v>41</v>
      </c>
      <c r="V397" s="28" t="s">
        <v>54</v>
      </c>
      <c r="W397" s="28" t="s">
        <v>1172</v>
      </c>
      <c r="X397" s="28" t="s">
        <v>223</v>
      </c>
      <c r="Y397" s="28">
        <v>5718.0</v>
      </c>
    </row>
    <row r="398" ht="56.25" customHeight="1">
      <c r="A398" s="28" t="s">
        <v>1174</v>
      </c>
      <c r="B398" s="29" t="str">
        <f>IMAGE("https://storage.googleapis.com/acdb/wall-mounted/FtrDoorOrnamentWreathBranch.png")</f>
        <v/>
      </c>
      <c r="C398" s="28" t="s">
        <v>83</v>
      </c>
      <c r="D398" s="28" t="s">
        <v>83</v>
      </c>
      <c r="E398" s="28" t="s">
        <v>83</v>
      </c>
      <c r="F398" s="28" t="s">
        <v>83</v>
      </c>
      <c r="G398" s="28" t="s">
        <v>53</v>
      </c>
      <c r="H398" s="28" t="s">
        <v>40</v>
      </c>
      <c r="I398" s="28" t="s">
        <v>83</v>
      </c>
      <c r="J398" s="28" t="s">
        <v>51</v>
      </c>
      <c r="K398" s="28">
        <v>100.0</v>
      </c>
      <c r="L398" s="28" t="s">
        <v>123</v>
      </c>
      <c r="M398" s="28" t="s">
        <v>55</v>
      </c>
      <c r="N398" s="28"/>
      <c r="O398" s="31" t="s">
        <v>89</v>
      </c>
      <c r="P398" s="28" t="s">
        <v>60</v>
      </c>
      <c r="Q398" s="28"/>
      <c r="R398" s="28"/>
      <c r="S398" s="28"/>
      <c r="T398" s="28" t="s">
        <v>40</v>
      </c>
      <c r="U398" s="28" t="s">
        <v>41</v>
      </c>
      <c r="V398" s="28" t="s">
        <v>54</v>
      </c>
      <c r="W398" s="28" t="s">
        <v>1176</v>
      </c>
      <c r="X398" s="28" t="s">
        <v>83</v>
      </c>
      <c r="Y398" s="28">
        <v>4727.0</v>
      </c>
    </row>
    <row r="399" ht="56.25" customHeight="1">
      <c r="A399" s="28" t="s">
        <v>1177</v>
      </c>
      <c r="B399" s="29" t="str">
        <f>IMAGE("https://storage.googleapis.com/acdb/wall-mounted/FtrNutMobile_Remake_0_0.png")</f>
        <v/>
      </c>
      <c r="C399" s="28" t="s">
        <v>118</v>
      </c>
      <c r="D399" s="30" t="s">
        <v>1180</v>
      </c>
      <c r="E399" s="28" t="s">
        <v>83</v>
      </c>
      <c r="F399" s="30" t="s">
        <v>83</v>
      </c>
      <c r="G399" s="28" t="s">
        <v>53</v>
      </c>
      <c r="H399" s="28" t="s">
        <v>53</v>
      </c>
      <c r="I399" s="28">
        <v>3.0</v>
      </c>
      <c r="J399" s="28" t="s">
        <v>51</v>
      </c>
      <c r="K399" s="28">
        <v>2030.0</v>
      </c>
      <c r="L399" s="28" t="s">
        <v>251</v>
      </c>
      <c r="M399" s="28" t="s">
        <v>55</v>
      </c>
      <c r="N399" s="28" t="s">
        <v>1181</v>
      </c>
      <c r="O399" s="31" t="s">
        <v>89</v>
      </c>
      <c r="P399" s="28" t="s">
        <v>36</v>
      </c>
      <c r="Q399" s="28"/>
      <c r="R399" s="28"/>
      <c r="S399" s="28"/>
      <c r="T399" s="28" t="s">
        <v>53</v>
      </c>
      <c r="U399" s="28" t="s">
        <v>41</v>
      </c>
      <c r="V399" s="28" t="s">
        <v>54</v>
      </c>
      <c r="W399" s="28" t="s">
        <v>1182</v>
      </c>
      <c r="X399" s="28" t="s">
        <v>92</v>
      </c>
      <c r="Y399" s="28">
        <v>6075.0</v>
      </c>
    </row>
    <row r="400" ht="56.25" customHeight="1">
      <c r="A400" s="28" t="s">
        <v>1177</v>
      </c>
      <c r="B400" s="29" t="str">
        <f>IMAGE("https://storage.googleapis.com/acdb/wall-mounted/FtrNutMobile_Remake_1_0.png")</f>
        <v/>
      </c>
      <c r="C400" s="28" t="s">
        <v>82</v>
      </c>
      <c r="D400" s="30" t="s">
        <v>1180</v>
      </c>
      <c r="E400" s="28" t="s">
        <v>83</v>
      </c>
      <c r="F400" s="30" t="s">
        <v>83</v>
      </c>
      <c r="G400" s="28" t="s">
        <v>53</v>
      </c>
      <c r="H400" s="28" t="s">
        <v>53</v>
      </c>
      <c r="I400" s="28">
        <v>3.0</v>
      </c>
      <c r="J400" s="28" t="s">
        <v>51</v>
      </c>
      <c r="K400" s="28">
        <v>2030.0</v>
      </c>
      <c r="L400" s="28" t="s">
        <v>251</v>
      </c>
      <c r="M400" s="28" t="s">
        <v>55</v>
      </c>
      <c r="N400" s="28" t="s">
        <v>1181</v>
      </c>
      <c r="O400" s="31" t="s">
        <v>89</v>
      </c>
      <c r="P400" s="28" t="s">
        <v>36</v>
      </c>
      <c r="Q400" s="28"/>
      <c r="R400" s="28"/>
      <c r="S400" s="28"/>
      <c r="T400" s="28" t="s">
        <v>53</v>
      </c>
      <c r="U400" s="28" t="s">
        <v>41</v>
      </c>
      <c r="V400" s="28" t="s">
        <v>54</v>
      </c>
      <c r="W400" s="28" t="s">
        <v>1185</v>
      </c>
      <c r="X400" s="28" t="s">
        <v>97</v>
      </c>
      <c r="Y400" s="28">
        <v>6075.0</v>
      </c>
    </row>
    <row r="401" ht="56.25" customHeight="1">
      <c r="A401" s="28" t="s">
        <v>1186</v>
      </c>
      <c r="B401" s="29" t="str">
        <f>IMAGE("https://storage.googleapis.com/acdb/wall-mounted/FtrDoorOrnamentWreathTulip.png")</f>
        <v/>
      </c>
      <c r="C401" s="28" t="s">
        <v>83</v>
      </c>
      <c r="D401" s="28" t="s">
        <v>83</v>
      </c>
      <c r="E401" s="28" t="s">
        <v>83</v>
      </c>
      <c r="F401" s="28" t="s">
        <v>83</v>
      </c>
      <c r="G401" s="28" t="s">
        <v>53</v>
      </c>
      <c r="H401" s="28" t="s">
        <v>40</v>
      </c>
      <c r="I401" s="28" t="s">
        <v>83</v>
      </c>
      <c r="J401" s="28" t="s">
        <v>51</v>
      </c>
      <c r="K401" s="28">
        <v>720.0</v>
      </c>
      <c r="L401" s="28" t="s">
        <v>123</v>
      </c>
      <c r="M401" s="28" t="s">
        <v>55</v>
      </c>
      <c r="N401" s="28"/>
      <c r="O401" s="31" t="s">
        <v>89</v>
      </c>
      <c r="P401" s="28" t="s">
        <v>36</v>
      </c>
      <c r="Q401" s="28"/>
      <c r="R401" s="28"/>
      <c r="S401" s="28"/>
      <c r="T401" s="28" t="s">
        <v>40</v>
      </c>
      <c r="U401" s="28" t="s">
        <v>41</v>
      </c>
      <c r="V401" s="28" t="s">
        <v>54</v>
      </c>
      <c r="W401" s="28" t="s">
        <v>1187</v>
      </c>
      <c r="X401" s="28" t="s">
        <v>83</v>
      </c>
      <c r="Y401" s="28">
        <v>5670.0</v>
      </c>
    </row>
    <row r="402" ht="56.25" customHeight="1">
      <c r="A402" s="28" t="s">
        <v>1188</v>
      </c>
      <c r="B402" s="29" t="str">
        <f>IMAGE("https://storage.googleapis.com/acdb/wall-mounted/FtrExtractorfan_Remake_0_0.png")</f>
        <v/>
      </c>
      <c r="C402" s="28" t="s">
        <v>82</v>
      </c>
      <c r="D402" s="30" t="s">
        <v>83</v>
      </c>
      <c r="E402" s="28" t="s">
        <v>83</v>
      </c>
      <c r="F402" s="30" t="s">
        <v>83</v>
      </c>
      <c r="G402" s="28" t="s">
        <v>40</v>
      </c>
      <c r="H402" s="28" t="s">
        <v>40</v>
      </c>
      <c r="I402" s="28" t="s">
        <v>83</v>
      </c>
      <c r="J402" s="28">
        <v>1200.0</v>
      </c>
      <c r="K402" s="28">
        <v>300.0</v>
      </c>
      <c r="L402" s="28" t="s">
        <v>123</v>
      </c>
      <c r="M402" s="28" t="s">
        <v>44</v>
      </c>
      <c r="N402" s="28" t="s">
        <v>63</v>
      </c>
      <c r="O402" s="31" t="s">
        <v>89</v>
      </c>
      <c r="P402" s="28" t="s">
        <v>86</v>
      </c>
      <c r="Q402" s="28" t="s">
        <v>37</v>
      </c>
      <c r="R402" s="28"/>
      <c r="S402" s="28"/>
      <c r="T402" s="28" t="s">
        <v>53</v>
      </c>
      <c r="U402" s="28" t="s">
        <v>41</v>
      </c>
      <c r="V402" s="28" t="s">
        <v>43</v>
      </c>
      <c r="W402" s="28" t="s">
        <v>1191</v>
      </c>
      <c r="X402" s="28" t="s">
        <v>92</v>
      </c>
      <c r="Y402" s="28">
        <v>957.0</v>
      </c>
    </row>
    <row r="403" ht="56.25" customHeight="1">
      <c r="A403" s="28" t="s">
        <v>1188</v>
      </c>
      <c r="B403" s="29" t="str">
        <f>IMAGE("https://storage.googleapis.com/acdb/wall-mounted/FtrExtractorfan_Remake_1_0.png")</f>
        <v/>
      </c>
      <c r="C403" s="28" t="s">
        <v>107</v>
      </c>
      <c r="D403" s="30" t="s">
        <v>83</v>
      </c>
      <c r="E403" s="28" t="s">
        <v>83</v>
      </c>
      <c r="F403" s="30" t="s">
        <v>83</v>
      </c>
      <c r="G403" s="28" t="s">
        <v>40</v>
      </c>
      <c r="H403" s="28" t="s">
        <v>40</v>
      </c>
      <c r="I403" s="28" t="s">
        <v>83</v>
      </c>
      <c r="J403" s="28">
        <v>1200.0</v>
      </c>
      <c r="K403" s="28">
        <v>300.0</v>
      </c>
      <c r="L403" s="28" t="s">
        <v>123</v>
      </c>
      <c r="M403" s="28" t="s">
        <v>44</v>
      </c>
      <c r="N403" s="28" t="s">
        <v>63</v>
      </c>
      <c r="O403" s="31" t="s">
        <v>89</v>
      </c>
      <c r="P403" s="28" t="s">
        <v>86</v>
      </c>
      <c r="Q403" s="28" t="s">
        <v>37</v>
      </c>
      <c r="R403" s="28"/>
      <c r="S403" s="28"/>
      <c r="T403" s="28" t="s">
        <v>53</v>
      </c>
      <c r="U403" s="28" t="s">
        <v>41</v>
      </c>
      <c r="V403" s="28" t="s">
        <v>43</v>
      </c>
      <c r="W403" s="28" t="s">
        <v>1192</v>
      </c>
      <c r="X403" s="28" t="s">
        <v>97</v>
      </c>
      <c r="Y403" s="28">
        <v>957.0</v>
      </c>
    </row>
    <row r="404" ht="56.25" customHeight="1">
      <c r="A404" s="28" t="s">
        <v>1188</v>
      </c>
      <c r="B404" s="29" t="str">
        <f>IMAGE("https://storage.googleapis.com/acdb/wall-mounted/FtrExtractorfan_Remake_2_0.png")</f>
        <v/>
      </c>
      <c r="C404" s="28" t="s">
        <v>112</v>
      </c>
      <c r="D404" s="30" t="s">
        <v>83</v>
      </c>
      <c r="E404" s="28" t="s">
        <v>83</v>
      </c>
      <c r="F404" s="30" t="s">
        <v>83</v>
      </c>
      <c r="G404" s="28" t="s">
        <v>40</v>
      </c>
      <c r="H404" s="28" t="s">
        <v>40</v>
      </c>
      <c r="I404" s="28" t="s">
        <v>83</v>
      </c>
      <c r="J404" s="28">
        <v>1200.0</v>
      </c>
      <c r="K404" s="28">
        <v>300.0</v>
      </c>
      <c r="L404" s="28" t="s">
        <v>123</v>
      </c>
      <c r="M404" s="28" t="s">
        <v>44</v>
      </c>
      <c r="N404" s="28" t="s">
        <v>63</v>
      </c>
      <c r="O404" s="31" t="s">
        <v>89</v>
      </c>
      <c r="P404" s="28" t="s">
        <v>86</v>
      </c>
      <c r="Q404" s="28" t="s">
        <v>37</v>
      </c>
      <c r="R404" s="28"/>
      <c r="S404" s="28"/>
      <c r="T404" s="28" t="s">
        <v>53</v>
      </c>
      <c r="U404" s="28" t="s">
        <v>41</v>
      </c>
      <c r="V404" s="28" t="s">
        <v>43</v>
      </c>
      <c r="W404" s="28" t="s">
        <v>1194</v>
      </c>
      <c r="X404" s="28" t="s">
        <v>103</v>
      </c>
      <c r="Y404" s="28">
        <v>957.0</v>
      </c>
    </row>
    <row r="405" ht="56.25" customHeight="1">
      <c r="A405" s="28" t="s">
        <v>1188</v>
      </c>
      <c r="B405" s="29" t="str">
        <f>IMAGE("https://storage.googleapis.com/acdb/wall-mounted/FtrExtractorfan_Remake_3_0.png")</f>
        <v/>
      </c>
      <c r="C405" s="28" t="s">
        <v>369</v>
      </c>
      <c r="D405" s="30" t="s">
        <v>83</v>
      </c>
      <c r="E405" s="28" t="s">
        <v>83</v>
      </c>
      <c r="F405" s="30" t="s">
        <v>83</v>
      </c>
      <c r="G405" s="28" t="s">
        <v>40</v>
      </c>
      <c r="H405" s="28" t="s">
        <v>40</v>
      </c>
      <c r="I405" s="28" t="s">
        <v>83</v>
      </c>
      <c r="J405" s="28">
        <v>1200.0</v>
      </c>
      <c r="K405" s="28">
        <v>300.0</v>
      </c>
      <c r="L405" s="28" t="s">
        <v>123</v>
      </c>
      <c r="M405" s="28" t="s">
        <v>44</v>
      </c>
      <c r="N405" s="28" t="s">
        <v>63</v>
      </c>
      <c r="O405" s="31" t="s">
        <v>89</v>
      </c>
      <c r="P405" s="28" t="s">
        <v>86</v>
      </c>
      <c r="Q405" s="28" t="s">
        <v>37</v>
      </c>
      <c r="R405" s="28"/>
      <c r="S405" s="28"/>
      <c r="T405" s="28" t="s">
        <v>53</v>
      </c>
      <c r="U405" s="28" t="s">
        <v>41</v>
      </c>
      <c r="V405" s="28" t="s">
        <v>43</v>
      </c>
      <c r="W405" s="28" t="s">
        <v>1196</v>
      </c>
      <c r="X405" s="28" t="s">
        <v>110</v>
      </c>
      <c r="Y405" s="28">
        <v>957.0</v>
      </c>
    </row>
    <row r="406" ht="56.25" customHeight="1">
      <c r="A406" s="28" t="s">
        <v>1188</v>
      </c>
      <c r="B406" s="29" t="str">
        <f>IMAGE("https://storage.googleapis.com/acdb/wall-mounted/FtrExtractorfan_Remake_4_0.png")</f>
        <v/>
      </c>
      <c r="C406" s="28" t="s">
        <v>521</v>
      </c>
      <c r="D406" s="30" t="s">
        <v>83</v>
      </c>
      <c r="E406" s="28" t="s">
        <v>83</v>
      </c>
      <c r="F406" s="30" t="s">
        <v>83</v>
      </c>
      <c r="G406" s="28" t="s">
        <v>40</v>
      </c>
      <c r="H406" s="28" t="s">
        <v>40</v>
      </c>
      <c r="I406" s="28" t="s">
        <v>83</v>
      </c>
      <c r="J406" s="28">
        <v>1200.0</v>
      </c>
      <c r="K406" s="28">
        <v>300.0</v>
      </c>
      <c r="L406" s="28" t="s">
        <v>123</v>
      </c>
      <c r="M406" s="28" t="s">
        <v>44</v>
      </c>
      <c r="N406" s="28" t="s">
        <v>63</v>
      </c>
      <c r="O406" s="31" t="s">
        <v>89</v>
      </c>
      <c r="P406" s="28" t="s">
        <v>86</v>
      </c>
      <c r="Q406" s="28" t="s">
        <v>37</v>
      </c>
      <c r="R406" s="28"/>
      <c r="S406" s="28"/>
      <c r="T406" s="28" t="s">
        <v>53</v>
      </c>
      <c r="U406" s="28" t="s">
        <v>41</v>
      </c>
      <c r="V406" s="28" t="s">
        <v>43</v>
      </c>
      <c r="W406" s="28" t="s">
        <v>1198</v>
      </c>
      <c r="X406" s="28" t="s">
        <v>115</v>
      </c>
      <c r="Y406" s="28">
        <v>957.0</v>
      </c>
    </row>
    <row r="407" ht="56.25" customHeight="1">
      <c r="A407" s="28" t="s">
        <v>1199</v>
      </c>
      <c r="B407" s="29" t="str">
        <f>IMAGE("https://storage.googleapis.com/acdb/wall-mounted/FtrOfficeClock_Remake_0_0.png")</f>
        <v/>
      </c>
      <c r="C407" s="28" t="s">
        <v>182</v>
      </c>
      <c r="D407" s="30" t="s">
        <v>83</v>
      </c>
      <c r="E407" s="28" t="s">
        <v>83</v>
      </c>
      <c r="F407" s="30" t="s">
        <v>83</v>
      </c>
      <c r="G407" s="28" t="s">
        <v>40</v>
      </c>
      <c r="H407" s="28" t="s">
        <v>40</v>
      </c>
      <c r="I407" s="28" t="s">
        <v>83</v>
      </c>
      <c r="J407" s="28">
        <v>690.0</v>
      </c>
      <c r="K407" s="28">
        <v>172.0</v>
      </c>
      <c r="L407" s="28" t="s">
        <v>123</v>
      </c>
      <c r="M407" s="28" t="s">
        <v>44</v>
      </c>
      <c r="N407" s="28" t="s">
        <v>63</v>
      </c>
      <c r="O407" s="31" t="s">
        <v>89</v>
      </c>
      <c r="P407" s="28" t="s">
        <v>61</v>
      </c>
      <c r="Q407" s="28" t="s">
        <v>80</v>
      </c>
      <c r="R407" s="28"/>
      <c r="S407" s="28"/>
      <c r="T407" s="28" t="s">
        <v>53</v>
      </c>
      <c r="U407" s="28" t="s">
        <v>41</v>
      </c>
      <c r="V407" s="28" t="s">
        <v>43</v>
      </c>
      <c r="W407" s="28" t="s">
        <v>1201</v>
      </c>
      <c r="X407" s="28" t="s">
        <v>92</v>
      </c>
      <c r="Y407" s="28">
        <v>1744.0</v>
      </c>
    </row>
    <row r="408" ht="56.25" customHeight="1">
      <c r="A408" s="28" t="s">
        <v>1199</v>
      </c>
      <c r="B408" s="29" t="str">
        <f>IMAGE("https://storage.googleapis.com/acdb/wall-mounted/FtrOfficeClock_Remake_1_0.png")</f>
        <v/>
      </c>
      <c r="C408" s="28" t="s">
        <v>82</v>
      </c>
      <c r="D408" s="30" t="s">
        <v>83</v>
      </c>
      <c r="E408" s="28" t="s">
        <v>83</v>
      </c>
      <c r="F408" s="30" t="s">
        <v>83</v>
      </c>
      <c r="G408" s="28" t="s">
        <v>40</v>
      </c>
      <c r="H408" s="28" t="s">
        <v>40</v>
      </c>
      <c r="I408" s="28" t="s">
        <v>83</v>
      </c>
      <c r="J408" s="28">
        <v>690.0</v>
      </c>
      <c r="K408" s="28">
        <v>172.0</v>
      </c>
      <c r="L408" s="28" t="s">
        <v>123</v>
      </c>
      <c r="M408" s="28" t="s">
        <v>44</v>
      </c>
      <c r="N408" s="28" t="s">
        <v>63</v>
      </c>
      <c r="O408" s="31" t="s">
        <v>89</v>
      </c>
      <c r="P408" s="28" t="s">
        <v>61</v>
      </c>
      <c r="Q408" s="28" t="s">
        <v>80</v>
      </c>
      <c r="R408" s="28"/>
      <c r="S408" s="28"/>
      <c r="T408" s="28" t="s">
        <v>53</v>
      </c>
      <c r="U408" s="28" t="s">
        <v>41</v>
      </c>
      <c r="V408" s="28" t="s">
        <v>43</v>
      </c>
      <c r="W408" s="28" t="s">
        <v>1203</v>
      </c>
      <c r="X408" s="28" t="s">
        <v>97</v>
      </c>
      <c r="Y408" s="28">
        <v>1744.0</v>
      </c>
    </row>
    <row r="409" ht="56.25" customHeight="1">
      <c r="A409" s="28" t="s">
        <v>1199</v>
      </c>
      <c r="B409" s="29" t="str">
        <f>IMAGE("https://storage.googleapis.com/acdb/wall-mounted/FtrOfficeClock_Remake_2_0.png")</f>
        <v/>
      </c>
      <c r="C409" s="28" t="s">
        <v>99</v>
      </c>
      <c r="D409" s="30" t="s">
        <v>83</v>
      </c>
      <c r="E409" s="28" t="s">
        <v>83</v>
      </c>
      <c r="F409" s="30" t="s">
        <v>83</v>
      </c>
      <c r="G409" s="28" t="s">
        <v>40</v>
      </c>
      <c r="H409" s="28" t="s">
        <v>40</v>
      </c>
      <c r="I409" s="28" t="s">
        <v>83</v>
      </c>
      <c r="J409" s="28">
        <v>690.0</v>
      </c>
      <c r="K409" s="28">
        <v>172.0</v>
      </c>
      <c r="L409" s="28" t="s">
        <v>123</v>
      </c>
      <c r="M409" s="28" t="s">
        <v>44</v>
      </c>
      <c r="N409" s="28" t="s">
        <v>63</v>
      </c>
      <c r="O409" s="31" t="s">
        <v>89</v>
      </c>
      <c r="P409" s="28" t="s">
        <v>61</v>
      </c>
      <c r="Q409" s="28" t="s">
        <v>80</v>
      </c>
      <c r="R409" s="28"/>
      <c r="S409" s="28"/>
      <c r="T409" s="28" t="s">
        <v>53</v>
      </c>
      <c r="U409" s="28" t="s">
        <v>41</v>
      </c>
      <c r="V409" s="28" t="s">
        <v>43</v>
      </c>
      <c r="W409" s="28" t="s">
        <v>1205</v>
      </c>
      <c r="X409" s="28" t="s">
        <v>103</v>
      </c>
      <c r="Y409" s="28">
        <v>1744.0</v>
      </c>
    </row>
    <row r="410" ht="56.25" customHeight="1">
      <c r="A410" s="28" t="s">
        <v>1199</v>
      </c>
      <c r="B410" s="29" t="str">
        <f>IMAGE("https://storage.googleapis.com/acdb/wall-mounted/FtrOfficeClock_Remake_3_0.png")</f>
        <v/>
      </c>
      <c r="C410" s="28" t="s">
        <v>208</v>
      </c>
      <c r="D410" s="30" t="s">
        <v>83</v>
      </c>
      <c r="E410" s="28" t="s">
        <v>83</v>
      </c>
      <c r="F410" s="30" t="s">
        <v>83</v>
      </c>
      <c r="G410" s="28" t="s">
        <v>40</v>
      </c>
      <c r="H410" s="28" t="s">
        <v>40</v>
      </c>
      <c r="I410" s="28" t="s">
        <v>83</v>
      </c>
      <c r="J410" s="28">
        <v>690.0</v>
      </c>
      <c r="K410" s="28">
        <v>172.0</v>
      </c>
      <c r="L410" s="28" t="s">
        <v>123</v>
      </c>
      <c r="M410" s="28" t="s">
        <v>44</v>
      </c>
      <c r="N410" s="28" t="s">
        <v>63</v>
      </c>
      <c r="O410" s="31" t="s">
        <v>89</v>
      </c>
      <c r="P410" s="28" t="s">
        <v>61</v>
      </c>
      <c r="Q410" s="28" t="s">
        <v>80</v>
      </c>
      <c r="R410" s="28"/>
      <c r="S410" s="28"/>
      <c r="T410" s="28" t="s">
        <v>53</v>
      </c>
      <c r="U410" s="28" t="s">
        <v>41</v>
      </c>
      <c r="V410" s="28" t="s">
        <v>43</v>
      </c>
      <c r="W410" s="28" t="s">
        <v>1207</v>
      </c>
      <c r="X410" s="28" t="s">
        <v>110</v>
      </c>
      <c r="Y410" s="28">
        <v>1744.0</v>
      </c>
    </row>
    <row r="411" ht="56.25" customHeight="1">
      <c r="A411" s="28" t="s">
        <v>1199</v>
      </c>
      <c r="B411" s="29" t="str">
        <f>IMAGE("https://storage.googleapis.com/acdb/wall-mounted/FtrOfficeClock_Remake_4_0.png")</f>
        <v/>
      </c>
      <c r="C411" s="28" t="s">
        <v>112</v>
      </c>
      <c r="D411" s="30" t="s">
        <v>83</v>
      </c>
      <c r="E411" s="28" t="s">
        <v>83</v>
      </c>
      <c r="F411" s="30" t="s">
        <v>83</v>
      </c>
      <c r="G411" s="28" t="s">
        <v>40</v>
      </c>
      <c r="H411" s="28" t="s">
        <v>40</v>
      </c>
      <c r="I411" s="28" t="s">
        <v>83</v>
      </c>
      <c r="J411" s="28">
        <v>690.0</v>
      </c>
      <c r="K411" s="28">
        <v>172.0</v>
      </c>
      <c r="L411" s="28" t="s">
        <v>123</v>
      </c>
      <c r="M411" s="28" t="s">
        <v>44</v>
      </c>
      <c r="N411" s="28" t="s">
        <v>63</v>
      </c>
      <c r="O411" s="31" t="s">
        <v>89</v>
      </c>
      <c r="P411" s="28" t="s">
        <v>61</v>
      </c>
      <c r="Q411" s="28" t="s">
        <v>80</v>
      </c>
      <c r="R411" s="28"/>
      <c r="S411" s="28"/>
      <c r="T411" s="28" t="s">
        <v>53</v>
      </c>
      <c r="U411" s="28" t="s">
        <v>41</v>
      </c>
      <c r="V411" s="28" t="s">
        <v>43</v>
      </c>
      <c r="W411" s="28" t="s">
        <v>1209</v>
      </c>
      <c r="X411" s="28" t="s">
        <v>115</v>
      </c>
      <c r="Y411" s="28">
        <v>1744.0</v>
      </c>
    </row>
    <row r="412" ht="56.25" customHeight="1">
      <c r="A412" s="28" t="s">
        <v>1210</v>
      </c>
      <c r="B412" s="29" t="str">
        <f>IMAGE("https://storage.googleapis.com/acdb/wall-mounted/FtrFanRetroWall_Remake_0_0.png")</f>
        <v/>
      </c>
      <c r="C412" s="28" t="s">
        <v>369</v>
      </c>
      <c r="D412" s="30" t="s">
        <v>83</v>
      </c>
      <c r="E412" s="28" t="s">
        <v>83</v>
      </c>
      <c r="F412" s="30" t="s">
        <v>83</v>
      </c>
      <c r="G412" s="28" t="s">
        <v>40</v>
      </c>
      <c r="H412" s="28" t="s">
        <v>40</v>
      </c>
      <c r="I412" s="28" t="s">
        <v>83</v>
      </c>
      <c r="J412" s="28">
        <v>1400.0</v>
      </c>
      <c r="K412" s="28">
        <v>350.0</v>
      </c>
      <c r="L412" s="28" t="s">
        <v>123</v>
      </c>
      <c r="M412" s="28" t="s">
        <v>44</v>
      </c>
      <c r="N412" s="28" t="s">
        <v>68</v>
      </c>
      <c r="O412" s="31" t="s">
        <v>89</v>
      </c>
      <c r="P412" s="28" t="s">
        <v>61</v>
      </c>
      <c r="Q412" s="28" t="s">
        <v>80</v>
      </c>
      <c r="R412" s="28"/>
      <c r="S412" s="28"/>
      <c r="T412" s="28" t="s">
        <v>53</v>
      </c>
      <c r="U412" s="28" t="s">
        <v>41</v>
      </c>
      <c r="V412" s="28" t="s">
        <v>43</v>
      </c>
      <c r="W412" s="28" t="s">
        <v>1212</v>
      </c>
      <c r="X412" s="28" t="s">
        <v>92</v>
      </c>
      <c r="Y412" s="28">
        <v>3431.0</v>
      </c>
    </row>
    <row r="413" ht="56.25" customHeight="1">
      <c r="A413" s="28" t="s">
        <v>1210</v>
      </c>
      <c r="B413" s="29" t="str">
        <f>IMAGE("https://storage.googleapis.com/acdb/wall-mounted/FtrFanRetroWall_Remake_1_0.png")</f>
        <v/>
      </c>
      <c r="C413" s="28" t="s">
        <v>112</v>
      </c>
      <c r="D413" s="30" t="s">
        <v>83</v>
      </c>
      <c r="E413" s="28" t="s">
        <v>83</v>
      </c>
      <c r="F413" s="30" t="s">
        <v>83</v>
      </c>
      <c r="G413" s="28" t="s">
        <v>40</v>
      </c>
      <c r="H413" s="28" t="s">
        <v>40</v>
      </c>
      <c r="I413" s="28" t="s">
        <v>83</v>
      </c>
      <c r="J413" s="28">
        <v>1400.0</v>
      </c>
      <c r="K413" s="34">
        <v>350.0</v>
      </c>
      <c r="L413" s="28" t="s">
        <v>123</v>
      </c>
      <c r="M413" s="28" t="s">
        <v>44</v>
      </c>
      <c r="N413" s="28" t="s">
        <v>68</v>
      </c>
      <c r="O413" s="31" t="s">
        <v>89</v>
      </c>
      <c r="P413" s="28" t="s">
        <v>61</v>
      </c>
      <c r="Q413" s="28" t="s">
        <v>80</v>
      </c>
      <c r="R413" s="28"/>
      <c r="S413" s="28"/>
      <c r="T413" s="28" t="s">
        <v>53</v>
      </c>
      <c r="U413" s="28" t="s">
        <v>41</v>
      </c>
      <c r="V413" s="28" t="s">
        <v>43</v>
      </c>
      <c r="W413" s="28" t="s">
        <v>1215</v>
      </c>
      <c r="X413" s="28" t="s">
        <v>97</v>
      </c>
      <c r="Y413" s="28">
        <v>3431.0</v>
      </c>
    </row>
    <row r="414" ht="56.25" customHeight="1">
      <c r="A414" s="28" t="s">
        <v>1210</v>
      </c>
      <c r="B414" s="29" t="str">
        <f>IMAGE("https://storage.googleapis.com/acdb/wall-mounted/FtrFanRetroWall_Remake_2_0.png")</f>
        <v/>
      </c>
      <c r="C414" s="28" t="s">
        <v>208</v>
      </c>
      <c r="D414" s="30" t="s">
        <v>83</v>
      </c>
      <c r="E414" s="28" t="s">
        <v>83</v>
      </c>
      <c r="F414" s="30" t="s">
        <v>83</v>
      </c>
      <c r="G414" s="28" t="s">
        <v>40</v>
      </c>
      <c r="H414" s="28" t="s">
        <v>40</v>
      </c>
      <c r="I414" s="28" t="s">
        <v>83</v>
      </c>
      <c r="J414" s="28">
        <v>1400.0</v>
      </c>
      <c r="K414" s="28">
        <v>350.0</v>
      </c>
      <c r="L414" s="28" t="s">
        <v>123</v>
      </c>
      <c r="M414" s="28" t="s">
        <v>44</v>
      </c>
      <c r="N414" s="28" t="s">
        <v>68</v>
      </c>
      <c r="O414" s="31" t="s">
        <v>89</v>
      </c>
      <c r="P414" s="28" t="s">
        <v>61</v>
      </c>
      <c r="Q414" s="28" t="s">
        <v>80</v>
      </c>
      <c r="R414" s="28"/>
      <c r="S414" s="28"/>
      <c r="T414" s="28" t="s">
        <v>53</v>
      </c>
      <c r="U414" s="28" t="s">
        <v>41</v>
      </c>
      <c r="V414" s="28" t="s">
        <v>43</v>
      </c>
      <c r="W414" s="28" t="s">
        <v>1216</v>
      </c>
      <c r="X414" s="28" t="s">
        <v>103</v>
      </c>
      <c r="Y414" s="28">
        <v>3431.0</v>
      </c>
    </row>
    <row r="415" ht="56.25" customHeight="1">
      <c r="A415" s="28" t="s">
        <v>1210</v>
      </c>
      <c r="B415" s="29" t="str">
        <f>IMAGE("https://storage.googleapis.com/acdb/wall-mounted/FtrFanRetroWall_Remake_3_0.png")</f>
        <v/>
      </c>
      <c r="C415" s="28" t="s">
        <v>211</v>
      </c>
      <c r="D415" s="30" t="s">
        <v>83</v>
      </c>
      <c r="E415" s="28" t="s">
        <v>83</v>
      </c>
      <c r="F415" s="30" t="s">
        <v>83</v>
      </c>
      <c r="G415" s="28" t="s">
        <v>40</v>
      </c>
      <c r="H415" s="28" t="s">
        <v>40</v>
      </c>
      <c r="I415" s="28" t="s">
        <v>83</v>
      </c>
      <c r="J415" s="28">
        <v>1400.0</v>
      </c>
      <c r="K415" s="28">
        <v>350.0</v>
      </c>
      <c r="L415" s="28" t="s">
        <v>123</v>
      </c>
      <c r="M415" s="28" t="s">
        <v>44</v>
      </c>
      <c r="N415" s="28" t="s">
        <v>68</v>
      </c>
      <c r="O415" s="31" t="s">
        <v>89</v>
      </c>
      <c r="P415" s="28" t="s">
        <v>61</v>
      </c>
      <c r="Q415" s="28" t="s">
        <v>80</v>
      </c>
      <c r="R415" s="28"/>
      <c r="S415" s="28"/>
      <c r="T415" s="28" t="s">
        <v>53</v>
      </c>
      <c r="U415" s="28" t="s">
        <v>41</v>
      </c>
      <c r="V415" s="28" t="s">
        <v>43</v>
      </c>
      <c r="W415" s="28" t="s">
        <v>1219</v>
      </c>
      <c r="X415" s="28" t="s">
        <v>110</v>
      </c>
      <c r="Y415" s="28">
        <v>3431.0</v>
      </c>
    </row>
    <row r="416" ht="56.25" customHeight="1">
      <c r="A416" s="28" t="s">
        <v>1210</v>
      </c>
      <c r="B416" s="29" t="str">
        <f>IMAGE("https://storage.googleapis.com/acdb/wall-mounted/FtrFanRetroWall_Remake_4_0.png")</f>
        <v/>
      </c>
      <c r="C416" s="28" t="s">
        <v>82</v>
      </c>
      <c r="D416" s="30" t="s">
        <v>83</v>
      </c>
      <c r="E416" s="28" t="s">
        <v>83</v>
      </c>
      <c r="F416" s="30" t="s">
        <v>83</v>
      </c>
      <c r="G416" s="28" t="s">
        <v>40</v>
      </c>
      <c r="H416" s="28" t="s">
        <v>40</v>
      </c>
      <c r="I416" s="28" t="s">
        <v>83</v>
      </c>
      <c r="J416" s="28">
        <v>1400.0</v>
      </c>
      <c r="K416" s="28">
        <v>350.0</v>
      </c>
      <c r="L416" s="28" t="s">
        <v>123</v>
      </c>
      <c r="M416" s="28" t="s">
        <v>44</v>
      </c>
      <c r="N416" s="28" t="s">
        <v>68</v>
      </c>
      <c r="O416" s="31" t="s">
        <v>89</v>
      </c>
      <c r="P416" s="28" t="s">
        <v>61</v>
      </c>
      <c r="Q416" s="28" t="s">
        <v>80</v>
      </c>
      <c r="R416" s="28"/>
      <c r="S416" s="28"/>
      <c r="T416" s="28" t="s">
        <v>53</v>
      </c>
      <c r="U416" s="28" t="s">
        <v>41</v>
      </c>
      <c r="V416" s="28" t="s">
        <v>43</v>
      </c>
      <c r="W416" s="28" t="s">
        <v>1220</v>
      </c>
      <c r="X416" s="28" t="s">
        <v>115</v>
      </c>
      <c r="Y416" s="28">
        <v>3431.0</v>
      </c>
    </row>
    <row r="417" ht="56.25" customHeight="1">
      <c r="A417" s="28" t="s">
        <v>1210</v>
      </c>
      <c r="B417" s="29" t="str">
        <f>IMAGE("https://storage.googleapis.com/acdb/wall-mounted/FtrFanRetroWall_Remake_5_0.png")</f>
        <v/>
      </c>
      <c r="C417" s="28" t="s">
        <v>99</v>
      </c>
      <c r="D417" s="30" t="s">
        <v>83</v>
      </c>
      <c r="E417" s="28" t="s">
        <v>83</v>
      </c>
      <c r="F417" s="30" t="s">
        <v>83</v>
      </c>
      <c r="G417" s="28" t="s">
        <v>40</v>
      </c>
      <c r="H417" s="28" t="s">
        <v>40</v>
      </c>
      <c r="I417" s="28" t="s">
        <v>83</v>
      </c>
      <c r="J417" s="28">
        <v>1400.0</v>
      </c>
      <c r="K417" s="28">
        <v>350.0</v>
      </c>
      <c r="L417" s="28" t="s">
        <v>123</v>
      </c>
      <c r="M417" s="28" t="s">
        <v>44</v>
      </c>
      <c r="N417" s="28" t="s">
        <v>68</v>
      </c>
      <c r="O417" s="31" t="s">
        <v>89</v>
      </c>
      <c r="P417" s="28" t="s">
        <v>61</v>
      </c>
      <c r="Q417" s="28" t="s">
        <v>80</v>
      </c>
      <c r="R417" s="28"/>
      <c r="S417" s="28"/>
      <c r="T417" s="28" t="s">
        <v>53</v>
      </c>
      <c r="U417" s="28" t="s">
        <v>41</v>
      </c>
      <c r="V417" s="28" t="s">
        <v>43</v>
      </c>
      <c r="W417" s="28" t="s">
        <v>1222</v>
      </c>
      <c r="X417" s="28" t="s">
        <v>120</v>
      </c>
      <c r="Y417" s="28">
        <v>3431.0</v>
      </c>
    </row>
    <row r="418" ht="56.25" customHeight="1">
      <c r="A418" s="28" t="s">
        <v>1210</v>
      </c>
      <c r="B418" s="29" t="str">
        <f>IMAGE("https://storage.googleapis.com/acdb/wall-mounted/FtrFanRetroWall_Remake_6_0.png")</f>
        <v/>
      </c>
      <c r="C418" s="28" t="s">
        <v>182</v>
      </c>
      <c r="D418" s="30" t="s">
        <v>83</v>
      </c>
      <c r="E418" s="28" t="s">
        <v>83</v>
      </c>
      <c r="F418" s="30" t="s">
        <v>83</v>
      </c>
      <c r="G418" s="34" t="s">
        <v>40</v>
      </c>
      <c r="H418" s="28" t="s">
        <v>40</v>
      </c>
      <c r="I418" s="28" t="s">
        <v>83</v>
      </c>
      <c r="J418" s="28">
        <v>1400.0</v>
      </c>
      <c r="K418" s="28">
        <v>350.0</v>
      </c>
      <c r="L418" s="28" t="s">
        <v>123</v>
      </c>
      <c r="M418" s="28" t="s">
        <v>44</v>
      </c>
      <c r="N418" s="28" t="s">
        <v>68</v>
      </c>
      <c r="O418" s="31" t="s">
        <v>89</v>
      </c>
      <c r="P418" s="28" t="s">
        <v>61</v>
      </c>
      <c r="Q418" s="28" t="s">
        <v>80</v>
      </c>
      <c r="R418" s="28"/>
      <c r="S418" s="28"/>
      <c r="T418" s="28" t="s">
        <v>53</v>
      </c>
      <c r="U418" s="28" t="s">
        <v>41</v>
      </c>
      <c r="V418" s="28" t="s">
        <v>43</v>
      </c>
      <c r="W418" s="28" t="s">
        <v>1224</v>
      </c>
      <c r="X418" s="28" t="s">
        <v>218</v>
      </c>
      <c r="Y418" s="28">
        <v>3431.0</v>
      </c>
    </row>
    <row r="419" ht="56.25" customHeight="1">
      <c r="A419" s="28" t="s">
        <v>1210</v>
      </c>
      <c r="B419" s="29" t="str">
        <f>IMAGE("https://storage.googleapis.com/acdb/wall-mounted/FtrFanRetroWall_Remake_7_0.png")</f>
        <v/>
      </c>
      <c r="C419" s="28" t="s">
        <v>118</v>
      </c>
      <c r="D419" s="30" t="s">
        <v>83</v>
      </c>
      <c r="E419" s="28" t="s">
        <v>83</v>
      </c>
      <c r="F419" s="30" t="s">
        <v>83</v>
      </c>
      <c r="G419" s="28" t="s">
        <v>40</v>
      </c>
      <c r="H419" s="28" t="s">
        <v>40</v>
      </c>
      <c r="I419" s="28" t="s">
        <v>83</v>
      </c>
      <c r="J419" s="28">
        <v>1400.0</v>
      </c>
      <c r="K419" s="28">
        <v>350.0</v>
      </c>
      <c r="L419" s="28" t="s">
        <v>123</v>
      </c>
      <c r="M419" s="28" t="s">
        <v>44</v>
      </c>
      <c r="N419" s="28" t="s">
        <v>68</v>
      </c>
      <c r="O419" s="31" t="s">
        <v>89</v>
      </c>
      <c r="P419" s="28" t="s">
        <v>61</v>
      </c>
      <c r="Q419" s="28" t="s">
        <v>80</v>
      </c>
      <c r="R419" s="28"/>
      <c r="S419" s="28"/>
      <c r="T419" s="28" t="s">
        <v>53</v>
      </c>
      <c r="U419" s="28" t="s">
        <v>41</v>
      </c>
      <c r="V419" s="28" t="s">
        <v>43</v>
      </c>
      <c r="W419" s="28" t="s">
        <v>1226</v>
      </c>
      <c r="X419" s="28" t="s">
        <v>223</v>
      </c>
      <c r="Y419" s="28">
        <v>3431.0</v>
      </c>
    </row>
    <row r="420" ht="56.25" customHeight="1">
      <c r="A420" s="28" t="s">
        <v>1227</v>
      </c>
      <c r="B420" s="29" t="str">
        <f>IMAGE("https://storage.googleapis.com/acdb/wall-mounted/FtrCandleWall_Remake_0_0.png")</f>
        <v/>
      </c>
      <c r="C420" s="28" t="s">
        <v>187</v>
      </c>
      <c r="D420" s="30" t="s">
        <v>83</v>
      </c>
      <c r="E420" s="28" t="s">
        <v>83</v>
      </c>
      <c r="F420" s="30" t="s">
        <v>83</v>
      </c>
      <c r="G420" s="28" t="s">
        <v>40</v>
      </c>
      <c r="H420" s="28" t="s">
        <v>40</v>
      </c>
      <c r="I420" s="28" t="s">
        <v>83</v>
      </c>
      <c r="J420" s="28">
        <v>800.0</v>
      </c>
      <c r="K420" s="28">
        <v>200.0</v>
      </c>
      <c r="L420" s="28" t="s">
        <v>123</v>
      </c>
      <c r="M420" s="28" t="s">
        <v>44</v>
      </c>
      <c r="N420" s="28" t="s">
        <v>63</v>
      </c>
      <c r="O420" s="31" t="s">
        <v>89</v>
      </c>
      <c r="P420" s="28" t="s">
        <v>346</v>
      </c>
      <c r="Q420" s="28"/>
      <c r="R420" s="28"/>
      <c r="S420" s="28"/>
      <c r="T420" s="28" t="s">
        <v>53</v>
      </c>
      <c r="U420" s="28" t="s">
        <v>164</v>
      </c>
      <c r="V420" s="28" t="s">
        <v>43</v>
      </c>
      <c r="W420" s="28" t="s">
        <v>1229</v>
      </c>
      <c r="X420" s="28" t="s">
        <v>92</v>
      </c>
      <c r="Y420" s="28">
        <v>5165.0</v>
      </c>
    </row>
    <row r="421" ht="56.25" customHeight="1">
      <c r="A421" s="28" t="s">
        <v>1227</v>
      </c>
      <c r="B421" s="29" t="str">
        <f>IMAGE("https://storage.googleapis.com/acdb/wall-mounted/FtrCandleWall_Remake_1_0.png")</f>
        <v/>
      </c>
      <c r="C421" s="28" t="s">
        <v>182</v>
      </c>
      <c r="D421" s="30" t="s">
        <v>83</v>
      </c>
      <c r="E421" s="28" t="s">
        <v>83</v>
      </c>
      <c r="F421" s="30" t="s">
        <v>83</v>
      </c>
      <c r="G421" s="28" t="s">
        <v>40</v>
      </c>
      <c r="H421" s="28" t="s">
        <v>40</v>
      </c>
      <c r="I421" s="28" t="s">
        <v>83</v>
      </c>
      <c r="J421" s="28">
        <v>800.0</v>
      </c>
      <c r="K421" s="28">
        <v>200.0</v>
      </c>
      <c r="L421" s="28" t="s">
        <v>123</v>
      </c>
      <c r="M421" s="28" t="s">
        <v>44</v>
      </c>
      <c r="N421" s="28" t="s">
        <v>63</v>
      </c>
      <c r="O421" s="31" t="s">
        <v>89</v>
      </c>
      <c r="P421" s="28" t="s">
        <v>346</v>
      </c>
      <c r="Q421" s="28"/>
      <c r="R421" s="28"/>
      <c r="S421" s="28"/>
      <c r="T421" s="28" t="s">
        <v>53</v>
      </c>
      <c r="U421" s="28" t="s">
        <v>164</v>
      </c>
      <c r="V421" s="28" t="s">
        <v>43</v>
      </c>
      <c r="W421" s="28" t="s">
        <v>1232</v>
      </c>
      <c r="X421" s="28" t="s">
        <v>97</v>
      </c>
      <c r="Y421" s="28">
        <v>5165.0</v>
      </c>
    </row>
    <row r="422" ht="56.25" customHeight="1">
      <c r="A422" s="28" t="s">
        <v>1227</v>
      </c>
      <c r="B422" s="29" t="str">
        <f>IMAGE("https://storage.googleapis.com/acdb/wall-mounted/FtrCandleWall_Remake_2_0.png")</f>
        <v/>
      </c>
      <c r="C422" s="28" t="s">
        <v>190</v>
      </c>
      <c r="D422" s="30" t="s">
        <v>83</v>
      </c>
      <c r="E422" s="28" t="s">
        <v>83</v>
      </c>
      <c r="F422" s="30" t="s">
        <v>83</v>
      </c>
      <c r="G422" s="28" t="s">
        <v>40</v>
      </c>
      <c r="H422" s="28" t="s">
        <v>40</v>
      </c>
      <c r="I422" s="28" t="s">
        <v>83</v>
      </c>
      <c r="J422" s="28">
        <v>800.0</v>
      </c>
      <c r="K422" s="28">
        <v>200.0</v>
      </c>
      <c r="L422" s="28" t="s">
        <v>123</v>
      </c>
      <c r="M422" s="28" t="s">
        <v>44</v>
      </c>
      <c r="N422" s="28" t="s">
        <v>63</v>
      </c>
      <c r="O422" s="31" t="s">
        <v>89</v>
      </c>
      <c r="P422" s="28" t="s">
        <v>346</v>
      </c>
      <c r="Q422" s="28"/>
      <c r="R422" s="28"/>
      <c r="S422" s="28"/>
      <c r="T422" s="28" t="s">
        <v>53</v>
      </c>
      <c r="U422" s="28" t="s">
        <v>164</v>
      </c>
      <c r="V422" s="28" t="s">
        <v>43</v>
      </c>
      <c r="W422" s="28" t="s">
        <v>1233</v>
      </c>
      <c r="X422" s="28" t="s">
        <v>103</v>
      </c>
      <c r="Y422" s="28">
        <v>5165.0</v>
      </c>
    </row>
    <row r="423" ht="56.25" customHeight="1">
      <c r="A423" s="28" t="s">
        <v>1227</v>
      </c>
      <c r="B423" s="29" t="str">
        <f>IMAGE("https://storage.googleapis.com/acdb/wall-mounted/FtrCandleWall_Remake_3_0.png")</f>
        <v/>
      </c>
      <c r="C423" s="28" t="s">
        <v>99</v>
      </c>
      <c r="D423" s="30" t="s">
        <v>83</v>
      </c>
      <c r="E423" s="28" t="s">
        <v>83</v>
      </c>
      <c r="F423" s="30" t="s">
        <v>83</v>
      </c>
      <c r="G423" s="28" t="s">
        <v>40</v>
      </c>
      <c r="H423" s="28" t="s">
        <v>40</v>
      </c>
      <c r="I423" s="28" t="s">
        <v>83</v>
      </c>
      <c r="J423" s="28">
        <v>800.0</v>
      </c>
      <c r="K423" s="28">
        <v>200.0</v>
      </c>
      <c r="L423" s="28" t="s">
        <v>123</v>
      </c>
      <c r="M423" s="28" t="s">
        <v>44</v>
      </c>
      <c r="N423" s="28" t="s">
        <v>63</v>
      </c>
      <c r="O423" s="31" t="s">
        <v>89</v>
      </c>
      <c r="P423" s="28" t="s">
        <v>346</v>
      </c>
      <c r="Q423" s="28"/>
      <c r="R423" s="28"/>
      <c r="S423" s="28"/>
      <c r="T423" s="28" t="s">
        <v>53</v>
      </c>
      <c r="U423" s="28" t="s">
        <v>164</v>
      </c>
      <c r="V423" s="28" t="s">
        <v>43</v>
      </c>
      <c r="W423" s="28" t="s">
        <v>1236</v>
      </c>
      <c r="X423" s="28" t="s">
        <v>110</v>
      </c>
      <c r="Y423" s="28">
        <v>5165.0</v>
      </c>
    </row>
    <row r="424" ht="56.25" customHeight="1">
      <c r="A424" s="28" t="s">
        <v>1227</v>
      </c>
      <c r="B424" s="29" t="str">
        <f>IMAGE("https://storage.googleapis.com/acdb/wall-mounted/FtrCandleWall_Remake_4_0.png")</f>
        <v/>
      </c>
      <c r="C424" s="28" t="s">
        <v>82</v>
      </c>
      <c r="D424" s="30" t="s">
        <v>83</v>
      </c>
      <c r="E424" s="28" t="s">
        <v>83</v>
      </c>
      <c r="F424" s="30" t="s">
        <v>83</v>
      </c>
      <c r="G424" s="28" t="s">
        <v>40</v>
      </c>
      <c r="H424" s="28" t="s">
        <v>40</v>
      </c>
      <c r="I424" s="28" t="s">
        <v>83</v>
      </c>
      <c r="J424" s="28">
        <v>800.0</v>
      </c>
      <c r="K424" s="28">
        <v>200.0</v>
      </c>
      <c r="L424" s="28" t="s">
        <v>123</v>
      </c>
      <c r="M424" s="28" t="s">
        <v>44</v>
      </c>
      <c r="N424" s="28" t="s">
        <v>63</v>
      </c>
      <c r="O424" s="31" t="s">
        <v>89</v>
      </c>
      <c r="P424" s="28" t="s">
        <v>346</v>
      </c>
      <c r="Q424" s="28"/>
      <c r="R424" s="28"/>
      <c r="S424" s="28"/>
      <c r="T424" s="28" t="s">
        <v>53</v>
      </c>
      <c r="U424" s="28" t="s">
        <v>164</v>
      </c>
      <c r="V424" s="28" t="s">
        <v>43</v>
      </c>
      <c r="W424" s="28" t="s">
        <v>1238</v>
      </c>
      <c r="X424" s="28" t="s">
        <v>115</v>
      </c>
      <c r="Y424" s="28">
        <v>5165.0</v>
      </c>
    </row>
    <row r="425" ht="56.25" customHeight="1">
      <c r="A425" s="28" t="s">
        <v>1239</v>
      </c>
      <c r="B425" s="29" t="str">
        <f>IMAGE("https://storage.googleapis.com/acdb/wall-mounted/FtrPhoneWall_Remake_0_0.png")</f>
        <v/>
      </c>
      <c r="C425" s="28" t="s">
        <v>82</v>
      </c>
      <c r="D425" s="30" t="s">
        <v>83</v>
      </c>
      <c r="E425" s="28" t="s">
        <v>83</v>
      </c>
      <c r="F425" s="30" t="s">
        <v>83</v>
      </c>
      <c r="G425" s="28" t="s">
        <v>40</v>
      </c>
      <c r="H425" s="28" t="s">
        <v>40</v>
      </c>
      <c r="I425" s="28" t="s">
        <v>83</v>
      </c>
      <c r="J425" s="28">
        <v>1300.0</v>
      </c>
      <c r="K425" s="28">
        <v>325.0</v>
      </c>
      <c r="L425" s="28" t="s">
        <v>123</v>
      </c>
      <c r="M425" s="28" t="s">
        <v>44</v>
      </c>
      <c r="N425" s="28" t="s">
        <v>68</v>
      </c>
      <c r="O425" s="31" t="s">
        <v>89</v>
      </c>
      <c r="P425" s="28" t="s">
        <v>60</v>
      </c>
      <c r="Q425" s="28"/>
      <c r="R425" s="28"/>
      <c r="S425" s="28"/>
      <c r="T425" s="28" t="s">
        <v>53</v>
      </c>
      <c r="U425" s="28" t="s">
        <v>41</v>
      </c>
      <c r="V425" s="28" t="s">
        <v>43</v>
      </c>
      <c r="W425" s="28" t="s">
        <v>1241</v>
      </c>
      <c r="X425" s="28" t="s">
        <v>92</v>
      </c>
      <c r="Y425" s="28">
        <v>3987.0</v>
      </c>
    </row>
    <row r="426" ht="56.25" customHeight="1">
      <c r="A426" s="28" t="s">
        <v>1239</v>
      </c>
      <c r="B426" s="29" t="str">
        <f>IMAGE("https://storage.googleapis.com/acdb/wall-mounted/FtrPhoneWall_Remake_1_0.png")</f>
        <v/>
      </c>
      <c r="C426" s="28" t="s">
        <v>99</v>
      </c>
      <c r="D426" s="30" t="s">
        <v>83</v>
      </c>
      <c r="E426" s="28" t="s">
        <v>83</v>
      </c>
      <c r="F426" s="30" t="s">
        <v>83</v>
      </c>
      <c r="G426" s="28" t="s">
        <v>40</v>
      </c>
      <c r="H426" s="28" t="s">
        <v>40</v>
      </c>
      <c r="I426" s="28" t="s">
        <v>83</v>
      </c>
      <c r="J426" s="28">
        <v>1300.0</v>
      </c>
      <c r="K426" s="28">
        <v>325.0</v>
      </c>
      <c r="L426" s="28" t="s">
        <v>123</v>
      </c>
      <c r="M426" s="28" t="s">
        <v>44</v>
      </c>
      <c r="N426" s="28" t="s">
        <v>68</v>
      </c>
      <c r="O426" s="31" t="s">
        <v>89</v>
      </c>
      <c r="P426" s="28" t="s">
        <v>60</v>
      </c>
      <c r="Q426" s="28"/>
      <c r="R426" s="28"/>
      <c r="S426" s="28"/>
      <c r="T426" s="28" t="s">
        <v>53</v>
      </c>
      <c r="U426" s="28" t="s">
        <v>41</v>
      </c>
      <c r="V426" s="28" t="s">
        <v>43</v>
      </c>
      <c r="W426" s="28" t="s">
        <v>1243</v>
      </c>
      <c r="X426" s="28" t="s">
        <v>97</v>
      </c>
      <c r="Y426" s="28">
        <v>3987.0</v>
      </c>
    </row>
    <row r="427" ht="56.25" customHeight="1">
      <c r="A427" s="28" t="s">
        <v>1239</v>
      </c>
      <c r="B427" s="29" t="str">
        <f>IMAGE("https://storage.googleapis.com/acdb/wall-mounted/FtrPhoneWall_Remake_2_0.png")</f>
        <v/>
      </c>
      <c r="C427" s="28" t="s">
        <v>182</v>
      </c>
      <c r="D427" s="30" t="s">
        <v>83</v>
      </c>
      <c r="E427" s="28" t="s">
        <v>83</v>
      </c>
      <c r="F427" s="30" t="s">
        <v>83</v>
      </c>
      <c r="G427" s="28" t="s">
        <v>40</v>
      </c>
      <c r="H427" s="28" t="s">
        <v>40</v>
      </c>
      <c r="I427" s="28" t="s">
        <v>83</v>
      </c>
      <c r="J427" s="28">
        <v>1300.0</v>
      </c>
      <c r="K427" s="28">
        <v>325.0</v>
      </c>
      <c r="L427" s="28" t="s">
        <v>123</v>
      </c>
      <c r="M427" s="28" t="s">
        <v>44</v>
      </c>
      <c r="N427" s="28" t="s">
        <v>68</v>
      </c>
      <c r="O427" s="31" t="s">
        <v>89</v>
      </c>
      <c r="P427" s="28" t="s">
        <v>60</v>
      </c>
      <c r="Q427" s="28"/>
      <c r="R427" s="28"/>
      <c r="S427" s="28"/>
      <c r="T427" s="28" t="s">
        <v>53</v>
      </c>
      <c r="U427" s="28" t="s">
        <v>41</v>
      </c>
      <c r="V427" s="28" t="s">
        <v>43</v>
      </c>
      <c r="W427" s="28" t="s">
        <v>1245</v>
      </c>
      <c r="X427" s="28" t="s">
        <v>103</v>
      </c>
      <c r="Y427" s="28">
        <v>3987.0</v>
      </c>
    </row>
    <row r="428" ht="56.25" customHeight="1">
      <c r="A428" s="28" t="s">
        <v>1239</v>
      </c>
      <c r="B428" s="29" t="str">
        <f>IMAGE("https://storage.googleapis.com/acdb/wall-mounted/FtrPhoneWall_Remake_3_0.png")</f>
        <v/>
      </c>
      <c r="C428" s="28" t="s">
        <v>94</v>
      </c>
      <c r="D428" s="30" t="s">
        <v>83</v>
      </c>
      <c r="E428" s="28" t="s">
        <v>83</v>
      </c>
      <c r="F428" s="30" t="s">
        <v>83</v>
      </c>
      <c r="G428" s="28" t="s">
        <v>40</v>
      </c>
      <c r="H428" s="28" t="s">
        <v>40</v>
      </c>
      <c r="I428" s="28" t="s">
        <v>83</v>
      </c>
      <c r="J428" s="28">
        <v>1300.0</v>
      </c>
      <c r="K428" s="28">
        <v>325.0</v>
      </c>
      <c r="L428" s="28" t="s">
        <v>123</v>
      </c>
      <c r="M428" s="28" t="s">
        <v>44</v>
      </c>
      <c r="N428" s="28" t="s">
        <v>68</v>
      </c>
      <c r="O428" s="31" t="s">
        <v>89</v>
      </c>
      <c r="P428" s="28" t="s">
        <v>60</v>
      </c>
      <c r="Q428" s="28"/>
      <c r="R428" s="28"/>
      <c r="S428" s="28"/>
      <c r="T428" s="28" t="s">
        <v>53</v>
      </c>
      <c r="U428" s="28" t="s">
        <v>41</v>
      </c>
      <c r="V428" s="28" t="s">
        <v>43</v>
      </c>
      <c r="W428" s="28" t="s">
        <v>1247</v>
      </c>
      <c r="X428" s="28" t="s">
        <v>110</v>
      </c>
      <c r="Y428" s="28">
        <v>3987.0</v>
      </c>
    </row>
    <row r="429" ht="56.25" customHeight="1">
      <c r="A429" s="28" t="s">
        <v>1239</v>
      </c>
      <c r="B429" s="29" t="str">
        <f>IMAGE("https://storage.googleapis.com/acdb/wall-mounted/FtrPhoneWall_Remake_4_0.png")</f>
        <v/>
      </c>
      <c r="C429" s="28" t="s">
        <v>208</v>
      </c>
      <c r="D429" s="30" t="s">
        <v>83</v>
      </c>
      <c r="E429" s="28" t="s">
        <v>83</v>
      </c>
      <c r="F429" s="30" t="s">
        <v>83</v>
      </c>
      <c r="G429" s="28" t="s">
        <v>40</v>
      </c>
      <c r="H429" s="28" t="s">
        <v>40</v>
      </c>
      <c r="I429" s="28" t="s">
        <v>83</v>
      </c>
      <c r="J429" s="28">
        <v>1300.0</v>
      </c>
      <c r="K429" s="28">
        <v>325.0</v>
      </c>
      <c r="L429" s="28" t="s">
        <v>123</v>
      </c>
      <c r="M429" s="28" t="s">
        <v>44</v>
      </c>
      <c r="N429" s="28" t="s">
        <v>68</v>
      </c>
      <c r="O429" s="31" t="s">
        <v>89</v>
      </c>
      <c r="P429" s="28" t="s">
        <v>60</v>
      </c>
      <c r="Q429" s="28"/>
      <c r="R429" s="28"/>
      <c r="S429" s="28"/>
      <c r="T429" s="28" t="s">
        <v>53</v>
      </c>
      <c r="U429" s="28" t="s">
        <v>41</v>
      </c>
      <c r="V429" s="28" t="s">
        <v>43</v>
      </c>
      <c r="W429" s="28" t="s">
        <v>1249</v>
      </c>
      <c r="X429" s="28" t="s">
        <v>115</v>
      </c>
      <c r="Y429" s="28">
        <v>3987.0</v>
      </c>
    </row>
    <row r="430" ht="56.25" customHeight="1">
      <c r="A430" s="28" t="s">
        <v>1239</v>
      </c>
      <c r="B430" s="29" t="str">
        <f>IMAGE("https://storage.googleapis.com/acdb/wall-mounted/FtrPhoneWall_Remake_5_0.png")</f>
        <v/>
      </c>
      <c r="C430" s="28" t="s">
        <v>112</v>
      </c>
      <c r="D430" s="30" t="s">
        <v>83</v>
      </c>
      <c r="E430" s="28" t="s">
        <v>83</v>
      </c>
      <c r="F430" s="30" t="s">
        <v>83</v>
      </c>
      <c r="G430" s="28" t="s">
        <v>40</v>
      </c>
      <c r="H430" s="28" t="s">
        <v>40</v>
      </c>
      <c r="I430" s="28" t="s">
        <v>83</v>
      </c>
      <c r="J430" s="28">
        <v>1300.0</v>
      </c>
      <c r="K430" s="28">
        <v>325.0</v>
      </c>
      <c r="L430" s="28" t="s">
        <v>123</v>
      </c>
      <c r="M430" s="28" t="s">
        <v>44</v>
      </c>
      <c r="N430" s="28" t="s">
        <v>68</v>
      </c>
      <c r="O430" s="31" t="s">
        <v>89</v>
      </c>
      <c r="P430" s="28" t="s">
        <v>60</v>
      </c>
      <c r="Q430" s="28"/>
      <c r="R430" s="28"/>
      <c r="S430" s="28"/>
      <c r="T430" s="28" t="s">
        <v>53</v>
      </c>
      <c r="U430" s="28" t="s">
        <v>41</v>
      </c>
      <c r="V430" s="28" t="s">
        <v>43</v>
      </c>
      <c r="W430" s="28" t="s">
        <v>1250</v>
      </c>
      <c r="X430" s="28" t="s">
        <v>120</v>
      </c>
      <c r="Y430" s="28">
        <v>3987.0</v>
      </c>
    </row>
    <row r="431" ht="56.25" customHeight="1">
      <c r="A431" s="28" t="s">
        <v>1251</v>
      </c>
      <c r="B431" s="29" t="str">
        <f>IMAGE("https://storage.googleapis.com/acdb/wall-mounted/FtrToolhanger_Remake_0_0.png")</f>
        <v/>
      </c>
      <c r="C431" s="28" t="s">
        <v>82</v>
      </c>
      <c r="D431" s="30" t="s">
        <v>83</v>
      </c>
      <c r="E431" s="28" t="s">
        <v>83</v>
      </c>
      <c r="F431" s="30" t="s">
        <v>83</v>
      </c>
      <c r="G431" s="28" t="s">
        <v>40</v>
      </c>
      <c r="H431" s="28" t="s">
        <v>40</v>
      </c>
      <c r="I431" s="28" t="s">
        <v>83</v>
      </c>
      <c r="J431" s="28">
        <v>1500.0</v>
      </c>
      <c r="K431" s="28">
        <v>375.0</v>
      </c>
      <c r="L431" s="28" t="s">
        <v>88</v>
      </c>
      <c r="M431" s="28" t="s">
        <v>44</v>
      </c>
      <c r="N431" s="28" t="s">
        <v>63</v>
      </c>
      <c r="O431" s="31" t="s">
        <v>89</v>
      </c>
      <c r="P431" s="28" t="s">
        <v>243</v>
      </c>
      <c r="Q431" s="28"/>
      <c r="R431" s="28"/>
      <c r="S431" s="28"/>
      <c r="T431" s="28" t="s">
        <v>40</v>
      </c>
      <c r="U431" s="28" t="s">
        <v>41</v>
      </c>
      <c r="V431" s="28" t="s">
        <v>43</v>
      </c>
      <c r="W431" s="28" t="s">
        <v>1254</v>
      </c>
      <c r="X431" s="28" t="s">
        <v>92</v>
      </c>
      <c r="Y431" s="28">
        <v>8417.0</v>
      </c>
    </row>
    <row r="432" ht="56.25" customHeight="1">
      <c r="A432" s="28" t="s">
        <v>1251</v>
      </c>
      <c r="B432" s="29" t="str">
        <f>IMAGE("https://storage.googleapis.com/acdb/wall-mounted/FtrToolhanger_Remake_1_0.png")</f>
        <v/>
      </c>
      <c r="C432" s="28" t="s">
        <v>1255</v>
      </c>
      <c r="D432" s="30" t="s">
        <v>83</v>
      </c>
      <c r="E432" s="28" t="s">
        <v>83</v>
      </c>
      <c r="F432" s="30" t="s">
        <v>83</v>
      </c>
      <c r="G432" s="28" t="s">
        <v>40</v>
      </c>
      <c r="H432" s="28" t="s">
        <v>40</v>
      </c>
      <c r="I432" s="28" t="s">
        <v>83</v>
      </c>
      <c r="J432" s="28">
        <v>1500.0</v>
      </c>
      <c r="K432" s="28">
        <v>375.0</v>
      </c>
      <c r="L432" s="28" t="s">
        <v>88</v>
      </c>
      <c r="M432" s="28" t="s">
        <v>44</v>
      </c>
      <c r="N432" s="28" t="s">
        <v>63</v>
      </c>
      <c r="O432" s="31" t="s">
        <v>89</v>
      </c>
      <c r="P432" s="28" t="s">
        <v>243</v>
      </c>
      <c r="Q432" s="28"/>
      <c r="R432" s="28"/>
      <c r="S432" s="28"/>
      <c r="T432" s="28" t="s">
        <v>40</v>
      </c>
      <c r="U432" s="28" t="s">
        <v>41</v>
      </c>
      <c r="V432" s="28" t="s">
        <v>43</v>
      </c>
      <c r="W432" s="28" t="s">
        <v>1256</v>
      </c>
      <c r="X432" s="28" t="s">
        <v>97</v>
      </c>
      <c r="Y432" s="28">
        <v>8417.0</v>
      </c>
    </row>
    <row r="433" ht="56.25" customHeight="1">
      <c r="A433" s="28" t="s">
        <v>1251</v>
      </c>
      <c r="B433" s="29" t="str">
        <f>IMAGE("https://storage.googleapis.com/acdb/wall-mounted/FtrToolhanger_Remake_2_0.png")</f>
        <v/>
      </c>
      <c r="C433" s="28" t="s">
        <v>211</v>
      </c>
      <c r="D433" s="30" t="s">
        <v>83</v>
      </c>
      <c r="E433" s="28" t="s">
        <v>83</v>
      </c>
      <c r="F433" s="30" t="s">
        <v>83</v>
      </c>
      <c r="G433" s="28" t="s">
        <v>40</v>
      </c>
      <c r="H433" s="28" t="s">
        <v>40</v>
      </c>
      <c r="I433" s="28" t="s">
        <v>83</v>
      </c>
      <c r="J433" s="28">
        <v>1500.0</v>
      </c>
      <c r="K433" s="28">
        <v>375.0</v>
      </c>
      <c r="L433" s="28" t="s">
        <v>88</v>
      </c>
      <c r="M433" s="28" t="s">
        <v>44</v>
      </c>
      <c r="N433" s="28" t="s">
        <v>63</v>
      </c>
      <c r="O433" s="31" t="s">
        <v>89</v>
      </c>
      <c r="P433" s="28" t="s">
        <v>243</v>
      </c>
      <c r="Q433" s="28"/>
      <c r="R433" s="28"/>
      <c r="S433" s="28"/>
      <c r="T433" s="28" t="s">
        <v>40</v>
      </c>
      <c r="U433" s="28" t="s">
        <v>41</v>
      </c>
      <c r="V433" s="28" t="s">
        <v>43</v>
      </c>
      <c r="W433" s="28" t="s">
        <v>1259</v>
      </c>
      <c r="X433" s="28" t="s">
        <v>103</v>
      </c>
      <c r="Y433" s="28">
        <v>8417.0</v>
      </c>
    </row>
    <row r="434" ht="56.25" customHeight="1">
      <c r="A434" s="28" t="s">
        <v>1251</v>
      </c>
      <c r="B434" s="29" t="str">
        <f>IMAGE("https://storage.googleapis.com/acdb/wall-mounted/FtrToolhanger_Remake_3_0.png")</f>
        <v/>
      </c>
      <c r="C434" s="28" t="s">
        <v>208</v>
      </c>
      <c r="D434" s="30" t="s">
        <v>83</v>
      </c>
      <c r="E434" s="28" t="s">
        <v>83</v>
      </c>
      <c r="F434" s="30" t="s">
        <v>83</v>
      </c>
      <c r="G434" s="28" t="s">
        <v>40</v>
      </c>
      <c r="H434" s="28" t="s">
        <v>40</v>
      </c>
      <c r="I434" s="28" t="s">
        <v>83</v>
      </c>
      <c r="J434" s="28">
        <v>1500.0</v>
      </c>
      <c r="K434" s="28">
        <v>375.0</v>
      </c>
      <c r="L434" s="28" t="s">
        <v>88</v>
      </c>
      <c r="M434" s="28" t="s">
        <v>44</v>
      </c>
      <c r="N434" s="28" t="s">
        <v>63</v>
      </c>
      <c r="O434" s="31" t="s">
        <v>89</v>
      </c>
      <c r="P434" s="28" t="s">
        <v>243</v>
      </c>
      <c r="Q434" s="28"/>
      <c r="R434" s="28"/>
      <c r="S434" s="28"/>
      <c r="T434" s="28" t="s">
        <v>40</v>
      </c>
      <c r="U434" s="28" t="s">
        <v>41</v>
      </c>
      <c r="V434" s="28" t="s">
        <v>43</v>
      </c>
      <c r="W434" s="28" t="s">
        <v>1260</v>
      </c>
      <c r="X434" s="28" t="s">
        <v>110</v>
      </c>
      <c r="Y434" s="28">
        <v>8417.0</v>
      </c>
    </row>
    <row r="435" ht="56.25" customHeight="1">
      <c r="A435" s="28" t="s">
        <v>1251</v>
      </c>
      <c r="B435" s="29" t="str">
        <f>IMAGE("https://storage.googleapis.com/acdb/wall-mounted/FtrToolhanger_Remake_4_0.png")</f>
        <v/>
      </c>
      <c r="C435" s="28" t="s">
        <v>112</v>
      </c>
      <c r="D435" s="30" t="s">
        <v>83</v>
      </c>
      <c r="E435" s="28" t="s">
        <v>83</v>
      </c>
      <c r="F435" s="30" t="s">
        <v>83</v>
      </c>
      <c r="G435" s="28" t="s">
        <v>40</v>
      </c>
      <c r="H435" s="28" t="s">
        <v>40</v>
      </c>
      <c r="I435" s="28" t="s">
        <v>83</v>
      </c>
      <c r="J435" s="28">
        <v>1500.0</v>
      </c>
      <c r="K435" s="28">
        <v>375.0</v>
      </c>
      <c r="L435" s="28" t="s">
        <v>88</v>
      </c>
      <c r="M435" s="28" t="s">
        <v>44</v>
      </c>
      <c r="N435" s="28" t="s">
        <v>63</v>
      </c>
      <c r="O435" s="31" t="s">
        <v>89</v>
      </c>
      <c r="P435" s="28" t="s">
        <v>243</v>
      </c>
      <c r="Q435" s="28"/>
      <c r="R435" s="28"/>
      <c r="S435" s="28"/>
      <c r="T435" s="28" t="s">
        <v>40</v>
      </c>
      <c r="U435" s="28" t="s">
        <v>41</v>
      </c>
      <c r="V435" s="28" t="s">
        <v>43</v>
      </c>
      <c r="W435" s="28" t="s">
        <v>1263</v>
      </c>
      <c r="X435" s="28" t="s">
        <v>115</v>
      </c>
      <c r="Y435" s="28">
        <v>8417.0</v>
      </c>
    </row>
    <row r="436" ht="56.25" customHeight="1">
      <c r="A436" s="28" t="s">
        <v>1251</v>
      </c>
      <c r="B436" s="29" t="str">
        <f>IMAGE("https://storage.googleapis.com/acdb/wall-mounted/FtrToolhanger_Remake_5_0.png")</f>
        <v/>
      </c>
      <c r="C436" s="28" t="s">
        <v>99</v>
      </c>
      <c r="D436" s="30" t="s">
        <v>83</v>
      </c>
      <c r="E436" s="28" t="s">
        <v>83</v>
      </c>
      <c r="F436" s="30" t="s">
        <v>83</v>
      </c>
      <c r="G436" s="28" t="s">
        <v>40</v>
      </c>
      <c r="H436" s="28" t="s">
        <v>40</v>
      </c>
      <c r="I436" s="28" t="s">
        <v>83</v>
      </c>
      <c r="J436" s="28">
        <v>1500.0</v>
      </c>
      <c r="K436" s="28">
        <v>375.0</v>
      </c>
      <c r="L436" s="28" t="s">
        <v>88</v>
      </c>
      <c r="M436" s="28" t="s">
        <v>44</v>
      </c>
      <c r="N436" s="28" t="s">
        <v>63</v>
      </c>
      <c r="O436" s="31" t="s">
        <v>89</v>
      </c>
      <c r="P436" s="28" t="s">
        <v>243</v>
      </c>
      <c r="Q436" s="28"/>
      <c r="R436" s="28"/>
      <c r="S436" s="28"/>
      <c r="T436" s="28" t="s">
        <v>40</v>
      </c>
      <c r="U436" s="28" t="s">
        <v>41</v>
      </c>
      <c r="V436" s="28" t="s">
        <v>43</v>
      </c>
      <c r="W436" s="28" t="s">
        <v>1264</v>
      </c>
      <c r="X436" s="28" t="s">
        <v>120</v>
      </c>
      <c r="Y436" s="28">
        <v>8417.0</v>
      </c>
    </row>
    <row r="437" ht="56.25" customHeight="1">
      <c r="A437" s="28" t="s">
        <v>1265</v>
      </c>
      <c r="B437" s="29" t="str">
        <f>IMAGE("https://storage.googleapis.com/acdb/wall-mounted/FtrTV20inchWall_Remake_0_0.png")</f>
        <v/>
      </c>
      <c r="C437" s="28" t="s">
        <v>99</v>
      </c>
      <c r="D437" s="30" t="s">
        <v>83</v>
      </c>
      <c r="E437" s="28" t="s">
        <v>83</v>
      </c>
      <c r="F437" s="30" t="s">
        <v>83</v>
      </c>
      <c r="G437" s="28" t="s">
        <v>40</v>
      </c>
      <c r="H437" s="28" t="s">
        <v>40</v>
      </c>
      <c r="I437" s="28" t="s">
        <v>83</v>
      </c>
      <c r="J437" s="28">
        <v>8900.0</v>
      </c>
      <c r="K437" s="28">
        <v>2225.0</v>
      </c>
      <c r="L437" s="28" t="s">
        <v>123</v>
      </c>
      <c r="M437" s="28" t="s">
        <v>44</v>
      </c>
      <c r="N437" s="28" t="s">
        <v>65</v>
      </c>
      <c r="O437" s="31" t="s">
        <v>89</v>
      </c>
      <c r="P437" s="28" t="s">
        <v>60</v>
      </c>
      <c r="Q437" s="28"/>
      <c r="R437" s="28"/>
      <c r="S437" s="28"/>
      <c r="T437" s="28" t="s">
        <v>53</v>
      </c>
      <c r="U437" s="28" t="s">
        <v>215</v>
      </c>
      <c r="V437" s="28" t="s">
        <v>43</v>
      </c>
      <c r="W437" s="28" t="s">
        <v>1267</v>
      </c>
      <c r="X437" s="28" t="s">
        <v>92</v>
      </c>
      <c r="Y437" s="28">
        <v>3986.0</v>
      </c>
    </row>
    <row r="438" ht="56.25" customHeight="1">
      <c r="A438" s="28" t="s">
        <v>1265</v>
      </c>
      <c r="B438" s="29" t="str">
        <f>IMAGE("https://storage.googleapis.com/acdb/wall-mounted/FtrTV20inchWall_Remake_1_0.png")</f>
        <v/>
      </c>
      <c r="C438" s="28" t="s">
        <v>82</v>
      </c>
      <c r="D438" s="30" t="s">
        <v>83</v>
      </c>
      <c r="E438" s="28" t="s">
        <v>83</v>
      </c>
      <c r="F438" s="30" t="s">
        <v>83</v>
      </c>
      <c r="G438" s="28" t="s">
        <v>40</v>
      </c>
      <c r="H438" s="28" t="s">
        <v>40</v>
      </c>
      <c r="I438" s="28" t="s">
        <v>83</v>
      </c>
      <c r="J438" s="28">
        <v>8900.0</v>
      </c>
      <c r="K438" s="28">
        <v>2225.0</v>
      </c>
      <c r="L438" s="28" t="s">
        <v>123</v>
      </c>
      <c r="M438" s="28" t="s">
        <v>44</v>
      </c>
      <c r="N438" s="28" t="s">
        <v>65</v>
      </c>
      <c r="O438" s="31" t="s">
        <v>89</v>
      </c>
      <c r="P438" s="28" t="s">
        <v>60</v>
      </c>
      <c r="Q438" s="28"/>
      <c r="R438" s="28"/>
      <c r="S438" s="28"/>
      <c r="T438" s="28" t="s">
        <v>53</v>
      </c>
      <c r="U438" s="28" t="s">
        <v>215</v>
      </c>
      <c r="V438" s="28" t="s">
        <v>43</v>
      </c>
      <c r="W438" s="28" t="s">
        <v>1269</v>
      </c>
      <c r="X438" s="28" t="s">
        <v>97</v>
      </c>
      <c r="Y438" s="28">
        <v>3986.0</v>
      </c>
    </row>
    <row r="439" ht="56.25" customHeight="1">
      <c r="A439" s="28" t="s">
        <v>1265</v>
      </c>
      <c r="B439" s="29" t="str">
        <f>IMAGE("https://storage.googleapis.com/acdb/wall-mounted/FtrTV20inchWall_Remake_2_0.png")</f>
        <v/>
      </c>
      <c r="C439" s="28" t="s">
        <v>182</v>
      </c>
      <c r="D439" s="30" t="s">
        <v>83</v>
      </c>
      <c r="E439" s="28" t="s">
        <v>83</v>
      </c>
      <c r="F439" s="30" t="s">
        <v>83</v>
      </c>
      <c r="G439" s="28" t="s">
        <v>40</v>
      </c>
      <c r="H439" s="28" t="s">
        <v>40</v>
      </c>
      <c r="I439" s="28" t="s">
        <v>83</v>
      </c>
      <c r="J439" s="28">
        <v>8900.0</v>
      </c>
      <c r="K439" s="28">
        <v>2225.0</v>
      </c>
      <c r="L439" s="28" t="s">
        <v>123</v>
      </c>
      <c r="M439" s="28" t="s">
        <v>44</v>
      </c>
      <c r="N439" s="28" t="s">
        <v>65</v>
      </c>
      <c r="O439" s="31" t="s">
        <v>89</v>
      </c>
      <c r="P439" s="28" t="s">
        <v>60</v>
      </c>
      <c r="Q439" s="28"/>
      <c r="R439" s="28"/>
      <c r="S439" s="28"/>
      <c r="T439" s="28" t="s">
        <v>53</v>
      </c>
      <c r="U439" s="28" t="s">
        <v>215</v>
      </c>
      <c r="V439" s="28" t="s">
        <v>43</v>
      </c>
      <c r="W439" s="28" t="s">
        <v>1271</v>
      </c>
      <c r="X439" s="28" t="s">
        <v>103</v>
      </c>
      <c r="Y439" s="28">
        <v>3986.0</v>
      </c>
    </row>
    <row r="440" ht="56.25" customHeight="1">
      <c r="A440" s="28" t="s">
        <v>1265</v>
      </c>
      <c r="B440" s="29" t="str">
        <f>IMAGE("https://storage.googleapis.com/acdb/wall-mounted/FtrTV20inchWall_Remake_3_0.png")</f>
        <v/>
      </c>
      <c r="C440" s="28" t="s">
        <v>208</v>
      </c>
      <c r="D440" s="30" t="s">
        <v>83</v>
      </c>
      <c r="E440" s="28" t="s">
        <v>83</v>
      </c>
      <c r="F440" s="30" t="s">
        <v>83</v>
      </c>
      <c r="G440" s="28" t="s">
        <v>40</v>
      </c>
      <c r="H440" s="28" t="s">
        <v>40</v>
      </c>
      <c r="I440" s="28" t="s">
        <v>83</v>
      </c>
      <c r="J440" s="28">
        <v>8900.0</v>
      </c>
      <c r="K440" s="28">
        <v>2225.0</v>
      </c>
      <c r="L440" s="28" t="s">
        <v>123</v>
      </c>
      <c r="M440" s="28" t="s">
        <v>44</v>
      </c>
      <c r="N440" s="28" t="s">
        <v>65</v>
      </c>
      <c r="O440" s="31" t="s">
        <v>89</v>
      </c>
      <c r="P440" s="28" t="s">
        <v>60</v>
      </c>
      <c r="Q440" s="28"/>
      <c r="R440" s="28"/>
      <c r="S440" s="28"/>
      <c r="T440" s="28" t="s">
        <v>53</v>
      </c>
      <c r="U440" s="28" t="s">
        <v>215</v>
      </c>
      <c r="V440" s="28" t="s">
        <v>43</v>
      </c>
      <c r="W440" s="28" t="s">
        <v>1272</v>
      </c>
      <c r="X440" s="28" t="s">
        <v>110</v>
      </c>
      <c r="Y440" s="28">
        <v>3986.0</v>
      </c>
    </row>
    <row r="441" ht="56.25" customHeight="1">
      <c r="A441" s="28" t="s">
        <v>1265</v>
      </c>
      <c r="B441" s="29" t="str">
        <f>IMAGE("https://storage.googleapis.com/acdb/wall-mounted/FtrTV20inchWall_Remake_4_0.png")</f>
        <v/>
      </c>
      <c r="C441" s="28" t="s">
        <v>211</v>
      </c>
      <c r="D441" s="30" t="s">
        <v>83</v>
      </c>
      <c r="E441" s="28" t="s">
        <v>83</v>
      </c>
      <c r="F441" s="30" t="s">
        <v>83</v>
      </c>
      <c r="G441" s="28" t="s">
        <v>40</v>
      </c>
      <c r="H441" s="28" t="s">
        <v>40</v>
      </c>
      <c r="I441" s="28" t="s">
        <v>83</v>
      </c>
      <c r="J441" s="28">
        <v>8900.0</v>
      </c>
      <c r="K441" s="28">
        <v>2225.0</v>
      </c>
      <c r="L441" s="28" t="s">
        <v>123</v>
      </c>
      <c r="M441" s="28" t="s">
        <v>44</v>
      </c>
      <c r="N441" s="28" t="s">
        <v>65</v>
      </c>
      <c r="O441" s="31" t="s">
        <v>89</v>
      </c>
      <c r="P441" s="28" t="s">
        <v>60</v>
      </c>
      <c r="Q441" s="28"/>
      <c r="R441" s="28"/>
      <c r="S441" s="28"/>
      <c r="T441" s="28" t="s">
        <v>53</v>
      </c>
      <c r="U441" s="28" t="s">
        <v>215</v>
      </c>
      <c r="V441" s="28" t="s">
        <v>43</v>
      </c>
      <c r="W441" s="28" t="s">
        <v>1274</v>
      </c>
      <c r="X441" s="28" t="s">
        <v>115</v>
      </c>
      <c r="Y441" s="28">
        <v>3986.0</v>
      </c>
    </row>
    <row r="442" ht="56.25" customHeight="1">
      <c r="A442" s="28" t="s">
        <v>1265</v>
      </c>
      <c r="B442" s="29" t="str">
        <f>IMAGE("https://storage.googleapis.com/acdb/wall-mounted/FtrTV20inchWall_Remake_5_0.png")</f>
        <v/>
      </c>
      <c r="C442" s="28" t="s">
        <v>112</v>
      </c>
      <c r="D442" s="30" t="s">
        <v>83</v>
      </c>
      <c r="E442" s="28" t="s">
        <v>83</v>
      </c>
      <c r="F442" s="30" t="s">
        <v>83</v>
      </c>
      <c r="G442" s="28" t="s">
        <v>40</v>
      </c>
      <c r="H442" s="28" t="s">
        <v>40</v>
      </c>
      <c r="I442" s="28" t="s">
        <v>83</v>
      </c>
      <c r="J442" s="28">
        <v>8900.0</v>
      </c>
      <c r="K442" s="28">
        <v>2225.0</v>
      </c>
      <c r="L442" s="28" t="s">
        <v>123</v>
      </c>
      <c r="M442" s="28" t="s">
        <v>44</v>
      </c>
      <c r="N442" s="28" t="s">
        <v>65</v>
      </c>
      <c r="O442" s="31" t="s">
        <v>89</v>
      </c>
      <c r="P442" s="28" t="s">
        <v>60</v>
      </c>
      <c r="Q442" s="28"/>
      <c r="R442" s="28"/>
      <c r="S442" s="28"/>
      <c r="T442" s="28" t="s">
        <v>53</v>
      </c>
      <c r="U442" s="28" t="s">
        <v>215</v>
      </c>
      <c r="V442" s="28" t="s">
        <v>43</v>
      </c>
      <c r="W442" s="28" t="s">
        <v>1276</v>
      </c>
      <c r="X442" s="28" t="s">
        <v>120</v>
      </c>
      <c r="Y442" s="28">
        <v>3986.0</v>
      </c>
    </row>
    <row r="443" ht="56.25" customHeight="1">
      <c r="A443" s="28" t="s">
        <v>1265</v>
      </c>
      <c r="B443" s="29" t="str">
        <f>IMAGE("https://storage.googleapis.com/acdb/wall-mounted/FtrTV20inchWall_Remake_6_0.png")</f>
        <v/>
      </c>
      <c r="C443" s="28" t="s">
        <v>107</v>
      </c>
      <c r="D443" s="30" t="s">
        <v>83</v>
      </c>
      <c r="E443" s="28" t="s">
        <v>83</v>
      </c>
      <c r="F443" s="30" t="s">
        <v>83</v>
      </c>
      <c r="G443" s="28" t="s">
        <v>40</v>
      </c>
      <c r="H443" s="28" t="s">
        <v>40</v>
      </c>
      <c r="I443" s="28" t="s">
        <v>83</v>
      </c>
      <c r="J443" s="28">
        <v>8900.0</v>
      </c>
      <c r="K443" s="28">
        <v>2225.0</v>
      </c>
      <c r="L443" s="28" t="s">
        <v>123</v>
      </c>
      <c r="M443" s="28" t="s">
        <v>44</v>
      </c>
      <c r="N443" s="28" t="s">
        <v>65</v>
      </c>
      <c r="O443" s="31" t="s">
        <v>89</v>
      </c>
      <c r="P443" s="28" t="s">
        <v>60</v>
      </c>
      <c r="Q443" s="28"/>
      <c r="R443" s="28"/>
      <c r="S443" s="28"/>
      <c r="T443" s="28" t="s">
        <v>53</v>
      </c>
      <c r="U443" s="28" t="s">
        <v>215</v>
      </c>
      <c r="V443" s="28" t="s">
        <v>43</v>
      </c>
      <c r="W443" s="28" t="s">
        <v>1278</v>
      </c>
      <c r="X443" s="28" t="s">
        <v>218</v>
      </c>
      <c r="Y443" s="28">
        <v>3986.0</v>
      </c>
    </row>
    <row r="444" ht="56.25" customHeight="1">
      <c r="A444" s="28" t="s">
        <v>1265</v>
      </c>
      <c r="B444" s="29" t="str">
        <f>IMAGE("https://storage.googleapis.com/acdb/wall-mounted/FtrTV20inchWall_Remake_7_0.png")</f>
        <v/>
      </c>
      <c r="C444" s="28" t="s">
        <v>515</v>
      </c>
      <c r="D444" s="30" t="s">
        <v>83</v>
      </c>
      <c r="E444" s="28" t="s">
        <v>83</v>
      </c>
      <c r="F444" s="30" t="s">
        <v>83</v>
      </c>
      <c r="G444" s="28" t="s">
        <v>40</v>
      </c>
      <c r="H444" s="28" t="s">
        <v>40</v>
      </c>
      <c r="I444" s="28" t="s">
        <v>83</v>
      </c>
      <c r="J444" s="28">
        <v>8900.0</v>
      </c>
      <c r="K444" s="28">
        <v>2225.0</v>
      </c>
      <c r="L444" s="28" t="s">
        <v>123</v>
      </c>
      <c r="M444" s="28" t="s">
        <v>44</v>
      </c>
      <c r="N444" s="28" t="s">
        <v>65</v>
      </c>
      <c r="O444" s="31" t="s">
        <v>89</v>
      </c>
      <c r="P444" s="28" t="s">
        <v>60</v>
      </c>
      <c r="Q444" s="28"/>
      <c r="R444" s="28"/>
      <c r="S444" s="28"/>
      <c r="T444" s="28" t="s">
        <v>53</v>
      </c>
      <c r="U444" s="28" t="s">
        <v>215</v>
      </c>
      <c r="V444" s="28" t="s">
        <v>43</v>
      </c>
      <c r="W444" s="28" t="s">
        <v>1279</v>
      </c>
      <c r="X444" s="28" t="s">
        <v>223</v>
      </c>
      <c r="Y444" s="28">
        <v>3986.0</v>
      </c>
    </row>
    <row r="445" ht="56.25" customHeight="1">
      <c r="A445" s="28" t="s">
        <v>1280</v>
      </c>
      <c r="B445" s="29" t="str">
        <f>IMAGE("https://storage.googleapis.com/acdb/wall-mounted/FtrTV50inchWall_Remake_0_0.png")</f>
        <v/>
      </c>
      <c r="C445" s="28" t="s">
        <v>99</v>
      </c>
      <c r="D445" s="30" t="s">
        <v>83</v>
      </c>
      <c r="E445" s="28" t="s">
        <v>83</v>
      </c>
      <c r="F445" s="30" t="s">
        <v>83</v>
      </c>
      <c r="G445" s="28" t="s">
        <v>40</v>
      </c>
      <c r="H445" s="28" t="s">
        <v>40</v>
      </c>
      <c r="I445" s="28" t="s">
        <v>83</v>
      </c>
      <c r="J445" s="28">
        <v>22000.0</v>
      </c>
      <c r="K445" s="28">
        <v>5500.0</v>
      </c>
      <c r="L445" s="28" t="s">
        <v>88</v>
      </c>
      <c r="M445" s="28" t="s">
        <v>44</v>
      </c>
      <c r="N445" s="28" t="s">
        <v>65</v>
      </c>
      <c r="O445" s="31" t="s">
        <v>89</v>
      </c>
      <c r="P445" s="28" t="s">
        <v>60</v>
      </c>
      <c r="Q445" s="28"/>
      <c r="R445" s="28"/>
      <c r="S445" s="28"/>
      <c r="T445" s="28" t="s">
        <v>53</v>
      </c>
      <c r="U445" s="28" t="s">
        <v>215</v>
      </c>
      <c r="V445" s="28" t="s">
        <v>43</v>
      </c>
      <c r="W445" s="28" t="s">
        <v>1282</v>
      </c>
      <c r="X445" s="28" t="s">
        <v>92</v>
      </c>
      <c r="Y445" s="28">
        <v>3428.0</v>
      </c>
    </row>
    <row r="446" ht="56.25" customHeight="1">
      <c r="A446" s="28" t="s">
        <v>1280</v>
      </c>
      <c r="B446" s="29" t="str">
        <f>IMAGE("https://storage.googleapis.com/acdb/wall-mounted/FtrTV50inchWall_Remake_1_0.png")</f>
        <v/>
      </c>
      <c r="C446" s="28" t="s">
        <v>82</v>
      </c>
      <c r="D446" s="30" t="s">
        <v>83</v>
      </c>
      <c r="E446" s="28" t="s">
        <v>83</v>
      </c>
      <c r="F446" s="30" t="s">
        <v>83</v>
      </c>
      <c r="G446" s="28" t="s">
        <v>40</v>
      </c>
      <c r="H446" s="28" t="s">
        <v>40</v>
      </c>
      <c r="I446" s="28" t="s">
        <v>83</v>
      </c>
      <c r="J446" s="28">
        <v>22000.0</v>
      </c>
      <c r="K446" s="28">
        <v>5500.0</v>
      </c>
      <c r="L446" s="28" t="s">
        <v>88</v>
      </c>
      <c r="M446" s="28" t="s">
        <v>44</v>
      </c>
      <c r="N446" s="28" t="s">
        <v>65</v>
      </c>
      <c r="O446" s="31" t="s">
        <v>89</v>
      </c>
      <c r="P446" s="28" t="s">
        <v>60</v>
      </c>
      <c r="Q446" s="28"/>
      <c r="R446" s="28"/>
      <c r="S446" s="28"/>
      <c r="T446" s="28" t="s">
        <v>53</v>
      </c>
      <c r="U446" s="28" t="s">
        <v>215</v>
      </c>
      <c r="V446" s="28" t="s">
        <v>43</v>
      </c>
      <c r="W446" s="28" t="s">
        <v>1284</v>
      </c>
      <c r="X446" s="28" t="s">
        <v>97</v>
      </c>
      <c r="Y446" s="28">
        <v>3428.0</v>
      </c>
    </row>
    <row r="447" ht="56.25" customHeight="1">
      <c r="A447" s="28" t="s">
        <v>1280</v>
      </c>
      <c r="B447" s="29" t="str">
        <f>IMAGE("https://storage.googleapis.com/acdb/wall-mounted/FtrTV50inchWall_Remake_2_0.png")</f>
        <v/>
      </c>
      <c r="C447" s="28" t="s">
        <v>182</v>
      </c>
      <c r="D447" s="30" t="s">
        <v>83</v>
      </c>
      <c r="E447" s="28" t="s">
        <v>83</v>
      </c>
      <c r="F447" s="30" t="s">
        <v>83</v>
      </c>
      <c r="G447" s="28" t="s">
        <v>40</v>
      </c>
      <c r="H447" s="28" t="s">
        <v>40</v>
      </c>
      <c r="I447" s="28" t="s">
        <v>83</v>
      </c>
      <c r="J447" s="28">
        <v>22000.0</v>
      </c>
      <c r="K447" s="28">
        <v>5500.0</v>
      </c>
      <c r="L447" s="28" t="s">
        <v>88</v>
      </c>
      <c r="M447" s="28" t="s">
        <v>44</v>
      </c>
      <c r="N447" s="28" t="s">
        <v>65</v>
      </c>
      <c r="O447" s="31" t="s">
        <v>89</v>
      </c>
      <c r="P447" s="28" t="s">
        <v>60</v>
      </c>
      <c r="Q447" s="28"/>
      <c r="R447" s="28"/>
      <c r="S447" s="28"/>
      <c r="T447" s="28" t="s">
        <v>53</v>
      </c>
      <c r="U447" s="28" t="s">
        <v>215</v>
      </c>
      <c r="V447" s="28" t="s">
        <v>43</v>
      </c>
      <c r="W447" s="28" t="s">
        <v>1285</v>
      </c>
      <c r="X447" s="28" t="s">
        <v>103</v>
      </c>
      <c r="Y447" s="28">
        <v>3428.0</v>
      </c>
    </row>
    <row r="448" ht="56.25" customHeight="1">
      <c r="A448" s="28" t="s">
        <v>1280</v>
      </c>
      <c r="B448" s="29" t="str">
        <f>IMAGE("https://storage.googleapis.com/acdb/wall-mounted/FtrTV50inchWall_Remake_3_0.png")</f>
        <v/>
      </c>
      <c r="C448" s="28" t="s">
        <v>208</v>
      </c>
      <c r="D448" s="30" t="s">
        <v>83</v>
      </c>
      <c r="E448" s="28" t="s">
        <v>83</v>
      </c>
      <c r="F448" s="30" t="s">
        <v>83</v>
      </c>
      <c r="G448" s="28" t="s">
        <v>40</v>
      </c>
      <c r="H448" s="28" t="s">
        <v>40</v>
      </c>
      <c r="I448" s="28" t="s">
        <v>83</v>
      </c>
      <c r="J448" s="28">
        <v>22000.0</v>
      </c>
      <c r="K448" s="28">
        <v>5500.0</v>
      </c>
      <c r="L448" s="28" t="s">
        <v>88</v>
      </c>
      <c r="M448" s="28" t="s">
        <v>44</v>
      </c>
      <c r="N448" s="28" t="s">
        <v>65</v>
      </c>
      <c r="O448" s="31" t="s">
        <v>89</v>
      </c>
      <c r="P448" s="28" t="s">
        <v>60</v>
      </c>
      <c r="Q448" s="28"/>
      <c r="R448" s="28"/>
      <c r="S448" s="28"/>
      <c r="T448" s="28" t="s">
        <v>53</v>
      </c>
      <c r="U448" s="28" t="s">
        <v>215</v>
      </c>
      <c r="V448" s="28" t="s">
        <v>43</v>
      </c>
      <c r="W448" s="28" t="s">
        <v>1288</v>
      </c>
      <c r="X448" s="28" t="s">
        <v>110</v>
      </c>
      <c r="Y448" s="28">
        <v>3428.0</v>
      </c>
    </row>
    <row r="449" ht="56.25" customHeight="1">
      <c r="A449" s="28" t="s">
        <v>1280</v>
      </c>
      <c r="B449" s="29" t="str">
        <f>IMAGE("https://storage.googleapis.com/acdb/wall-mounted/FtrTV50inchWall_Remake_4_0.png")</f>
        <v/>
      </c>
      <c r="C449" s="28" t="s">
        <v>112</v>
      </c>
      <c r="D449" s="30" t="s">
        <v>83</v>
      </c>
      <c r="E449" s="28" t="s">
        <v>83</v>
      </c>
      <c r="F449" s="30" t="s">
        <v>83</v>
      </c>
      <c r="G449" s="28" t="s">
        <v>40</v>
      </c>
      <c r="H449" s="28" t="s">
        <v>40</v>
      </c>
      <c r="I449" s="28" t="s">
        <v>83</v>
      </c>
      <c r="J449" s="28">
        <v>22000.0</v>
      </c>
      <c r="K449" s="34">
        <v>5500.0</v>
      </c>
      <c r="L449" s="28" t="s">
        <v>88</v>
      </c>
      <c r="M449" s="28" t="s">
        <v>44</v>
      </c>
      <c r="N449" s="28" t="s">
        <v>65</v>
      </c>
      <c r="O449" s="31" t="s">
        <v>89</v>
      </c>
      <c r="P449" s="28" t="s">
        <v>60</v>
      </c>
      <c r="Q449" s="28"/>
      <c r="R449" s="28"/>
      <c r="S449" s="28"/>
      <c r="T449" s="28" t="s">
        <v>53</v>
      </c>
      <c r="U449" s="28" t="s">
        <v>215</v>
      </c>
      <c r="V449" s="28" t="s">
        <v>43</v>
      </c>
      <c r="W449" s="28" t="s">
        <v>1289</v>
      </c>
      <c r="X449" s="28" t="s">
        <v>115</v>
      </c>
      <c r="Y449" s="28">
        <v>3428.0</v>
      </c>
    </row>
    <row r="450" ht="56.25" customHeight="1">
      <c r="A450" s="28" t="s">
        <v>1290</v>
      </c>
      <c r="B450" s="29" t="str">
        <f>IMAGE("https://storage.googleapis.com/acdb/wall-mounted/FtrInsectHachiFace.png")</f>
        <v/>
      </c>
      <c r="C450" s="28" t="s">
        <v>83</v>
      </c>
      <c r="D450" s="28" t="s">
        <v>83</v>
      </c>
      <c r="E450" s="28" t="s">
        <v>83</v>
      </c>
      <c r="F450" s="28" t="s">
        <v>83</v>
      </c>
      <c r="G450" s="34" t="s">
        <v>40</v>
      </c>
      <c r="H450" s="28" t="s">
        <v>40</v>
      </c>
      <c r="I450" s="28" t="s">
        <v>83</v>
      </c>
      <c r="J450" s="28">
        <v>2500.0</v>
      </c>
      <c r="K450" s="28">
        <v>625.0</v>
      </c>
      <c r="L450" s="28" t="s">
        <v>123</v>
      </c>
      <c r="M450" s="28" t="s">
        <v>44</v>
      </c>
      <c r="N450" s="28" t="s">
        <v>68</v>
      </c>
      <c r="O450" s="31" t="s">
        <v>89</v>
      </c>
      <c r="P450" s="28" t="s">
        <v>90</v>
      </c>
      <c r="Q450" s="28"/>
      <c r="R450" s="28"/>
      <c r="S450" s="28"/>
      <c r="T450" s="28" t="s">
        <v>40</v>
      </c>
      <c r="U450" s="28" t="s">
        <v>41</v>
      </c>
      <c r="V450" s="28" t="s">
        <v>43</v>
      </c>
      <c r="W450" s="28" t="s">
        <v>1294</v>
      </c>
      <c r="X450" s="28" t="s">
        <v>83</v>
      </c>
      <c r="Y450" s="28">
        <v>11100.0</v>
      </c>
    </row>
    <row r="451" ht="56.25" customHeight="1">
      <c r="A451" s="28" t="s">
        <v>1295</v>
      </c>
      <c r="B451" s="29" t="str">
        <f>IMAGE("https://storage.googleapis.com/acdb/wall-mounted/FtrDoorOrnamentWreathAnemone.png")</f>
        <v/>
      </c>
      <c r="C451" s="28" t="s">
        <v>83</v>
      </c>
      <c r="D451" s="28" t="s">
        <v>83</v>
      </c>
      <c r="E451" s="28" t="s">
        <v>83</v>
      </c>
      <c r="F451" s="28" t="s">
        <v>83</v>
      </c>
      <c r="G451" s="28" t="s">
        <v>53</v>
      </c>
      <c r="H451" s="28" t="s">
        <v>40</v>
      </c>
      <c r="I451" s="28" t="s">
        <v>83</v>
      </c>
      <c r="J451" s="28" t="s">
        <v>51</v>
      </c>
      <c r="K451" s="28">
        <v>720.0</v>
      </c>
      <c r="L451" s="28" t="s">
        <v>123</v>
      </c>
      <c r="M451" s="28" t="s">
        <v>55</v>
      </c>
      <c r="N451" s="28"/>
      <c r="O451" s="31" t="s">
        <v>89</v>
      </c>
      <c r="P451" s="28" t="s">
        <v>36</v>
      </c>
      <c r="Q451" s="28"/>
      <c r="R451" s="28"/>
      <c r="S451" s="28"/>
      <c r="T451" s="28" t="s">
        <v>40</v>
      </c>
      <c r="U451" s="28" t="s">
        <v>41</v>
      </c>
      <c r="V451" s="28" t="s">
        <v>54</v>
      </c>
      <c r="W451" s="28" t="s">
        <v>1297</v>
      </c>
      <c r="X451" s="28" t="s">
        <v>83</v>
      </c>
      <c r="Y451" s="28">
        <v>5436.0</v>
      </c>
    </row>
    <row r="452" ht="56.25" customHeight="1">
      <c r="A452" s="28" t="s">
        <v>1298</v>
      </c>
      <c r="B452" s="29" t="str">
        <f>IMAGE("https://storage.googleapis.com/acdb/wall-mounted/FtrBlockClock_Remake_0_0.png")</f>
        <v/>
      </c>
      <c r="C452" s="28" t="s">
        <v>126</v>
      </c>
      <c r="D452" s="30" t="s">
        <v>1300</v>
      </c>
      <c r="E452" s="28" t="s">
        <v>83</v>
      </c>
      <c r="F452" s="30" t="s">
        <v>83</v>
      </c>
      <c r="G452" s="28" t="s">
        <v>53</v>
      </c>
      <c r="H452" s="34" t="s">
        <v>53</v>
      </c>
      <c r="I452" s="28">
        <v>2.0</v>
      </c>
      <c r="J452" s="28" t="s">
        <v>51</v>
      </c>
      <c r="K452" s="28">
        <v>1350.0</v>
      </c>
      <c r="L452" s="28" t="s">
        <v>123</v>
      </c>
      <c r="M452" s="28" t="s">
        <v>55</v>
      </c>
      <c r="N452" s="28"/>
      <c r="O452" s="31" t="s">
        <v>89</v>
      </c>
      <c r="P452" s="28" t="s">
        <v>113</v>
      </c>
      <c r="Q452" s="28"/>
      <c r="R452" s="28"/>
      <c r="S452" s="28"/>
      <c r="T452" s="28" t="s">
        <v>53</v>
      </c>
      <c r="U452" s="28" t="s">
        <v>41</v>
      </c>
      <c r="V452" s="28" t="s">
        <v>54</v>
      </c>
      <c r="W452" s="28" t="s">
        <v>1301</v>
      </c>
      <c r="X452" s="28" t="s">
        <v>92</v>
      </c>
      <c r="Y452" s="28">
        <v>3208.0</v>
      </c>
    </row>
    <row r="453" ht="56.25" customHeight="1">
      <c r="A453" s="28" t="s">
        <v>1298</v>
      </c>
      <c r="B453" s="29" t="str">
        <f>IMAGE("https://storage.googleapis.com/acdb/wall-mounted/FtrBlockClock_Remake_1_0.png")</f>
        <v/>
      </c>
      <c r="C453" s="28" t="s">
        <v>1303</v>
      </c>
      <c r="D453" s="30" t="s">
        <v>1300</v>
      </c>
      <c r="E453" s="28" t="s">
        <v>83</v>
      </c>
      <c r="F453" s="30" t="s">
        <v>83</v>
      </c>
      <c r="G453" s="28" t="s">
        <v>53</v>
      </c>
      <c r="H453" s="28" t="s">
        <v>53</v>
      </c>
      <c r="I453" s="28">
        <v>2.0</v>
      </c>
      <c r="J453" s="28" t="s">
        <v>51</v>
      </c>
      <c r="K453" s="28">
        <v>1350.0</v>
      </c>
      <c r="L453" s="28" t="s">
        <v>123</v>
      </c>
      <c r="M453" s="28" t="s">
        <v>55</v>
      </c>
      <c r="N453" s="28"/>
      <c r="O453" s="31" t="s">
        <v>89</v>
      </c>
      <c r="P453" s="28" t="s">
        <v>113</v>
      </c>
      <c r="Q453" s="28"/>
      <c r="R453" s="28"/>
      <c r="S453" s="28"/>
      <c r="T453" s="28" t="s">
        <v>53</v>
      </c>
      <c r="U453" s="28" t="s">
        <v>41</v>
      </c>
      <c r="V453" s="28" t="s">
        <v>54</v>
      </c>
      <c r="W453" s="28" t="s">
        <v>1304</v>
      </c>
      <c r="X453" s="28" t="s">
        <v>97</v>
      </c>
      <c r="Y453" s="28">
        <v>3208.0</v>
      </c>
    </row>
    <row r="454" ht="56.25" customHeight="1">
      <c r="A454" s="28" t="s">
        <v>1298</v>
      </c>
      <c r="B454" s="29" t="str">
        <f>IMAGE("https://storage.googleapis.com/acdb/wall-mounted/FtrBlockClock_Remake_2_0.png")</f>
        <v/>
      </c>
      <c r="C454" s="28" t="s">
        <v>258</v>
      </c>
      <c r="D454" s="30" t="s">
        <v>1300</v>
      </c>
      <c r="E454" s="28" t="s">
        <v>83</v>
      </c>
      <c r="F454" s="30" t="s">
        <v>83</v>
      </c>
      <c r="G454" s="34" t="s">
        <v>53</v>
      </c>
      <c r="H454" s="28" t="s">
        <v>53</v>
      </c>
      <c r="I454" s="28">
        <v>2.0</v>
      </c>
      <c r="J454" s="34" t="s">
        <v>51</v>
      </c>
      <c r="K454" s="28">
        <v>1350.0</v>
      </c>
      <c r="L454" s="28" t="s">
        <v>123</v>
      </c>
      <c r="M454" s="28" t="s">
        <v>55</v>
      </c>
      <c r="N454" s="28"/>
      <c r="O454" s="31" t="s">
        <v>89</v>
      </c>
      <c r="P454" s="28" t="s">
        <v>113</v>
      </c>
      <c r="Q454" s="28"/>
      <c r="R454" s="28"/>
      <c r="S454" s="28"/>
      <c r="T454" s="28" t="s">
        <v>53</v>
      </c>
      <c r="U454" s="28" t="s">
        <v>41</v>
      </c>
      <c r="V454" s="28" t="s">
        <v>54</v>
      </c>
      <c r="W454" s="28" t="s">
        <v>1306</v>
      </c>
      <c r="X454" s="28" t="s">
        <v>103</v>
      </c>
      <c r="Y454" s="28">
        <v>3208.0</v>
      </c>
    </row>
    <row r="455" ht="56.25" customHeight="1">
      <c r="A455" s="28" t="s">
        <v>1298</v>
      </c>
      <c r="B455" s="29" t="str">
        <f>IMAGE("https://storage.googleapis.com/acdb/wall-mounted/FtrBlockClock_Remake_3_0.png")</f>
        <v/>
      </c>
      <c r="C455" s="28" t="s">
        <v>954</v>
      </c>
      <c r="D455" s="30" t="s">
        <v>1300</v>
      </c>
      <c r="E455" s="28" t="s">
        <v>83</v>
      </c>
      <c r="F455" s="30" t="s">
        <v>83</v>
      </c>
      <c r="G455" s="28" t="s">
        <v>53</v>
      </c>
      <c r="H455" s="28" t="s">
        <v>53</v>
      </c>
      <c r="I455" s="28">
        <v>2.0</v>
      </c>
      <c r="J455" s="28" t="s">
        <v>51</v>
      </c>
      <c r="K455" s="28">
        <v>1350.0</v>
      </c>
      <c r="L455" s="28" t="s">
        <v>123</v>
      </c>
      <c r="M455" s="28" t="s">
        <v>55</v>
      </c>
      <c r="N455" s="28"/>
      <c r="O455" s="31" t="s">
        <v>89</v>
      </c>
      <c r="P455" s="28" t="s">
        <v>113</v>
      </c>
      <c r="Q455" s="28"/>
      <c r="R455" s="28"/>
      <c r="S455" s="28"/>
      <c r="T455" s="28" t="s">
        <v>53</v>
      </c>
      <c r="U455" s="28" t="s">
        <v>41</v>
      </c>
      <c r="V455" s="28" t="s">
        <v>54</v>
      </c>
      <c r="W455" s="28" t="s">
        <v>1308</v>
      </c>
      <c r="X455" s="28" t="s">
        <v>110</v>
      </c>
      <c r="Y455" s="28">
        <v>3208.0</v>
      </c>
    </row>
    <row r="456" ht="56.25" customHeight="1">
      <c r="A456" s="28" t="s">
        <v>1298</v>
      </c>
      <c r="B456" s="29" t="str">
        <f>IMAGE("https://storage.googleapis.com/acdb/wall-mounted/FtrBlockClock_Remake_4_0.png")</f>
        <v/>
      </c>
      <c r="C456" s="28" t="s">
        <v>1310</v>
      </c>
      <c r="D456" s="30" t="s">
        <v>1300</v>
      </c>
      <c r="E456" s="28" t="s">
        <v>83</v>
      </c>
      <c r="F456" s="30" t="s">
        <v>83</v>
      </c>
      <c r="G456" s="28" t="s">
        <v>53</v>
      </c>
      <c r="H456" s="28" t="s">
        <v>53</v>
      </c>
      <c r="I456" s="28">
        <v>2.0</v>
      </c>
      <c r="J456" s="28" t="s">
        <v>51</v>
      </c>
      <c r="K456" s="28">
        <v>1350.0</v>
      </c>
      <c r="L456" s="28" t="s">
        <v>123</v>
      </c>
      <c r="M456" s="28" t="s">
        <v>55</v>
      </c>
      <c r="N456" s="28"/>
      <c r="O456" s="31" t="s">
        <v>89</v>
      </c>
      <c r="P456" s="28" t="s">
        <v>113</v>
      </c>
      <c r="Q456" s="28"/>
      <c r="R456" s="28"/>
      <c r="S456" s="28"/>
      <c r="T456" s="28" t="s">
        <v>53</v>
      </c>
      <c r="U456" s="28" t="s">
        <v>41</v>
      </c>
      <c r="V456" s="28" t="s">
        <v>54</v>
      </c>
      <c r="W456" s="28" t="s">
        <v>1312</v>
      </c>
      <c r="X456" s="28" t="s">
        <v>115</v>
      </c>
      <c r="Y456" s="28">
        <v>3208.0</v>
      </c>
    </row>
    <row r="457" ht="56.25" customHeight="1">
      <c r="A457" s="28" t="s">
        <v>1313</v>
      </c>
      <c r="B457" s="29" t="str">
        <f>IMAGE("https://storage.googleapis.com/acdb/wall-mounted/FtrSignboardWood_Remake_0_0.png")</f>
        <v/>
      </c>
      <c r="C457" s="28" t="s">
        <v>126</v>
      </c>
      <c r="D457" s="30" t="s">
        <v>768</v>
      </c>
      <c r="E457" s="28" t="s">
        <v>83</v>
      </c>
      <c r="F457" s="30" t="s">
        <v>83</v>
      </c>
      <c r="G457" s="28" t="s">
        <v>53</v>
      </c>
      <c r="H457" s="28" t="s">
        <v>53</v>
      </c>
      <c r="I457" s="28">
        <v>1.0</v>
      </c>
      <c r="J457" s="28" t="s">
        <v>51</v>
      </c>
      <c r="K457" s="28">
        <v>600.0</v>
      </c>
      <c r="L457" s="28" t="s">
        <v>88</v>
      </c>
      <c r="M457" s="28" t="s">
        <v>55</v>
      </c>
      <c r="N457" s="28"/>
      <c r="O457" s="31" t="s">
        <v>89</v>
      </c>
      <c r="P457" s="28" t="s">
        <v>161</v>
      </c>
      <c r="Q457" s="28"/>
      <c r="R457" s="28"/>
      <c r="S457" s="28"/>
      <c r="T457" s="28" t="s">
        <v>40</v>
      </c>
      <c r="U457" s="28" t="s">
        <v>41</v>
      </c>
      <c r="V457" s="28" t="s">
        <v>54</v>
      </c>
      <c r="W457" s="28" t="s">
        <v>1314</v>
      </c>
      <c r="X457" s="28" t="s">
        <v>92</v>
      </c>
      <c r="Y457" s="28">
        <v>5636.0</v>
      </c>
    </row>
    <row r="458" ht="56.25" customHeight="1">
      <c r="A458" s="28" t="s">
        <v>1313</v>
      </c>
      <c r="B458" s="29" t="str">
        <f>IMAGE("https://storage.googleapis.com/acdb/wall-mounted/FtrSignboardWood_Remake_1_0.png")</f>
        <v/>
      </c>
      <c r="C458" s="28" t="s">
        <v>233</v>
      </c>
      <c r="D458" s="30" t="s">
        <v>768</v>
      </c>
      <c r="E458" s="28" t="s">
        <v>83</v>
      </c>
      <c r="F458" s="30" t="s">
        <v>83</v>
      </c>
      <c r="G458" s="28" t="s">
        <v>53</v>
      </c>
      <c r="H458" s="28" t="s">
        <v>53</v>
      </c>
      <c r="I458" s="28">
        <v>1.0</v>
      </c>
      <c r="J458" s="28" t="s">
        <v>51</v>
      </c>
      <c r="K458" s="28">
        <v>600.0</v>
      </c>
      <c r="L458" s="28" t="s">
        <v>88</v>
      </c>
      <c r="M458" s="28" t="s">
        <v>55</v>
      </c>
      <c r="N458" s="28"/>
      <c r="O458" s="31" t="s">
        <v>89</v>
      </c>
      <c r="P458" s="28" t="s">
        <v>161</v>
      </c>
      <c r="Q458" s="28"/>
      <c r="R458" s="28"/>
      <c r="S458" s="28"/>
      <c r="T458" s="28" t="s">
        <v>40</v>
      </c>
      <c r="U458" s="28" t="s">
        <v>41</v>
      </c>
      <c r="V458" s="28" t="s">
        <v>54</v>
      </c>
      <c r="W458" s="28" t="s">
        <v>1317</v>
      </c>
      <c r="X458" s="28" t="s">
        <v>97</v>
      </c>
      <c r="Y458" s="28">
        <v>5636.0</v>
      </c>
    </row>
    <row r="459" ht="56.25" customHeight="1">
      <c r="A459" s="28" t="s">
        <v>1313</v>
      </c>
      <c r="B459" s="29" t="str">
        <f>IMAGE("https://storage.googleapis.com/acdb/wall-mounted/FtrSignboardWood_Remake_2_0.png")</f>
        <v/>
      </c>
      <c r="C459" s="28" t="s">
        <v>118</v>
      </c>
      <c r="D459" s="30" t="s">
        <v>768</v>
      </c>
      <c r="E459" s="28" t="s">
        <v>83</v>
      </c>
      <c r="F459" s="30" t="s">
        <v>83</v>
      </c>
      <c r="G459" s="28" t="s">
        <v>53</v>
      </c>
      <c r="H459" s="28" t="s">
        <v>53</v>
      </c>
      <c r="I459" s="28">
        <v>1.0</v>
      </c>
      <c r="J459" s="28" t="s">
        <v>51</v>
      </c>
      <c r="K459" s="28">
        <v>600.0</v>
      </c>
      <c r="L459" s="28" t="s">
        <v>88</v>
      </c>
      <c r="M459" s="28" t="s">
        <v>55</v>
      </c>
      <c r="N459" s="28"/>
      <c r="O459" s="31" t="s">
        <v>89</v>
      </c>
      <c r="P459" s="28" t="s">
        <v>161</v>
      </c>
      <c r="Q459" s="28"/>
      <c r="R459" s="28"/>
      <c r="S459" s="28"/>
      <c r="T459" s="28" t="s">
        <v>40</v>
      </c>
      <c r="U459" s="28" t="s">
        <v>41</v>
      </c>
      <c r="V459" s="28" t="s">
        <v>54</v>
      </c>
      <c r="W459" s="28" t="s">
        <v>1318</v>
      </c>
      <c r="X459" s="28" t="s">
        <v>103</v>
      </c>
      <c r="Y459" s="28">
        <v>5636.0</v>
      </c>
    </row>
    <row r="460" ht="56.25" customHeight="1">
      <c r="A460" s="28" t="s">
        <v>1313</v>
      </c>
      <c r="B460" s="29" t="str">
        <f>IMAGE("https://storage.googleapis.com/acdb/wall-mounted/FtrSignboardWood_Remake_3_0.png")</f>
        <v/>
      </c>
      <c r="C460" s="28" t="s">
        <v>208</v>
      </c>
      <c r="D460" s="30" t="s">
        <v>768</v>
      </c>
      <c r="E460" s="28" t="s">
        <v>83</v>
      </c>
      <c r="F460" s="30" t="s">
        <v>83</v>
      </c>
      <c r="G460" s="28" t="s">
        <v>53</v>
      </c>
      <c r="H460" s="28" t="s">
        <v>53</v>
      </c>
      <c r="I460" s="28">
        <v>1.0</v>
      </c>
      <c r="J460" s="28" t="s">
        <v>51</v>
      </c>
      <c r="K460" s="28">
        <v>600.0</v>
      </c>
      <c r="L460" s="28" t="s">
        <v>88</v>
      </c>
      <c r="M460" s="28" t="s">
        <v>55</v>
      </c>
      <c r="N460" s="28"/>
      <c r="O460" s="31" t="s">
        <v>89</v>
      </c>
      <c r="P460" s="28" t="s">
        <v>161</v>
      </c>
      <c r="Q460" s="28"/>
      <c r="R460" s="28"/>
      <c r="S460" s="28"/>
      <c r="T460" s="28" t="s">
        <v>40</v>
      </c>
      <c r="U460" s="28" t="s">
        <v>41</v>
      </c>
      <c r="V460" s="28" t="s">
        <v>54</v>
      </c>
      <c r="W460" s="28" t="s">
        <v>1321</v>
      </c>
      <c r="X460" s="28" t="s">
        <v>110</v>
      </c>
      <c r="Y460" s="28">
        <v>5636.0</v>
      </c>
    </row>
    <row r="461" ht="56.25" customHeight="1">
      <c r="A461" s="28" t="s">
        <v>1322</v>
      </c>
      <c r="B461" s="29" t="str">
        <f>IMAGE("https://storage.googleapis.com/acdb/wall-mounted/FtrStudyposter_Remake_0_0.png")</f>
        <v/>
      </c>
      <c r="C461" s="28" t="s">
        <v>1323</v>
      </c>
      <c r="D461" s="30" t="s">
        <v>83</v>
      </c>
      <c r="E461" s="28" t="s">
        <v>83</v>
      </c>
      <c r="F461" s="30" t="s">
        <v>83</v>
      </c>
      <c r="G461" s="28" t="s">
        <v>40</v>
      </c>
      <c r="H461" s="28" t="s">
        <v>40</v>
      </c>
      <c r="I461" s="28" t="s">
        <v>83</v>
      </c>
      <c r="J461" s="28">
        <v>400.0</v>
      </c>
      <c r="K461" s="28">
        <v>160.0</v>
      </c>
      <c r="L461" s="28" t="s">
        <v>88</v>
      </c>
      <c r="M461" s="28" t="s">
        <v>44</v>
      </c>
      <c r="N461" s="28" t="s">
        <v>68</v>
      </c>
      <c r="O461" s="31" t="s">
        <v>89</v>
      </c>
      <c r="P461" s="28" t="s">
        <v>113</v>
      </c>
      <c r="Q461" s="28" t="s">
        <v>80</v>
      </c>
      <c r="R461" s="28"/>
      <c r="S461" s="28"/>
      <c r="T461" s="28" t="s">
        <v>40</v>
      </c>
      <c r="U461" s="28" t="s">
        <v>41</v>
      </c>
      <c r="V461" s="28" t="s">
        <v>43</v>
      </c>
      <c r="W461" s="28" t="s">
        <v>1326</v>
      </c>
      <c r="X461" s="28" t="s">
        <v>92</v>
      </c>
      <c r="Y461" s="28">
        <v>3584.0</v>
      </c>
    </row>
    <row r="462" ht="56.25" customHeight="1">
      <c r="A462" s="28" t="s">
        <v>1322</v>
      </c>
      <c r="B462" s="29" t="str">
        <f>IMAGE("https://storage.googleapis.com/acdb/wall-mounted/FtrStudyposter_Remake_1_0.png")</f>
        <v/>
      </c>
      <c r="C462" s="28" t="s">
        <v>1327</v>
      </c>
      <c r="D462" s="30" t="s">
        <v>83</v>
      </c>
      <c r="E462" s="28" t="s">
        <v>83</v>
      </c>
      <c r="F462" s="30" t="s">
        <v>83</v>
      </c>
      <c r="G462" s="28" t="s">
        <v>40</v>
      </c>
      <c r="H462" s="28" t="s">
        <v>40</v>
      </c>
      <c r="I462" s="28" t="s">
        <v>83</v>
      </c>
      <c r="J462" s="28">
        <v>400.0</v>
      </c>
      <c r="K462" s="28">
        <v>160.0</v>
      </c>
      <c r="L462" s="28" t="s">
        <v>88</v>
      </c>
      <c r="M462" s="28" t="s">
        <v>44</v>
      </c>
      <c r="N462" s="28" t="s">
        <v>68</v>
      </c>
      <c r="O462" s="31" t="s">
        <v>89</v>
      </c>
      <c r="P462" s="28" t="s">
        <v>113</v>
      </c>
      <c r="Q462" s="28" t="s">
        <v>80</v>
      </c>
      <c r="R462" s="28"/>
      <c r="S462" s="28"/>
      <c r="T462" s="28" t="s">
        <v>40</v>
      </c>
      <c r="U462" s="28" t="s">
        <v>41</v>
      </c>
      <c r="V462" s="28" t="s">
        <v>43</v>
      </c>
      <c r="W462" s="28" t="s">
        <v>1328</v>
      </c>
      <c r="X462" s="28" t="s">
        <v>97</v>
      </c>
      <c r="Y462" s="28">
        <v>3584.0</v>
      </c>
    </row>
    <row r="463" ht="56.25" customHeight="1">
      <c r="A463" s="28" t="s">
        <v>1322</v>
      </c>
      <c r="B463" s="29" t="str">
        <f>IMAGE("https://storage.googleapis.com/acdb/wall-mounted/FtrStudyposter_Remake_2_0.png")</f>
        <v/>
      </c>
      <c r="C463" s="28" t="s">
        <v>1331</v>
      </c>
      <c r="D463" s="30" t="s">
        <v>83</v>
      </c>
      <c r="E463" s="28" t="s">
        <v>83</v>
      </c>
      <c r="F463" s="30" t="s">
        <v>83</v>
      </c>
      <c r="G463" s="28" t="s">
        <v>40</v>
      </c>
      <c r="H463" s="28" t="s">
        <v>40</v>
      </c>
      <c r="I463" s="28" t="s">
        <v>83</v>
      </c>
      <c r="J463" s="28">
        <v>400.0</v>
      </c>
      <c r="K463" s="28">
        <v>160.0</v>
      </c>
      <c r="L463" s="28" t="s">
        <v>88</v>
      </c>
      <c r="M463" s="28" t="s">
        <v>44</v>
      </c>
      <c r="N463" s="28" t="s">
        <v>68</v>
      </c>
      <c r="O463" s="31" t="s">
        <v>89</v>
      </c>
      <c r="P463" s="28" t="s">
        <v>113</v>
      </c>
      <c r="Q463" s="28" t="s">
        <v>80</v>
      </c>
      <c r="R463" s="28"/>
      <c r="S463" s="28"/>
      <c r="T463" s="28" t="s">
        <v>40</v>
      </c>
      <c r="U463" s="28" t="s">
        <v>41</v>
      </c>
      <c r="V463" s="28" t="s">
        <v>43</v>
      </c>
      <c r="W463" s="28" t="s">
        <v>1332</v>
      </c>
      <c r="X463" s="28" t="s">
        <v>103</v>
      </c>
      <c r="Y463" s="28">
        <v>3584.0</v>
      </c>
    </row>
    <row r="464" ht="56.25" customHeight="1">
      <c r="A464" s="28" t="s">
        <v>1322</v>
      </c>
      <c r="B464" s="29" t="str">
        <f>IMAGE("https://storage.googleapis.com/acdb/wall-mounted/FtrStudyposter_Remake_3_0.png")</f>
        <v/>
      </c>
      <c r="C464" s="28" t="s">
        <v>1333</v>
      </c>
      <c r="D464" s="30" t="s">
        <v>83</v>
      </c>
      <c r="E464" s="28" t="s">
        <v>83</v>
      </c>
      <c r="F464" s="30" t="s">
        <v>83</v>
      </c>
      <c r="G464" s="28" t="s">
        <v>40</v>
      </c>
      <c r="H464" s="28" t="s">
        <v>40</v>
      </c>
      <c r="I464" s="28" t="s">
        <v>83</v>
      </c>
      <c r="J464" s="28">
        <v>400.0</v>
      </c>
      <c r="K464" s="28">
        <v>160.0</v>
      </c>
      <c r="L464" s="28" t="s">
        <v>88</v>
      </c>
      <c r="M464" s="28" t="s">
        <v>44</v>
      </c>
      <c r="N464" s="28" t="s">
        <v>68</v>
      </c>
      <c r="O464" s="31" t="s">
        <v>89</v>
      </c>
      <c r="P464" s="28" t="s">
        <v>113</v>
      </c>
      <c r="Q464" s="28" t="s">
        <v>80</v>
      </c>
      <c r="R464" s="28"/>
      <c r="S464" s="28"/>
      <c r="T464" s="28" t="s">
        <v>40</v>
      </c>
      <c r="U464" s="28" t="s">
        <v>41</v>
      </c>
      <c r="V464" s="28" t="s">
        <v>43</v>
      </c>
      <c r="W464" s="28" t="s">
        <v>1335</v>
      </c>
      <c r="X464" s="28" t="s">
        <v>110</v>
      </c>
      <c r="Y464" s="28">
        <v>3584.0</v>
      </c>
    </row>
    <row r="465" ht="56.25" customHeight="1">
      <c r="A465" s="13" t="s">
        <v>1091</v>
      </c>
      <c r="B465" s="41" t="str">
        <f>image("https://i.imgur.com/j0aiTyY.png")</f>
        <v/>
      </c>
      <c r="C465" s="22" t="str">
        <f>HYPERLINK("https://imgur.com/a/HVus0ea","Yes")</f>
        <v>Yes</v>
      </c>
      <c r="D465" s="42" t="s">
        <v>28</v>
      </c>
      <c r="E465" s="42" t="s">
        <v>28</v>
      </c>
      <c r="F465" s="38">
        <v>2300.0</v>
      </c>
      <c r="G465" s="38">
        <v>575.0</v>
      </c>
      <c r="H465" s="19">
        <v>7190.0</v>
      </c>
      <c r="I465" s="19" t="s">
        <v>90</v>
      </c>
      <c r="J465" s="19" t="s">
        <v>67</v>
      </c>
      <c r="K465" s="19"/>
      <c r="L465" s="19"/>
      <c r="M465" s="19" t="s">
        <v>1340</v>
      </c>
      <c r="N465" s="19">
        <v>1.0</v>
      </c>
      <c r="O465" s="19" t="s">
        <v>53</v>
      </c>
      <c r="P465" s="19" t="s">
        <v>689</v>
      </c>
      <c r="Q465" s="19" t="s">
        <v>43</v>
      </c>
      <c r="R465" s="19" t="s">
        <v>44</v>
      </c>
      <c r="S465" s="19" t="s">
        <v>68</v>
      </c>
      <c r="T465" s="19"/>
      <c r="U465" s="19"/>
      <c r="V465" s="19"/>
      <c r="W465" s="19"/>
      <c r="X465" s="19"/>
      <c r="Y465" s="19"/>
    </row>
    <row r="466" ht="56.25" customHeight="1">
      <c r="A466" s="13" t="s">
        <v>1106</v>
      </c>
      <c r="B466" s="41" t="str">
        <f>image("https://i.imgur.com/qhfxYc2.png")</f>
        <v/>
      </c>
      <c r="C466" s="25" t="s">
        <v>40</v>
      </c>
      <c r="D466" s="42" t="s">
        <v>28</v>
      </c>
      <c r="E466" s="42" t="s">
        <v>28</v>
      </c>
      <c r="F466" s="38">
        <v>1000.0</v>
      </c>
      <c r="G466" s="38">
        <v>250.0</v>
      </c>
      <c r="H466" s="19">
        <v>1165.0</v>
      </c>
      <c r="I466" s="19" t="s">
        <v>90</v>
      </c>
      <c r="J466" s="19"/>
      <c r="K466" s="19"/>
      <c r="L466" s="19"/>
      <c r="M466" s="19" t="s">
        <v>1340</v>
      </c>
      <c r="N466" s="19"/>
      <c r="O466" s="19" t="s">
        <v>53</v>
      </c>
      <c r="P466" s="19" t="s">
        <v>41</v>
      </c>
      <c r="Q466" s="19" t="s">
        <v>43</v>
      </c>
      <c r="R466" s="19" t="s">
        <v>44</v>
      </c>
      <c r="S466" s="19" t="s">
        <v>68</v>
      </c>
      <c r="T466" s="19"/>
      <c r="U466" s="19"/>
      <c r="V466" s="19"/>
      <c r="W466" s="19"/>
      <c r="X466" s="19"/>
      <c r="Y466" s="19"/>
    </row>
    <row r="467" ht="56.25" customHeight="1">
      <c r="A467" s="13" t="s">
        <v>1109</v>
      </c>
      <c r="B467" s="41" t="str">
        <f>image("https://i.imgur.com/CpSwJ4x.png")</f>
        <v/>
      </c>
      <c r="C467" s="22" t="str">
        <f>HYPERLINK("https://imgur.com/a/8vtvLzR","Yes")</f>
        <v>Yes</v>
      </c>
      <c r="D467" s="42" t="s">
        <v>28</v>
      </c>
      <c r="E467" s="42" t="s">
        <v>28</v>
      </c>
      <c r="F467" s="38">
        <v>340.0</v>
      </c>
      <c r="G467" s="38">
        <v>85.0</v>
      </c>
      <c r="H467" s="19">
        <v>3471.0</v>
      </c>
      <c r="I467" s="19" t="s">
        <v>60</v>
      </c>
      <c r="J467" s="19" t="s">
        <v>90</v>
      </c>
      <c r="K467" s="19"/>
      <c r="L467" s="19"/>
      <c r="M467" s="19" t="s">
        <v>1340</v>
      </c>
      <c r="N467" s="19">
        <v>1.0</v>
      </c>
      <c r="O467" s="19" t="s">
        <v>53</v>
      </c>
      <c r="P467" s="19" t="s">
        <v>41</v>
      </c>
      <c r="Q467" s="19" t="s">
        <v>43</v>
      </c>
      <c r="R467" s="19" t="s">
        <v>44</v>
      </c>
      <c r="S467" s="19" t="s">
        <v>68</v>
      </c>
      <c r="T467" s="19"/>
      <c r="U467" s="19"/>
      <c r="V467" s="19"/>
      <c r="W467" s="19"/>
      <c r="X467" s="19"/>
      <c r="Y467" s="19"/>
    </row>
    <row r="468" ht="56.25" customHeight="1">
      <c r="A468" s="13" t="s">
        <v>1119</v>
      </c>
      <c r="B468" s="41" t="str">
        <f>image("https://i.imgur.com/PNiJ5UP.png")</f>
        <v/>
      </c>
      <c r="C468" s="22" t="str">
        <f>HYPERLINK("https://imgur.com/a/esQ7OPw","Yes")</f>
        <v>Yes</v>
      </c>
      <c r="D468" s="42" t="s">
        <v>28</v>
      </c>
      <c r="E468" s="42" t="s">
        <v>28</v>
      </c>
      <c r="F468" s="38">
        <v>880.0</v>
      </c>
      <c r="G468" s="38">
        <v>220.0</v>
      </c>
      <c r="H468" s="19">
        <v>704.0</v>
      </c>
      <c r="I468" s="19" t="s">
        <v>60</v>
      </c>
      <c r="J468" s="19"/>
      <c r="K468" s="19"/>
      <c r="L468" s="19"/>
      <c r="M468" s="19" t="s">
        <v>1350</v>
      </c>
      <c r="N468" s="19">
        <v>1.0</v>
      </c>
      <c r="O468" s="19" t="s">
        <v>40</v>
      </c>
      <c r="P468" s="19" t="s">
        <v>41</v>
      </c>
      <c r="Q468" s="19" t="s">
        <v>43</v>
      </c>
      <c r="R468" s="19" t="s">
        <v>44</v>
      </c>
      <c r="S468" s="19" t="s">
        <v>63</v>
      </c>
      <c r="T468" s="19"/>
      <c r="U468" s="19"/>
      <c r="V468" s="19"/>
      <c r="W468" s="19"/>
      <c r="X468" s="19"/>
      <c r="Y468" s="19"/>
    </row>
    <row r="469" ht="56.25" customHeight="1">
      <c r="A469" s="13" t="s">
        <v>1139</v>
      </c>
      <c r="B469" s="41" t="str">
        <f>image("https://i.imgur.com/CNnE98g.png")</f>
        <v/>
      </c>
      <c r="C469" s="22" t="str">
        <f>HYPERLINK("https://imgur.com/a/3ZtGAEH","Yes")</f>
        <v>Yes</v>
      </c>
      <c r="D469" s="42" t="s">
        <v>28</v>
      </c>
      <c r="E469" s="42" t="s">
        <v>28</v>
      </c>
      <c r="F469" s="38">
        <v>4200.0</v>
      </c>
      <c r="G469" s="38">
        <v>1050.0</v>
      </c>
      <c r="H469" s="19">
        <v>4756.0</v>
      </c>
      <c r="I469" s="19" t="s">
        <v>113</v>
      </c>
      <c r="J469" s="19"/>
      <c r="K469" s="19"/>
      <c r="L469" s="19" t="s">
        <v>1140</v>
      </c>
      <c r="M469" s="19" t="s">
        <v>1355</v>
      </c>
      <c r="N469" s="19">
        <v>2.0</v>
      </c>
      <c r="O469" s="19" t="s">
        <v>53</v>
      </c>
      <c r="P469" s="19" t="s">
        <v>41</v>
      </c>
      <c r="Q469" s="19" t="s">
        <v>43</v>
      </c>
      <c r="R469" s="19" t="s">
        <v>44</v>
      </c>
      <c r="S469" s="19" t="s">
        <v>68</v>
      </c>
      <c r="T469" s="19"/>
      <c r="U469" s="19"/>
      <c r="V469" s="19"/>
      <c r="W469" s="19"/>
      <c r="X469" s="19"/>
      <c r="Y469" s="19"/>
    </row>
    <row r="470" ht="56.25" customHeight="1">
      <c r="A470" s="13" t="s">
        <v>1154</v>
      </c>
      <c r="B470" s="41" t="str">
        <f>image("https://i.imgur.com/qrGNDkg.png")</f>
        <v/>
      </c>
      <c r="C470" s="22" t="str">
        <f>HYPERLINK("https://imgur.com/a/UElYZQs","Yes")</f>
        <v>Yes</v>
      </c>
      <c r="D470" s="42" t="s">
        <v>50</v>
      </c>
      <c r="E470" s="42" t="s">
        <v>50</v>
      </c>
      <c r="F470" s="38" t="s">
        <v>51</v>
      </c>
      <c r="G470" s="38">
        <v>400.0</v>
      </c>
      <c r="H470" s="19">
        <v>5718.0</v>
      </c>
      <c r="I470" s="19" t="s">
        <v>60</v>
      </c>
      <c r="J470" s="19" t="s">
        <v>113</v>
      </c>
      <c r="K470" s="19"/>
      <c r="L470" s="19"/>
      <c r="M470" s="19" t="s">
        <v>1340</v>
      </c>
      <c r="N470" s="19">
        <v>1.0</v>
      </c>
      <c r="O470" s="19" t="s">
        <v>40</v>
      </c>
      <c r="P470" s="19" t="s">
        <v>41</v>
      </c>
      <c r="Q470" s="19" t="s">
        <v>54</v>
      </c>
      <c r="R470" s="19" t="s">
        <v>55</v>
      </c>
      <c r="S470" s="19"/>
      <c r="T470" s="19"/>
      <c r="U470" s="19"/>
      <c r="V470" s="19"/>
      <c r="W470" s="19"/>
      <c r="X470" s="19"/>
      <c r="Y470" s="19"/>
    </row>
    <row r="471" ht="56.25" customHeight="1">
      <c r="A471" s="13" t="s">
        <v>1174</v>
      </c>
      <c r="B471" s="41" t="str">
        <f>image("https://i.imgur.com/a9YMndm.png")</f>
        <v/>
      </c>
      <c r="C471" s="25" t="s">
        <v>40</v>
      </c>
      <c r="D471" s="42" t="s">
        <v>50</v>
      </c>
      <c r="E471" s="42" t="s">
        <v>28</v>
      </c>
      <c r="F471" s="38" t="s">
        <v>51</v>
      </c>
      <c r="G471" s="38">
        <v>100.0</v>
      </c>
      <c r="H471" s="19">
        <v>4727.0</v>
      </c>
      <c r="I471" s="19" t="s">
        <v>60</v>
      </c>
      <c r="J471" s="19"/>
      <c r="K471" s="19"/>
      <c r="L471" s="19"/>
      <c r="M471" s="19" t="s">
        <v>1340</v>
      </c>
      <c r="N471" s="19"/>
      <c r="O471" s="19" t="s">
        <v>40</v>
      </c>
      <c r="P471" s="19" t="s">
        <v>41</v>
      </c>
      <c r="Q471" s="19" t="s">
        <v>54</v>
      </c>
      <c r="R471" s="19" t="s">
        <v>55</v>
      </c>
      <c r="S471" s="19"/>
      <c r="T471" s="19"/>
      <c r="U471" s="19"/>
      <c r="V471" s="19"/>
      <c r="W471" s="19"/>
      <c r="X471" s="19"/>
      <c r="Y471" s="19"/>
    </row>
    <row r="472" ht="56.25" customHeight="1">
      <c r="A472" s="13" t="s">
        <v>1177</v>
      </c>
      <c r="B472" s="41" t="str">
        <f>image("https://i.imgur.com/DIx7qBc.png")</f>
        <v/>
      </c>
      <c r="C472" s="22" t="str">
        <f>HYPERLINK("https://imgur.com/a/Ru7ZOsI","Yes")</f>
        <v>Yes</v>
      </c>
      <c r="D472" s="42" t="s">
        <v>50</v>
      </c>
      <c r="E472" s="42" t="s">
        <v>50</v>
      </c>
      <c r="F472" s="38" t="s">
        <v>51</v>
      </c>
      <c r="G472" s="38">
        <v>2030.0</v>
      </c>
      <c r="H472" s="19">
        <v>6075.0</v>
      </c>
      <c r="I472" s="19" t="s">
        <v>36</v>
      </c>
      <c r="J472" s="19"/>
      <c r="K472" s="19"/>
      <c r="L472" s="19"/>
      <c r="M472" s="19" t="s">
        <v>1350</v>
      </c>
      <c r="N472" s="19">
        <v>3.0</v>
      </c>
      <c r="O472" s="19" t="s">
        <v>53</v>
      </c>
      <c r="P472" s="19" t="s">
        <v>41</v>
      </c>
      <c r="Q472" s="19" t="s">
        <v>54</v>
      </c>
      <c r="R472" s="19" t="s">
        <v>55</v>
      </c>
      <c r="S472" s="19" t="s">
        <v>1181</v>
      </c>
      <c r="T472" s="19"/>
      <c r="U472" s="19"/>
      <c r="V472" s="19"/>
      <c r="W472" s="19"/>
      <c r="X472" s="19"/>
      <c r="Y472" s="19"/>
    </row>
    <row r="473" ht="56.25" customHeight="1">
      <c r="A473" s="13" t="s">
        <v>1186</v>
      </c>
      <c r="B473" s="41" t="str">
        <f>image("https://i.imgur.com/6aaX8Aw.png")</f>
        <v/>
      </c>
      <c r="C473" s="25" t="s">
        <v>40</v>
      </c>
      <c r="D473" s="42" t="s">
        <v>50</v>
      </c>
      <c r="E473" s="42" t="s">
        <v>28</v>
      </c>
      <c r="F473" s="38" t="s">
        <v>51</v>
      </c>
      <c r="G473" s="38">
        <v>720.0</v>
      </c>
      <c r="H473" s="19">
        <v>5670.0</v>
      </c>
      <c r="I473" s="19" t="s">
        <v>36</v>
      </c>
      <c r="J473" s="19"/>
      <c r="K473" s="19"/>
      <c r="L473" s="19"/>
      <c r="M473" s="19" t="s">
        <v>1340</v>
      </c>
      <c r="N473" s="19"/>
      <c r="O473" s="19" t="s">
        <v>40</v>
      </c>
      <c r="P473" s="19" t="s">
        <v>41</v>
      </c>
      <c r="Q473" s="19" t="s">
        <v>54</v>
      </c>
      <c r="R473" s="19" t="s">
        <v>55</v>
      </c>
      <c r="S473" s="19"/>
      <c r="T473" s="19"/>
      <c r="U473" s="19"/>
      <c r="V473" s="19"/>
      <c r="W473" s="19"/>
      <c r="X473" s="19"/>
      <c r="Y473" s="19"/>
    </row>
    <row r="474" ht="56.25" customHeight="1">
      <c r="A474" s="13" t="s">
        <v>1188</v>
      </c>
      <c r="B474" s="41" t="str">
        <f>image("https://i.imgur.com/6zeWQyY.png")</f>
        <v/>
      </c>
      <c r="C474" s="22" t="str">
        <f>HYPERLINK("https://imgur.com/a/qCgn3N5","Yes")</f>
        <v>Yes</v>
      </c>
      <c r="D474" s="42" t="s">
        <v>28</v>
      </c>
      <c r="E474" s="42" t="s">
        <v>28</v>
      </c>
      <c r="F474" s="38">
        <v>1200.0</v>
      </c>
      <c r="G474" s="38">
        <v>300.0</v>
      </c>
      <c r="H474" s="19">
        <v>957.0</v>
      </c>
      <c r="I474" s="19" t="s">
        <v>86</v>
      </c>
      <c r="J474" s="19" t="s">
        <v>37</v>
      </c>
      <c r="K474" s="19"/>
      <c r="L474" s="19"/>
      <c r="M474" s="19" t="s">
        <v>1340</v>
      </c>
      <c r="N474" s="19">
        <v>1.0</v>
      </c>
      <c r="O474" s="19" t="s">
        <v>53</v>
      </c>
      <c r="P474" s="19" t="s">
        <v>41</v>
      </c>
      <c r="Q474" s="19" t="s">
        <v>43</v>
      </c>
      <c r="R474" s="19" t="s">
        <v>44</v>
      </c>
      <c r="S474" s="19" t="s">
        <v>63</v>
      </c>
      <c r="T474" s="19"/>
      <c r="U474" s="19"/>
      <c r="V474" s="19"/>
      <c r="W474" s="19"/>
      <c r="X474" s="19"/>
      <c r="Y474" s="19"/>
    </row>
    <row r="475" ht="56.25" customHeight="1">
      <c r="A475" s="13" t="s">
        <v>1199</v>
      </c>
      <c r="B475" s="41" t="str">
        <f>image("https://i.imgur.com/Le2PFTe.png")</f>
        <v/>
      </c>
      <c r="C475" s="22" t="str">
        <f>HYPERLINK("https://imgur.com/a/6rppfuA","Yes")</f>
        <v>Yes</v>
      </c>
      <c r="D475" s="42" t="s">
        <v>28</v>
      </c>
      <c r="E475" s="42" t="s">
        <v>28</v>
      </c>
      <c r="F475" s="38">
        <v>690.0</v>
      </c>
      <c r="G475" s="43">
        <v>172.0</v>
      </c>
      <c r="H475" s="19">
        <v>1744.0</v>
      </c>
      <c r="I475" s="19" t="s">
        <v>61</v>
      </c>
      <c r="J475" s="19" t="s">
        <v>80</v>
      </c>
      <c r="K475" s="19"/>
      <c r="L475" s="19"/>
      <c r="M475" s="19" t="s">
        <v>1340</v>
      </c>
      <c r="N475" s="19">
        <v>1.0</v>
      </c>
      <c r="O475" s="19" t="s">
        <v>53</v>
      </c>
      <c r="P475" s="19" t="s">
        <v>41</v>
      </c>
      <c r="Q475" s="19" t="s">
        <v>43</v>
      </c>
      <c r="R475" s="19" t="s">
        <v>44</v>
      </c>
      <c r="S475" s="19" t="s">
        <v>63</v>
      </c>
      <c r="T475" s="19"/>
      <c r="U475" s="19"/>
      <c r="V475" s="19"/>
      <c r="W475" s="19"/>
      <c r="X475" s="19"/>
      <c r="Y475" s="19"/>
    </row>
    <row r="476" ht="56.25" customHeight="1">
      <c r="A476" s="13" t="s">
        <v>1210</v>
      </c>
      <c r="B476" s="41" t="str">
        <f>image("https://i.imgur.com/g70dUrG.png")</f>
        <v/>
      </c>
      <c r="C476" s="22" t="str">
        <f>HYPERLINK("https://imgur.com/a/FqgWjIt","Yes")</f>
        <v>Yes</v>
      </c>
      <c r="D476" s="42" t="s">
        <v>28</v>
      </c>
      <c r="E476" s="42" t="s">
        <v>28</v>
      </c>
      <c r="F476" s="38">
        <v>1400.0</v>
      </c>
      <c r="G476" s="38">
        <v>350.0</v>
      </c>
      <c r="H476" s="19">
        <v>3431.0</v>
      </c>
      <c r="I476" s="19" t="s">
        <v>61</v>
      </c>
      <c r="J476" s="19" t="s">
        <v>80</v>
      </c>
      <c r="K476" s="19"/>
      <c r="L476" s="19"/>
      <c r="M476" s="19" t="s">
        <v>1340</v>
      </c>
      <c r="N476" s="19">
        <v>1.0</v>
      </c>
      <c r="O476" s="19" t="s">
        <v>53</v>
      </c>
      <c r="P476" s="19" t="s">
        <v>41</v>
      </c>
      <c r="Q476" s="19" t="s">
        <v>43</v>
      </c>
      <c r="R476" s="19" t="s">
        <v>44</v>
      </c>
      <c r="S476" s="19" t="s">
        <v>68</v>
      </c>
      <c r="T476" s="19"/>
      <c r="U476" s="19"/>
      <c r="V476" s="19"/>
      <c r="W476" s="19"/>
      <c r="X476" s="19"/>
      <c r="Y476" s="19"/>
    </row>
    <row r="477" ht="56.25" customHeight="1">
      <c r="A477" s="13" t="s">
        <v>1227</v>
      </c>
      <c r="B477" s="41" t="str">
        <f>image("https://i.imgur.com/xjgKxAg.png")</f>
        <v/>
      </c>
      <c r="C477" s="22" t="str">
        <f>HYPERLINK("https://imgur.com/a/ASeaJED","Yes")</f>
        <v>Yes</v>
      </c>
      <c r="D477" s="44" t="s">
        <v>28</v>
      </c>
      <c r="E477" s="44" t="s">
        <v>28</v>
      </c>
      <c r="F477" s="38">
        <v>800.0</v>
      </c>
      <c r="G477" s="38">
        <v>200.0</v>
      </c>
      <c r="H477" s="19">
        <v>5165.0</v>
      </c>
      <c r="I477" s="19" t="s">
        <v>346</v>
      </c>
      <c r="J477" s="19"/>
      <c r="K477" s="19"/>
      <c r="L477" s="19"/>
      <c r="M477" s="19" t="s">
        <v>1340</v>
      </c>
      <c r="N477" s="19">
        <v>1.0</v>
      </c>
      <c r="O477" s="19" t="s">
        <v>53</v>
      </c>
      <c r="P477" s="19" t="s">
        <v>164</v>
      </c>
      <c r="Q477" s="19" t="s">
        <v>43</v>
      </c>
      <c r="R477" s="19" t="s">
        <v>44</v>
      </c>
      <c r="S477" s="19" t="s">
        <v>63</v>
      </c>
      <c r="T477" s="19"/>
      <c r="U477" s="19"/>
      <c r="V477" s="19"/>
      <c r="W477" s="19"/>
      <c r="X477" s="19"/>
      <c r="Y477" s="19"/>
    </row>
    <row r="478" ht="56.25" customHeight="1">
      <c r="A478" s="13" t="s">
        <v>1239</v>
      </c>
      <c r="B478" s="41" t="str">
        <f>image("https://i.imgur.com/3AFGXN9.png")</f>
        <v/>
      </c>
      <c r="C478" s="22" t="str">
        <f>HYPERLINK("https://imgur.com/a/21wT0df","Yes")</f>
        <v>Yes</v>
      </c>
      <c r="D478" s="44" t="s">
        <v>28</v>
      </c>
      <c r="E478" s="44" t="s">
        <v>28</v>
      </c>
      <c r="F478" s="38">
        <v>1300.0</v>
      </c>
      <c r="G478" s="38">
        <v>325.0</v>
      </c>
      <c r="H478" s="19">
        <v>3987.0</v>
      </c>
      <c r="I478" s="19" t="s">
        <v>60</v>
      </c>
      <c r="J478" s="19"/>
      <c r="K478" s="19"/>
      <c r="L478" s="19"/>
      <c r="M478" s="19" t="s">
        <v>1340</v>
      </c>
      <c r="N478" s="19">
        <v>1.0</v>
      </c>
      <c r="O478" s="19" t="s">
        <v>53</v>
      </c>
      <c r="P478" s="19" t="s">
        <v>41</v>
      </c>
      <c r="Q478" s="19" t="s">
        <v>43</v>
      </c>
      <c r="R478" s="19" t="s">
        <v>44</v>
      </c>
      <c r="S478" s="19" t="s">
        <v>68</v>
      </c>
      <c r="T478" s="19"/>
      <c r="U478" s="19"/>
      <c r="V478" s="19"/>
      <c r="W478" s="19"/>
      <c r="X478" s="19"/>
      <c r="Y478" s="19"/>
    </row>
    <row r="479" ht="56.25" customHeight="1">
      <c r="A479" s="13" t="s">
        <v>1251</v>
      </c>
      <c r="B479" s="41" t="str">
        <f>image("https://i.imgur.com/YADhZjA.png")</f>
        <v/>
      </c>
      <c r="C479" s="22" t="str">
        <f>HYPERLINK("https://imgur.com/a/KLTJtOF","Yes")</f>
        <v>Yes</v>
      </c>
      <c r="D479" s="44" t="s">
        <v>28</v>
      </c>
      <c r="E479" s="44" t="s">
        <v>28</v>
      </c>
      <c r="F479" s="38">
        <v>1500.0</v>
      </c>
      <c r="G479" s="38">
        <v>375.0</v>
      </c>
      <c r="H479" s="19">
        <v>8417.0</v>
      </c>
      <c r="I479" s="19" t="s">
        <v>243</v>
      </c>
      <c r="J479" s="19"/>
      <c r="K479" s="19"/>
      <c r="L479" s="19"/>
      <c r="M479" s="19" t="s">
        <v>1384</v>
      </c>
      <c r="N479" s="19">
        <v>1.0</v>
      </c>
      <c r="O479" s="19" t="s">
        <v>40</v>
      </c>
      <c r="P479" s="19" t="s">
        <v>41</v>
      </c>
      <c r="Q479" s="19" t="s">
        <v>43</v>
      </c>
      <c r="R479" s="19" t="s">
        <v>44</v>
      </c>
      <c r="S479" s="19" t="s">
        <v>63</v>
      </c>
      <c r="T479" s="19"/>
      <c r="U479" s="19"/>
      <c r="V479" s="19"/>
      <c r="W479" s="19"/>
      <c r="X479" s="19"/>
      <c r="Y479" s="19"/>
    </row>
    <row r="480" ht="56.25" customHeight="1">
      <c r="A480" s="13" t="s">
        <v>1265</v>
      </c>
      <c r="B480" s="41" t="str">
        <f>image("https://i.imgur.com/HnI99Gm.png")</f>
        <v/>
      </c>
      <c r="C480" s="22" t="str">
        <f>HYPERLINK("https://imgur.com/a/eewIGID","Yes")</f>
        <v>Yes</v>
      </c>
      <c r="D480" s="42" t="s">
        <v>28</v>
      </c>
      <c r="E480" s="42" t="s">
        <v>28</v>
      </c>
      <c r="F480" s="38">
        <v>8900.0</v>
      </c>
      <c r="G480" s="38">
        <v>2225.0</v>
      </c>
      <c r="H480" s="19">
        <v>3986.0</v>
      </c>
      <c r="I480" s="19" t="s">
        <v>60</v>
      </c>
      <c r="J480" s="19"/>
      <c r="K480" s="19"/>
      <c r="L480" s="19"/>
      <c r="M480" s="19" t="s">
        <v>1340</v>
      </c>
      <c r="N480" s="19">
        <v>3.0</v>
      </c>
      <c r="O480" s="19" t="s">
        <v>53</v>
      </c>
      <c r="P480" s="19" t="s">
        <v>215</v>
      </c>
      <c r="Q480" s="19" t="s">
        <v>43</v>
      </c>
      <c r="R480" s="19" t="s">
        <v>44</v>
      </c>
      <c r="S480" s="19" t="s">
        <v>65</v>
      </c>
      <c r="T480" s="19"/>
      <c r="U480" s="19"/>
      <c r="V480" s="19"/>
      <c r="W480" s="19"/>
      <c r="X480" s="19"/>
      <c r="Y480" s="19"/>
    </row>
    <row r="481" ht="56.25" customHeight="1">
      <c r="A481" s="13" t="s">
        <v>1280</v>
      </c>
      <c r="B481" s="41" t="str">
        <f>image("https://i.imgur.com/4dBaXkk.png")</f>
        <v/>
      </c>
      <c r="C481" s="22" t="str">
        <f>HYPERLINK("https://imgur.com/a/C0kFKx9","Yes")</f>
        <v>Yes</v>
      </c>
      <c r="D481" s="42" t="s">
        <v>28</v>
      </c>
      <c r="E481" s="42" t="s">
        <v>28</v>
      </c>
      <c r="F481" s="38">
        <v>22000.0</v>
      </c>
      <c r="G481" s="38">
        <v>5500.0</v>
      </c>
      <c r="H481" s="19">
        <v>3428.0</v>
      </c>
      <c r="I481" s="19" t="s">
        <v>60</v>
      </c>
      <c r="J481" s="19"/>
      <c r="K481" s="19"/>
      <c r="L481" s="19"/>
      <c r="M481" s="19" t="s">
        <v>1384</v>
      </c>
      <c r="N481" s="19">
        <v>7.0</v>
      </c>
      <c r="O481" s="19" t="s">
        <v>53</v>
      </c>
      <c r="P481" s="19" t="s">
        <v>215</v>
      </c>
      <c r="Q481" s="19" t="s">
        <v>43</v>
      </c>
      <c r="R481" s="19" t="s">
        <v>44</v>
      </c>
      <c r="S481" s="19" t="s">
        <v>65</v>
      </c>
      <c r="T481" s="19"/>
      <c r="U481" s="19"/>
      <c r="V481" s="19"/>
      <c r="W481" s="19"/>
      <c r="X481" s="19"/>
      <c r="Y481" s="19"/>
    </row>
    <row r="482" ht="56.25" customHeight="1">
      <c r="A482" s="13" t="s">
        <v>1290</v>
      </c>
      <c r="B482" s="41" t="str">
        <f>image("https://i.imgur.com/Ka1fwPz.png")</f>
        <v/>
      </c>
      <c r="C482" s="25" t="s">
        <v>40</v>
      </c>
      <c r="D482" s="44" t="s">
        <v>28</v>
      </c>
      <c r="E482" s="44" t="s">
        <v>28</v>
      </c>
      <c r="F482" s="38">
        <v>2500.0</v>
      </c>
      <c r="G482" s="38">
        <v>625.0</v>
      </c>
      <c r="H482" s="19">
        <v>11100.0</v>
      </c>
      <c r="I482" s="19" t="s">
        <v>90</v>
      </c>
      <c r="J482" s="19"/>
      <c r="K482" s="19"/>
      <c r="L482" s="19"/>
      <c r="M482" s="19" t="s">
        <v>1340</v>
      </c>
      <c r="N482" s="19"/>
      <c r="O482" s="19" t="s">
        <v>40</v>
      </c>
      <c r="P482" s="19" t="s">
        <v>41</v>
      </c>
      <c r="Q482" s="19" t="s">
        <v>43</v>
      </c>
      <c r="R482" s="19" t="s">
        <v>44</v>
      </c>
      <c r="S482" s="19" t="s">
        <v>68</v>
      </c>
      <c r="T482" s="19"/>
      <c r="U482" s="19"/>
      <c r="V482" s="19"/>
      <c r="W482" s="19"/>
      <c r="X482" s="19"/>
      <c r="Y482" s="19"/>
    </row>
    <row r="483" ht="56.25" customHeight="1">
      <c r="A483" s="13" t="s">
        <v>1295</v>
      </c>
      <c r="B483" s="41" t="str">
        <f>image("https://i.imgur.com/5ODvkTv.png")</f>
        <v/>
      </c>
      <c r="C483" s="25" t="s">
        <v>40</v>
      </c>
      <c r="D483" s="42" t="s">
        <v>50</v>
      </c>
      <c r="E483" s="42" t="s">
        <v>28</v>
      </c>
      <c r="F483" s="38" t="s">
        <v>51</v>
      </c>
      <c r="G483" s="38">
        <v>720.0</v>
      </c>
      <c r="H483" s="19">
        <v>5436.0</v>
      </c>
      <c r="I483" s="19" t="s">
        <v>36</v>
      </c>
      <c r="J483" s="19"/>
      <c r="K483" s="19"/>
      <c r="L483" s="19"/>
      <c r="M483" s="19" t="s">
        <v>1340</v>
      </c>
      <c r="N483" s="19"/>
      <c r="O483" s="19" t="s">
        <v>40</v>
      </c>
      <c r="P483" s="19" t="s">
        <v>41</v>
      </c>
      <c r="Q483" s="19" t="s">
        <v>54</v>
      </c>
      <c r="R483" s="19" t="s">
        <v>55</v>
      </c>
      <c r="S483" s="19"/>
      <c r="T483" s="19"/>
      <c r="U483" s="19"/>
      <c r="V483" s="19"/>
      <c r="W483" s="19"/>
      <c r="X483" s="19"/>
      <c r="Y483" s="19"/>
    </row>
    <row r="484" ht="56.25" customHeight="1">
      <c r="A484" s="13" t="s">
        <v>1298</v>
      </c>
      <c r="B484" s="41" t="str">
        <f>image("https://i.imgur.com/27qECu1.png")</f>
        <v/>
      </c>
      <c r="C484" s="22" t="str">
        <f>HYPERLINK("https://imgur.com/a/IWiywdP","Yes")</f>
        <v>Yes</v>
      </c>
      <c r="D484" s="42" t="s">
        <v>50</v>
      </c>
      <c r="E484" s="42" t="s">
        <v>50</v>
      </c>
      <c r="F484" s="38" t="s">
        <v>51</v>
      </c>
      <c r="G484" s="38">
        <v>1350.0</v>
      </c>
      <c r="H484" s="19">
        <v>3208.0</v>
      </c>
      <c r="I484" s="19" t="s">
        <v>113</v>
      </c>
      <c r="J484" s="19"/>
      <c r="K484" s="19"/>
      <c r="L484" s="19"/>
      <c r="M484" s="19" t="s">
        <v>1340</v>
      </c>
      <c r="N484" s="19">
        <v>2.0</v>
      </c>
      <c r="O484" s="19" t="s">
        <v>53</v>
      </c>
      <c r="P484" s="19" t="s">
        <v>41</v>
      </c>
      <c r="Q484" s="19" t="s">
        <v>54</v>
      </c>
      <c r="R484" s="19" t="s">
        <v>55</v>
      </c>
      <c r="S484" s="19"/>
      <c r="T484" s="19"/>
      <c r="U484" s="19"/>
      <c r="V484" s="19"/>
      <c r="W484" s="19"/>
      <c r="X484" s="19"/>
      <c r="Y484" s="19"/>
    </row>
    <row r="485" ht="56.25" customHeight="1">
      <c r="A485" s="13" t="s">
        <v>1313</v>
      </c>
      <c r="B485" s="41" t="str">
        <f>image("https://i.imgur.com/HxUmcq3.png")</f>
        <v/>
      </c>
      <c r="C485" s="22" t="str">
        <f>HYPERLINK("https://imgur.com/a/PrTAQuW","Yes")</f>
        <v>Yes</v>
      </c>
      <c r="D485" s="42" t="s">
        <v>50</v>
      </c>
      <c r="E485" s="42" t="s">
        <v>50</v>
      </c>
      <c r="F485" s="38" t="s">
        <v>51</v>
      </c>
      <c r="G485" s="38">
        <v>600.0</v>
      </c>
      <c r="H485" s="19">
        <v>5636.0</v>
      </c>
      <c r="I485" s="19" t="s">
        <v>161</v>
      </c>
      <c r="J485" s="19"/>
      <c r="K485" s="19"/>
      <c r="L485" s="19"/>
      <c r="M485" s="19" t="s">
        <v>1384</v>
      </c>
      <c r="N485" s="19">
        <v>1.0</v>
      </c>
      <c r="O485" s="19" t="s">
        <v>40</v>
      </c>
      <c r="P485" s="19" t="s">
        <v>41</v>
      </c>
      <c r="Q485" s="19" t="s">
        <v>54</v>
      </c>
      <c r="R485" s="19" t="s">
        <v>55</v>
      </c>
      <c r="S485" s="19"/>
      <c r="T485" s="19"/>
      <c r="U485" s="19"/>
      <c r="V485" s="19"/>
      <c r="W485" s="19"/>
      <c r="X485" s="19"/>
      <c r="Y485" s="19"/>
    </row>
    <row r="486" ht="56.25" customHeight="1">
      <c r="A486" s="13" t="s">
        <v>1322</v>
      </c>
      <c r="B486" s="41" t="str">
        <f>image("https://i.imgur.com/OikQ6Oi.png")</f>
        <v/>
      </c>
      <c r="C486" s="22" t="str">
        <f>HYPERLINK("https://imgur.com/a/NCXqckh","Yes")</f>
        <v>Yes</v>
      </c>
      <c r="D486" s="42" t="s">
        <v>28</v>
      </c>
      <c r="E486" s="42" t="s">
        <v>28</v>
      </c>
      <c r="F486" s="38">
        <v>400.0</v>
      </c>
      <c r="G486" s="38">
        <v>160.0</v>
      </c>
      <c r="H486" s="19">
        <v>3584.0</v>
      </c>
      <c r="I486" s="19" t="s">
        <v>113</v>
      </c>
      <c r="J486" s="19" t="s">
        <v>80</v>
      </c>
      <c r="K486" s="19"/>
      <c r="L486" s="19"/>
      <c r="M486" s="19" t="s">
        <v>1384</v>
      </c>
      <c r="N486" s="19">
        <v>1.0</v>
      </c>
      <c r="O486" s="19" t="s">
        <v>40</v>
      </c>
      <c r="P486" s="19" t="s">
        <v>41</v>
      </c>
      <c r="Q486" s="19" t="s">
        <v>43</v>
      </c>
      <c r="R486" s="19" t="s">
        <v>44</v>
      </c>
      <c r="S486" s="19" t="s">
        <v>68</v>
      </c>
      <c r="T486" s="19"/>
      <c r="U486" s="19"/>
      <c r="V486" s="19"/>
      <c r="W486" s="19"/>
      <c r="X486" s="19"/>
      <c r="Y486" s="19"/>
    </row>
    <row r="487" ht="30.0" customHeight="1">
      <c r="A487" s="1" t="s">
        <v>0</v>
      </c>
      <c r="B487" s="3" t="s">
        <v>1</v>
      </c>
      <c r="C487" s="45" t="s">
        <v>3</v>
      </c>
      <c r="D487" s="3" t="s">
        <v>4</v>
      </c>
      <c r="E487" s="7" t="s">
        <v>5</v>
      </c>
      <c r="F487" s="1" t="s">
        <v>6</v>
      </c>
      <c r="G487" s="1" t="s">
        <v>7</v>
      </c>
      <c r="H487" s="7" t="s">
        <v>8</v>
      </c>
      <c r="I487" s="7" t="s">
        <v>9</v>
      </c>
      <c r="J487" s="7" t="s">
        <v>10</v>
      </c>
      <c r="K487" s="7" t="s">
        <v>11</v>
      </c>
      <c r="L487" s="7" t="s">
        <v>29</v>
      </c>
      <c r="M487" s="7" t="s">
        <v>12</v>
      </c>
      <c r="N487" s="7" t="s">
        <v>13</v>
      </c>
      <c r="O487" s="7" t="s">
        <v>16</v>
      </c>
      <c r="P487" s="7" t="s">
        <v>1406</v>
      </c>
      <c r="Q487" s="7" t="s">
        <v>18</v>
      </c>
      <c r="R487" s="7" t="s">
        <v>19</v>
      </c>
      <c r="S487" s="7" t="s">
        <v>20</v>
      </c>
      <c r="T487" s="7"/>
      <c r="U487" s="7"/>
      <c r="V487" s="7"/>
      <c r="W487" s="7"/>
      <c r="X487" s="7"/>
      <c r="Y487" s="7"/>
    </row>
    <row r="488" ht="56.25" customHeight="1">
      <c r="A488" s="13" t="s">
        <v>78</v>
      </c>
      <c r="B488" s="15" t="str">
        <f>image("https://storage.googleapis.com/acdb/wall-mounted/FtrAirconditioner_Remake_0_0.png")</f>
        <v/>
      </c>
      <c r="C488" s="19" t="s">
        <v>82</v>
      </c>
      <c r="D488" s="42" t="s">
        <v>28</v>
      </c>
      <c r="E488" s="42" t="s">
        <v>28</v>
      </c>
      <c r="F488" s="38">
        <v>63000.0</v>
      </c>
      <c r="G488" s="38">
        <v>15750.0</v>
      </c>
      <c r="H488" s="19">
        <v>929.0</v>
      </c>
      <c r="I488" s="19" t="s">
        <v>61</v>
      </c>
      <c r="J488" s="19" t="s">
        <v>90</v>
      </c>
      <c r="K488" s="19"/>
      <c r="L488" s="19"/>
      <c r="M488" s="19" t="s">
        <v>1384</v>
      </c>
      <c r="N488" s="19">
        <v>7.0</v>
      </c>
      <c r="O488" s="19" t="s">
        <v>53</v>
      </c>
      <c r="P488" s="19" t="s">
        <v>41</v>
      </c>
      <c r="Q488" s="19" t="s">
        <v>43</v>
      </c>
      <c r="R488" s="19" t="s">
        <v>44</v>
      </c>
      <c r="S488" s="19" t="s">
        <v>65</v>
      </c>
      <c r="T488" s="19"/>
      <c r="U488" s="19"/>
      <c r="V488" s="19"/>
      <c r="W488" s="19"/>
      <c r="X488" s="19"/>
      <c r="Y488" s="19"/>
    </row>
    <row r="489" ht="56.25" customHeight="1">
      <c r="A489" s="13" t="s">
        <v>78</v>
      </c>
      <c r="B489" s="15" t="str">
        <f>image("https://storage.googleapis.com/acdb/wall-mounted/FtrAirconditioner_Remake_1_0.png")</f>
        <v/>
      </c>
      <c r="C489" s="19" t="s">
        <v>94</v>
      </c>
      <c r="D489" s="42" t="s">
        <v>28</v>
      </c>
      <c r="E489" s="42" t="s">
        <v>28</v>
      </c>
      <c r="F489" s="38">
        <v>63000.0</v>
      </c>
      <c r="G489" s="38">
        <v>15750.0</v>
      </c>
      <c r="H489" s="19">
        <v>929.0</v>
      </c>
      <c r="I489" s="19" t="s">
        <v>61</v>
      </c>
      <c r="J489" s="19" t="s">
        <v>90</v>
      </c>
      <c r="K489" s="19"/>
      <c r="L489" s="19"/>
      <c r="M489" s="19" t="s">
        <v>1384</v>
      </c>
      <c r="N489" s="19">
        <v>7.0</v>
      </c>
      <c r="O489" s="19" t="s">
        <v>53</v>
      </c>
      <c r="P489" s="19" t="s">
        <v>41</v>
      </c>
      <c r="Q489" s="19" t="s">
        <v>43</v>
      </c>
      <c r="R489" s="19" t="s">
        <v>44</v>
      </c>
      <c r="S489" s="19" t="s">
        <v>65</v>
      </c>
      <c r="T489" s="19"/>
      <c r="U489" s="19"/>
      <c r="V489" s="19"/>
      <c r="W489" s="19"/>
      <c r="X489" s="19"/>
      <c r="Y489" s="19"/>
    </row>
    <row r="490" ht="56.25" customHeight="1">
      <c r="A490" s="13" t="s">
        <v>78</v>
      </c>
      <c r="B490" s="15" t="str">
        <f>image("https://storage.googleapis.com/acdb/wall-mounted/FtrAirconditioner_Remake_2_0.png")</f>
        <v/>
      </c>
      <c r="C490" s="19" t="s">
        <v>99</v>
      </c>
      <c r="D490" s="42" t="s">
        <v>28</v>
      </c>
      <c r="E490" s="42" t="s">
        <v>28</v>
      </c>
      <c r="F490" s="38">
        <v>63000.0</v>
      </c>
      <c r="G490" s="38">
        <v>15750.0</v>
      </c>
      <c r="H490" s="19">
        <v>929.0</v>
      </c>
      <c r="I490" s="19" t="s">
        <v>61</v>
      </c>
      <c r="J490" s="19" t="s">
        <v>90</v>
      </c>
      <c r="K490" s="19"/>
      <c r="L490" s="19"/>
      <c r="M490" s="19" t="s">
        <v>1384</v>
      </c>
      <c r="N490" s="19">
        <v>7.0</v>
      </c>
      <c r="O490" s="19" t="s">
        <v>53</v>
      </c>
      <c r="P490" s="19" t="s">
        <v>41</v>
      </c>
      <c r="Q490" s="19" t="s">
        <v>43</v>
      </c>
      <c r="R490" s="19" t="s">
        <v>44</v>
      </c>
      <c r="S490" s="19" t="s">
        <v>65</v>
      </c>
      <c r="T490" s="19"/>
      <c r="U490" s="19"/>
      <c r="V490" s="19"/>
      <c r="W490" s="19"/>
      <c r="X490" s="19"/>
      <c r="Y490" s="19"/>
    </row>
    <row r="491" ht="56.25" customHeight="1">
      <c r="A491" s="13" t="s">
        <v>78</v>
      </c>
      <c r="B491" s="15" t="str">
        <f>image("https://storage.googleapis.com/acdb/wall-mounted/FtrAirconditioner_Remake_3_0.png")</f>
        <v/>
      </c>
      <c r="C491" s="19" t="s">
        <v>107</v>
      </c>
      <c r="D491" s="42" t="s">
        <v>28</v>
      </c>
      <c r="E491" s="42" t="s">
        <v>28</v>
      </c>
      <c r="F491" s="38">
        <v>63000.0</v>
      </c>
      <c r="G491" s="38">
        <v>15750.0</v>
      </c>
      <c r="H491" s="19">
        <v>929.0</v>
      </c>
      <c r="I491" s="19" t="s">
        <v>61</v>
      </c>
      <c r="J491" s="19" t="s">
        <v>90</v>
      </c>
      <c r="K491" s="19"/>
      <c r="L491" s="19"/>
      <c r="M491" s="19" t="s">
        <v>1384</v>
      </c>
      <c r="N491" s="19">
        <v>7.0</v>
      </c>
      <c r="O491" s="19" t="s">
        <v>53</v>
      </c>
      <c r="P491" s="19" t="s">
        <v>41</v>
      </c>
      <c r="Q491" s="19" t="s">
        <v>43</v>
      </c>
      <c r="R491" s="19" t="s">
        <v>44</v>
      </c>
      <c r="S491" s="19" t="s">
        <v>65</v>
      </c>
      <c r="T491" s="19"/>
      <c r="U491" s="19"/>
      <c r="V491" s="19"/>
      <c r="W491" s="19"/>
      <c r="X491" s="19"/>
      <c r="Y491" s="19"/>
    </row>
    <row r="492" ht="56.25" customHeight="1">
      <c r="A492" s="13" t="s">
        <v>78</v>
      </c>
      <c r="B492" s="15" t="str">
        <f>image("https://storage.googleapis.com/acdb/wall-mounted/FtrAirconditioner_Remake_4_0.png")</f>
        <v/>
      </c>
      <c r="C492" s="19" t="s">
        <v>112</v>
      </c>
      <c r="D492" s="42" t="s">
        <v>28</v>
      </c>
      <c r="E492" s="42" t="s">
        <v>28</v>
      </c>
      <c r="F492" s="38">
        <v>63000.0</v>
      </c>
      <c r="G492" s="38">
        <v>15750.0</v>
      </c>
      <c r="H492" s="19">
        <v>929.0</v>
      </c>
      <c r="I492" s="19" t="s">
        <v>61</v>
      </c>
      <c r="J492" s="19" t="s">
        <v>90</v>
      </c>
      <c r="K492" s="19"/>
      <c r="L492" s="19"/>
      <c r="M492" s="19" t="s">
        <v>1384</v>
      </c>
      <c r="N492" s="19">
        <v>7.0</v>
      </c>
      <c r="O492" s="19" t="s">
        <v>53</v>
      </c>
      <c r="P492" s="19" t="s">
        <v>41</v>
      </c>
      <c r="Q492" s="19" t="s">
        <v>43</v>
      </c>
      <c r="R492" s="19" t="s">
        <v>44</v>
      </c>
      <c r="S492" s="19" t="s">
        <v>65</v>
      </c>
      <c r="T492" s="19"/>
      <c r="U492" s="19"/>
      <c r="V492" s="19"/>
      <c r="W492" s="19"/>
      <c r="X492" s="19"/>
      <c r="Y492" s="19"/>
    </row>
    <row r="493" ht="56.25" customHeight="1">
      <c r="A493" s="13" t="s">
        <v>78</v>
      </c>
      <c r="B493" s="15" t="str">
        <f>image("https://storage.googleapis.com/acdb/wall-mounted/FtrAirconditioner_Remake_5_0.png")</f>
        <v/>
      </c>
      <c r="C493" s="19" t="s">
        <v>118</v>
      </c>
      <c r="D493" s="42" t="s">
        <v>28</v>
      </c>
      <c r="E493" s="42" t="s">
        <v>28</v>
      </c>
      <c r="F493" s="38">
        <v>63000.0</v>
      </c>
      <c r="G493" s="38">
        <v>15750.0</v>
      </c>
      <c r="H493" s="19">
        <v>929.0</v>
      </c>
      <c r="I493" s="19" t="s">
        <v>61</v>
      </c>
      <c r="J493" s="19" t="s">
        <v>90</v>
      </c>
      <c r="K493" s="19"/>
      <c r="L493" s="19"/>
      <c r="M493" s="19" t="s">
        <v>1384</v>
      </c>
      <c r="N493" s="19">
        <v>7.0</v>
      </c>
      <c r="O493" s="19" t="s">
        <v>53</v>
      </c>
      <c r="P493" s="19" t="s">
        <v>41</v>
      </c>
      <c r="Q493" s="19" t="s">
        <v>43</v>
      </c>
      <c r="R493" s="19" t="s">
        <v>44</v>
      </c>
      <c r="S493" s="19" t="s">
        <v>65</v>
      </c>
      <c r="T493" s="19"/>
      <c r="U493" s="19"/>
      <c r="V493" s="19"/>
      <c r="W493" s="19"/>
      <c r="X493" s="19"/>
      <c r="Y493" s="19"/>
    </row>
    <row r="494" ht="56.25" customHeight="1">
      <c r="A494" s="13" t="s">
        <v>121</v>
      </c>
      <c r="B494" s="15" t="str">
        <f>image("https://storage.googleapis.com/acdb/wall-mounted/FtrAntiquePhoneW_Remake_0_0.png")</f>
        <v/>
      </c>
      <c r="C494" s="19" t="s">
        <v>118</v>
      </c>
      <c r="D494" s="42" t="s">
        <v>28</v>
      </c>
      <c r="E494" s="42" t="s">
        <v>28</v>
      </c>
      <c r="F494" s="13">
        <v>16000.0</v>
      </c>
      <c r="G494" s="13">
        <v>4000.0</v>
      </c>
      <c r="H494" s="19">
        <v>3953.0</v>
      </c>
      <c r="I494" s="19" t="s">
        <v>60</v>
      </c>
      <c r="J494" s="19" t="s">
        <v>62</v>
      </c>
      <c r="K494" s="19" t="s">
        <v>104</v>
      </c>
      <c r="L494" s="19"/>
      <c r="M494" s="19" t="s">
        <v>1340</v>
      </c>
      <c r="N494" s="19">
        <v>6.0</v>
      </c>
      <c r="O494" s="19" t="s">
        <v>40</v>
      </c>
      <c r="P494" s="19" t="s">
        <v>41</v>
      </c>
      <c r="Q494" s="19" t="s">
        <v>43</v>
      </c>
      <c r="R494" s="19" t="s">
        <v>44</v>
      </c>
      <c r="S494" s="19" t="s">
        <v>65</v>
      </c>
      <c r="T494" s="19"/>
      <c r="U494" s="19"/>
      <c r="V494" s="19"/>
      <c r="W494" s="19"/>
      <c r="X494" s="19"/>
      <c r="Y494" s="19"/>
    </row>
    <row r="495" ht="56.25" customHeight="1">
      <c r="A495" s="13" t="s">
        <v>121</v>
      </c>
      <c r="B495" s="15" t="str">
        <f>image("https://storage.googleapis.com/acdb/wall-mounted/FtrAntiquePhoneW_Remake_1_0.png")</f>
        <v/>
      </c>
      <c r="C495" s="19" t="s">
        <v>126</v>
      </c>
      <c r="D495" s="42" t="s">
        <v>28</v>
      </c>
      <c r="E495" s="42" t="s">
        <v>28</v>
      </c>
      <c r="F495" s="13">
        <v>16000.0</v>
      </c>
      <c r="G495" s="13">
        <v>4000.0</v>
      </c>
      <c r="H495" s="19">
        <v>3953.0</v>
      </c>
      <c r="I495" s="19" t="s">
        <v>60</v>
      </c>
      <c r="J495" s="19" t="s">
        <v>62</v>
      </c>
      <c r="K495" s="19" t="s">
        <v>104</v>
      </c>
      <c r="L495" s="19"/>
      <c r="M495" s="19" t="s">
        <v>1340</v>
      </c>
      <c r="N495" s="19">
        <v>6.0</v>
      </c>
      <c r="O495" s="19" t="s">
        <v>40</v>
      </c>
      <c r="P495" s="19" t="s">
        <v>41</v>
      </c>
      <c r="Q495" s="19" t="s">
        <v>43</v>
      </c>
      <c r="R495" s="19" t="s">
        <v>44</v>
      </c>
      <c r="S495" s="19" t="s">
        <v>65</v>
      </c>
      <c r="T495" s="19"/>
      <c r="U495" s="19"/>
      <c r="V495" s="19"/>
      <c r="W495" s="19"/>
      <c r="X495" s="19"/>
      <c r="Y495" s="19"/>
    </row>
    <row r="496" ht="56.25" customHeight="1">
      <c r="A496" s="13" t="s">
        <v>121</v>
      </c>
      <c r="B496" s="15" t="str">
        <f>image("https://storage.googleapis.com/acdb/wall-mounted/FtrAntiquePhoneW_Remake_2_0.png")</f>
        <v/>
      </c>
      <c r="C496" s="19" t="s">
        <v>99</v>
      </c>
      <c r="D496" s="42" t="s">
        <v>28</v>
      </c>
      <c r="E496" s="42" t="s">
        <v>28</v>
      </c>
      <c r="F496" s="13">
        <v>16000.0</v>
      </c>
      <c r="G496" s="13">
        <v>4000.0</v>
      </c>
      <c r="H496" s="19">
        <v>3953.0</v>
      </c>
      <c r="I496" s="19" t="s">
        <v>60</v>
      </c>
      <c r="J496" s="19" t="s">
        <v>62</v>
      </c>
      <c r="K496" s="19" t="s">
        <v>104</v>
      </c>
      <c r="L496" s="19"/>
      <c r="M496" s="19" t="s">
        <v>1340</v>
      </c>
      <c r="N496" s="19">
        <v>6.0</v>
      </c>
      <c r="O496" s="19" t="s">
        <v>40</v>
      </c>
      <c r="P496" s="19" t="s">
        <v>41</v>
      </c>
      <c r="Q496" s="19" t="s">
        <v>43</v>
      </c>
      <c r="R496" s="19" t="s">
        <v>44</v>
      </c>
      <c r="S496" s="19" t="s">
        <v>65</v>
      </c>
      <c r="T496" s="19"/>
      <c r="U496" s="19"/>
      <c r="V496" s="19"/>
      <c r="W496" s="19"/>
      <c r="X496" s="19"/>
      <c r="Y496" s="19"/>
    </row>
    <row r="497" ht="69.0" customHeight="1">
      <c r="A497" s="13" t="s">
        <v>133</v>
      </c>
      <c r="B497" s="15" t="str">
        <f>image("https://storage.googleapis.com/acdb/wall-mounted/FtrAutograph_Remake_0_0.png")</f>
        <v/>
      </c>
      <c r="C497" s="19" t="s">
        <v>134</v>
      </c>
      <c r="D497" s="42" t="s">
        <v>28</v>
      </c>
      <c r="E497" s="42" t="s">
        <v>28</v>
      </c>
      <c r="F497" s="38">
        <v>1400.0</v>
      </c>
      <c r="G497" s="38">
        <v>350.0</v>
      </c>
      <c r="H497" s="19">
        <v>1899.0</v>
      </c>
      <c r="I497" s="19" t="s">
        <v>80</v>
      </c>
      <c r="J497" s="19" t="s">
        <v>136</v>
      </c>
      <c r="K497" s="19"/>
      <c r="L497" s="19"/>
      <c r="M497" s="19" t="s">
        <v>1384</v>
      </c>
      <c r="N497" s="19">
        <v>1.0</v>
      </c>
      <c r="O497" s="19" t="s">
        <v>40</v>
      </c>
      <c r="P497" s="19" t="s">
        <v>41</v>
      </c>
      <c r="Q497" s="19" t="s">
        <v>43</v>
      </c>
      <c r="R497" s="19" t="s">
        <v>44</v>
      </c>
      <c r="S497" s="19" t="s">
        <v>68</v>
      </c>
      <c r="T497" s="19"/>
      <c r="U497" s="19"/>
      <c r="V497" s="19"/>
      <c r="W497" s="19"/>
      <c r="X497" s="19"/>
      <c r="Y497" s="19"/>
    </row>
    <row r="498" ht="69.0" customHeight="1">
      <c r="A498" s="13" t="s">
        <v>133</v>
      </c>
      <c r="B498" s="15" t="str">
        <f>image("https://storage.googleapis.com/acdb/wall-mounted/FtrAutograph_Remake_0_1.png")</f>
        <v/>
      </c>
      <c r="C498" s="19" t="s">
        <v>134</v>
      </c>
      <c r="D498" s="42" t="s">
        <v>28</v>
      </c>
      <c r="E498" s="42" t="s">
        <v>28</v>
      </c>
      <c r="F498" s="38">
        <v>1400.0</v>
      </c>
      <c r="G498" s="38">
        <v>350.0</v>
      </c>
      <c r="H498" s="19">
        <v>1899.0</v>
      </c>
      <c r="I498" s="19" t="s">
        <v>80</v>
      </c>
      <c r="J498" s="19" t="s">
        <v>136</v>
      </c>
      <c r="K498" s="19"/>
      <c r="L498" s="19"/>
      <c r="M498" s="19" t="s">
        <v>1384</v>
      </c>
      <c r="N498" s="19">
        <v>1.0</v>
      </c>
      <c r="O498" s="19" t="s">
        <v>40</v>
      </c>
      <c r="P498" s="19" t="s">
        <v>41</v>
      </c>
      <c r="Q498" s="19" t="s">
        <v>43</v>
      </c>
      <c r="R498" s="19" t="s">
        <v>44</v>
      </c>
      <c r="S498" s="19" t="s">
        <v>68</v>
      </c>
      <c r="T498" s="19"/>
      <c r="U498" s="19"/>
      <c r="V498" s="19"/>
      <c r="W498" s="19"/>
      <c r="X498" s="19"/>
      <c r="Y498" s="19"/>
    </row>
    <row r="499" ht="69.0" customHeight="1">
      <c r="A499" s="13" t="s">
        <v>133</v>
      </c>
      <c r="B499" s="15" t="str">
        <f>image("https://storage.googleapis.com/acdb/wall-mounted/FtrAutograph_Remake_1_0.png")</f>
        <v/>
      </c>
      <c r="C499" s="19" t="s">
        <v>143</v>
      </c>
      <c r="D499" s="42" t="s">
        <v>28</v>
      </c>
      <c r="E499" s="42" t="s">
        <v>28</v>
      </c>
      <c r="F499" s="38">
        <v>1400.0</v>
      </c>
      <c r="G499" s="38">
        <v>350.0</v>
      </c>
      <c r="H499" s="19">
        <v>1899.0</v>
      </c>
      <c r="I499" s="19" t="s">
        <v>80</v>
      </c>
      <c r="J499" s="19" t="s">
        <v>136</v>
      </c>
      <c r="K499" s="19"/>
      <c r="L499" s="19"/>
      <c r="M499" s="19" t="s">
        <v>1384</v>
      </c>
      <c r="N499" s="19">
        <v>1.0</v>
      </c>
      <c r="O499" s="19" t="s">
        <v>40</v>
      </c>
      <c r="P499" s="19" t="s">
        <v>41</v>
      </c>
      <c r="Q499" s="19" t="s">
        <v>43</v>
      </c>
      <c r="R499" s="19" t="s">
        <v>44</v>
      </c>
      <c r="S499" s="19" t="s">
        <v>68</v>
      </c>
      <c r="T499" s="19"/>
      <c r="U499" s="19"/>
      <c r="V499" s="19"/>
      <c r="W499" s="19"/>
      <c r="X499" s="19"/>
      <c r="Y499" s="19"/>
    </row>
    <row r="500" ht="69.0" customHeight="1">
      <c r="A500" s="13" t="s">
        <v>133</v>
      </c>
      <c r="B500" s="15" t="str">
        <f>image("https://storage.googleapis.com/acdb/wall-mounted/FtrAutograph_Remake_1_1.png")</f>
        <v/>
      </c>
      <c r="C500" s="19" t="s">
        <v>143</v>
      </c>
      <c r="D500" s="42" t="s">
        <v>28</v>
      </c>
      <c r="E500" s="42" t="s">
        <v>28</v>
      </c>
      <c r="F500" s="38">
        <v>1400.0</v>
      </c>
      <c r="G500" s="38">
        <v>350.0</v>
      </c>
      <c r="H500" s="19">
        <v>1899.0</v>
      </c>
      <c r="I500" s="19" t="s">
        <v>80</v>
      </c>
      <c r="J500" s="19" t="s">
        <v>136</v>
      </c>
      <c r="K500" s="19"/>
      <c r="L500" s="19"/>
      <c r="M500" s="19" t="s">
        <v>1384</v>
      </c>
      <c r="N500" s="19">
        <v>1.0</v>
      </c>
      <c r="O500" s="19" t="s">
        <v>40</v>
      </c>
      <c r="P500" s="19" t="s">
        <v>41</v>
      </c>
      <c r="Q500" s="19" t="s">
        <v>43</v>
      </c>
      <c r="R500" s="19" t="s">
        <v>44</v>
      </c>
      <c r="S500" s="19" t="s">
        <v>68</v>
      </c>
      <c r="T500" s="19"/>
      <c r="U500" s="19"/>
      <c r="V500" s="19"/>
      <c r="W500" s="19"/>
      <c r="X500" s="19"/>
      <c r="Y500" s="19"/>
    </row>
    <row r="501" ht="69.0" customHeight="1">
      <c r="A501" s="13" t="s">
        <v>133</v>
      </c>
      <c r="B501" s="15" t="str">
        <f>image("https://storage.googleapis.com/acdb/wall-mounted/FtrAutograph_Remake_2_0.png")</f>
        <v/>
      </c>
      <c r="C501" s="19" t="s">
        <v>151</v>
      </c>
      <c r="D501" s="42" t="s">
        <v>28</v>
      </c>
      <c r="E501" s="42" t="s">
        <v>28</v>
      </c>
      <c r="F501" s="38">
        <v>1400.0</v>
      </c>
      <c r="G501" s="38">
        <v>350.0</v>
      </c>
      <c r="H501" s="19">
        <v>1899.0</v>
      </c>
      <c r="I501" s="19" t="s">
        <v>80</v>
      </c>
      <c r="J501" s="19" t="s">
        <v>136</v>
      </c>
      <c r="K501" s="19"/>
      <c r="L501" s="19"/>
      <c r="M501" s="19" t="s">
        <v>1384</v>
      </c>
      <c r="N501" s="19">
        <v>1.0</v>
      </c>
      <c r="O501" s="19" t="s">
        <v>40</v>
      </c>
      <c r="P501" s="19" t="s">
        <v>41</v>
      </c>
      <c r="Q501" s="19" t="s">
        <v>43</v>
      </c>
      <c r="R501" s="19" t="s">
        <v>44</v>
      </c>
      <c r="S501" s="19" t="s">
        <v>68</v>
      </c>
      <c r="T501" s="19"/>
      <c r="U501" s="19"/>
      <c r="V501" s="19"/>
      <c r="W501" s="19"/>
      <c r="X501" s="19"/>
      <c r="Y501" s="19"/>
    </row>
    <row r="502" ht="69.0" customHeight="1">
      <c r="A502" s="13" t="s">
        <v>133</v>
      </c>
      <c r="B502" s="15" t="str">
        <f>image("https://storage.googleapis.com/acdb/wall-mounted/FtrAutograph_Remake_2_1.png")</f>
        <v/>
      </c>
      <c r="C502" s="19" t="s">
        <v>151</v>
      </c>
      <c r="D502" s="42" t="s">
        <v>28</v>
      </c>
      <c r="E502" s="42" t="s">
        <v>28</v>
      </c>
      <c r="F502" s="38">
        <v>1400.0</v>
      </c>
      <c r="G502" s="38">
        <v>350.0</v>
      </c>
      <c r="H502" s="19">
        <v>1899.0</v>
      </c>
      <c r="I502" s="19" t="s">
        <v>80</v>
      </c>
      <c r="J502" s="19" t="s">
        <v>136</v>
      </c>
      <c r="K502" s="19"/>
      <c r="L502" s="19"/>
      <c r="M502" s="19" t="s">
        <v>1384</v>
      </c>
      <c r="N502" s="19">
        <v>1.0</v>
      </c>
      <c r="O502" s="19" t="s">
        <v>40</v>
      </c>
      <c r="P502" s="19" t="s">
        <v>41</v>
      </c>
      <c r="Q502" s="19" t="s">
        <v>43</v>
      </c>
      <c r="R502" s="19" t="s">
        <v>44</v>
      </c>
      <c r="S502" s="19" t="s">
        <v>68</v>
      </c>
      <c r="T502" s="19"/>
      <c r="U502" s="19"/>
      <c r="V502" s="19"/>
      <c r="W502" s="19"/>
      <c r="X502" s="19"/>
      <c r="Y502" s="19"/>
    </row>
    <row r="503" ht="69.0" customHeight="1">
      <c r="A503" s="13" t="s">
        <v>133</v>
      </c>
      <c r="B503" s="15" t="str">
        <f>image("https://storage.googleapis.com/acdb/wall-mounted/FtrAutograph_Remake_3_0.png")</f>
        <v/>
      </c>
      <c r="C503" s="19" t="s">
        <v>157</v>
      </c>
      <c r="D503" s="42" t="s">
        <v>28</v>
      </c>
      <c r="E503" s="42" t="s">
        <v>28</v>
      </c>
      <c r="F503" s="38">
        <v>1400.0</v>
      </c>
      <c r="G503" s="38">
        <v>350.0</v>
      </c>
      <c r="H503" s="19">
        <v>1899.0</v>
      </c>
      <c r="I503" s="19" t="s">
        <v>80</v>
      </c>
      <c r="J503" s="19" t="s">
        <v>136</v>
      </c>
      <c r="K503" s="19"/>
      <c r="L503" s="19"/>
      <c r="M503" s="19" t="s">
        <v>1384</v>
      </c>
      <c r="N503" s="19">
        <v>1.0</v>
      </c>
      <c r="O503" s="19" t="s">
        <v>40</v>
      </c>
      <c r="P503" s="19" t="s">
        <v>41</v>
      </c>
      <c r="Q503" s="19" t="s">
        <v>43</v>
      </c>
      <c r="R503" s="19" t="s">
        <v>44</v>
      </c>
      <c r="S503" s="19" t="s">
        <v>68</v>
      </c>
      <c r="T503" s="19"/>
      <c r="U503" s="19"/>
      <c r="V503" s="19"/>
      <c r="W503" s="19"/>
      <c r="X503" s="19"/>
      <c r="Y503" s="19"/>
    </row>
    <row r="504" ht="69.0" customHeight="1">
      <c r="A504" s="13" t="s">
        <v>133</v>
      </c>
      <c r="B504" s="15" t="str">
        <f>image("https://storage.googleapis.com/acdb/wall-mounted/FtrAutograph_Remake_3_1.png")</f>
        <v/>
      </c>
      <c r="C504" s="19" t="s">
        <v>157</v>
      </c>
      <c r="D504" s="42" t="s">
        <v>28</v>
      </c>
      <c r="E504" s="42" t="s">
        <v>28</v>
      </c>
      <c r="F504" s="38">
        <v>1400.0</v>
      </c>
      <c r="G504" s="38">
        <v>350.0</v>
      </c>
      <c r="H504" s="19">
        <v>1899.0</v>
      </c>
      <c r="I504" s="19" t="s">
        <v>80</v>
      </c>
      <c r="J504" s="19" t="s">
        <v>136</v>
      </c>
      <c r="K504" s="19"/>
      <c r="L504" s="19"/>
      <c r="M504" s="19" t="s">
        <v>1384</v>
      </c>
      <c r="N504" s="19">
        <v>1.0</v>
      </c>
      <c r="O504" s="19" t="s">
        <v>40</v>
      </c>
      <c r="P504" s="19" t="s">
        <v>41</v>
      </c>
      <c r="Q504" s="19" t="s">
        <v>43</v>
      </c>
      <c r="R504" s="19" t="s">
        <v>44</v>
      </c>
      <c r="S504" s="19" t="s">
        <v>68</v>
      </c>
      <c r="T504" s="19"/>
      <c r="U504" s="19"/>
      <c r="V504" s="19"/>
      <c r="W504" s="19"/>
      <c r="X504" s="19"/>
      <c r="Y504" s="19"/>
    </row>
    <row r="505" ht="56.25" customHeight="1">
      <c r="A505" s="13" t="s">
        <v>168</v>
      </c>
      <c r="B505" s="15" t="str">
        <f>image("https://storage.googleapis.com/acdb/wall-mounted/FtrBambooFlowerwall_Remake_0_0.png")</f>
        <v/>
      </c>
      <c r="C505" s="19" t="s">
        <v>169</v>
      </c>
      <c r="D505" s="42" t="s">
        <v>50</v>
      </c>
      <c r="E505" s="44" t="s">
        <v>50</v>
      </c>
      <c r="F505" s="38" t="s">
        <v>51</v>
      </c>
      <c r="G505" s="38">
        <v>160.0</v>
      </c>
      <c r="H505" s="19">
        <v>3558.0</v>
      </c>
      <c r="I505" s="19" t="s">
        <v>161</v>
      </c>
      <c r="J505" s="19"/>
      <c r="K505" s="19"/>
      <c r="L505" s="19"/>
      <c r="M505" s="19" t="s">
        <v>1451</v>
      </c>
      <c r="N505" s="19">
        <v>1.0</v>
      </c>
      <c r="O505" s="19" t="s">
        <v>40</v>
      </c>
      <c r="P505" s="19" t="s">
        <v>41</v>
      </c>
      <c r="Q505" s="19" t="s">
        <v>54</v>
      </c>
      <c r="R505" s="19" t="s">
        <v>55</v>
      </c>
      <c r="S505" s="19" t="s">
        <v>172</v>
      </c>
      <c r="T505" s="19"/>
      <c r="U505" s="19"/>
      <c r="V505" s="19"/>
      <c r="W505" s="19"/>
      <c r="X505" s="19"/>
      <c r="Y505" s="19"/>
    </row>
    <row r="506" ht="56.25" customHeight="1">
      <c r="A506" s="13" t="s">
        <v>168</v>
      </c>
      <c r="B506" s="15" t="str">
        <f>image("https://storage.googleapis.com/acdb/wall-mounted/FtrBambooFlowerwall_Remake_1_0.png")</f>
        <v/>
      </c>
      <c r="C506" s="19" t="s">
        <v>175</v>
      </c>
      <c r="D506" s="42" t="s">
        <v>50</v>
      </c>
      <c r="E506" s="44" t="s">
        <v>50</v>
      </c>
      <c r="F506" s="38" t="s">
        <v>51</v>
      </c>
      <c r="G506" s="38">
        <v>160.0</v>
      </c>
      <c r="H506" s="19">
        <v>3558.0</v>
      </c>
      <c r="I506" s="19" t="s">
        <v>161</v>
      </c>
      <c r="J506" s="19"/>
      <c r="K506" s="19"/>
      <c r="L506" s="19"/>
      <c r="M506" s="19" t="s">
        <v>1451</v>
      </c>
      <c r="N506" s="19">
        <v>1.0</v>
      </c>
      <c r="O506" s="19" t="s">
        <v>40</v>
      </c>
      <c r="P506" s="19" t="s">
        <v>41</v>
      </c>
      <c r="Q506" s="19" t="s">
        <v>54</v>
      </c>
      <c r="R506" s="19" t="s">
        <v>55</v>
      </c>
      <c r="S506" s="19" t="s">
        <v>172</v>
      </c>
      <c r="T506" s="19"/>
      <c r="U506" s="19"/>
      <c r="V506" s="19"/>
      <c r="W506" s="19"/>
      <c r="X506" s="19"/>
      <c r="Y506" s="19"/>
    </row>
    <row r="507" ht="56.25" customHeight="1">
      <c r="A507" s="13" t="s">
        <v>168</v>
      </c>
      <c r="B507" s="15" t="str">
        <f>image("https://storage.googleapis.com/acdb/wall-mounted/FtrBambooFlowerwall_Remake_2_0.png")</f>
        <v/>
      </c>
      <c r="C507" s="19" t="s">
        <v>178</v>
      </c>
      <c r="D507" s="42" t="s">
        <v>50</v>
      </c>
      <c r="E507" s="44" t="s">
        <v>50</v>
      </c>
      <c r="F507" s="38" t="s">
        <v>51</v>
      </c>
      <c r="G507" s="38">
        <v>160.0</v>
      </c>
      <c r="H507" s="19">
        <v>3558.0</v>
      </c>
      <c r="I507" s="19" t="s">
        <v>161</v>
      </c>
      <c r="J507" s="19"/>
      <c r="K507" s="19"/>
      <c r="L507" s="19"/>
      <c r="M507" s="19" t="s">
        <v>1451</v>
      </c>
      <c r="N507" s="19">
        <v>1.0</v>
      </c>
      <c r="O507" s="19" t="s">
        <v>40</v>
      </c>
      <c r="P507" s="19" t="s">
        <v>41</v>
      </c>
      <c r="Q507" s="19" t="s">
        <v>54</v>
      </c>
      <c r="R507" s="19" t="s">
        <v>55</v>
      </c>
      <c r="S507" s="19" t="s">
        <v>172</v>
      </c>
      <c r="T507" s="19"/>
      <c r="U507" s="19"/>
      <c r="V507" s="19"/>
      <c r="W507" s="19"/>
      <c r="X507" s="19"/>
      <c r="Y507" s="19"/>
    </row>
    <row r="508" ht="56.25" customHeight="1">
      <c r="A508" s="13" t="s">
        <v>180</v>
      </c>
      <c r="B508" s="15" t="str">
        <f>image("https://storage.googleapis.com/acdb/wall-mounted/FtrTowelrackWall_Remake_0_0.png")</f>
        <v/>
      </c>
      <c r="C508" s="15" t="s">
        <v>182</v>
      </c>
      <c r="D508" s="42" t="s">
        <v>28</v>
      </c>
      <c r="E508" s="42" t="s">
        <v>28</v>
      </c>
      <c r="F508" s="38">
        <v>1400.0</v>
      </c>
      <c r="G508" s="38">
        <v>350.0</v>
      </c>
      <c r="H508" s="19">
        <v>4030.0</v>
      </c>
      <c r="I508" s="19" t="s">
        <v>183</v>
      </c>
      <c r="J508" s="19"/>
      <c r="K508" s="19"/>
      <c r="L508" s="19" t="s">
        <v>184</v>
      </c>
      <c r="M508" s="19" t="s">
        <v>1340</v>
      </c>
      <c r="N508" s="19">
        <v>1.0</v>
      </c>
      <c r="O508" s="19" t="s">
        <v>40</v>
      </c>
      <c r="P508" s="19" t="s">
        <v>41</v>
      </c>
      <c r="Q508" s="19" t="s">
        <v>43</v>
      </c>
      <c r="R508" s="19" t="s">
        <v>44</v>
      </c>
      <c r="S508" s="19" t="s">
        <v>63</v>
      </c>
      <c r="T508" s="19"/>
      <c r="U508" s="19"/>
      <c r="V508" s="19"/>
      <c r="W508" s="19"/>
      <c r="X508" s="19"/>
      <c r="Y508" s="19"/>
    </row>
    <row r="509" ht="56.25" customHeight="1">
      <c r="A509" s="13" t="s">
        <v>180</v>
      </c>
      <c r="B509" s="15" t="str">
        <f>image("https://storage.googleapis.com/acdb/wall-mounted/FtrTowelrackWall_Remake_1_0.png")</f>
        <v/>
      </c>
      <c r="C509" s="15" t="s">
        <v>187</v>
      </c>
      <c r="D509" s="42" t="s">
        <v>28</v>
      </c>
      <c r="E509" s="42" t="s">
        <v>28</v>
      </c>
      <c r="F509" s="38">
        <v>1400.0</v>
      </c>
      <c r="G509" s="38">
        <v>350.0</v>
      </c>
      <c r="H509" s="19">
        <v>4030.0</v>
      </c>
      <c r="I509" s="19" t="s">
        <v>183</v>
      </c>
      <c r="J509" s="19"/>
      <c r="K509" s="19"/>
      <c r="L509" s="19" t="s">
        <v>184</v>
      </c>
      <c r="M509" s="19" t="s">
        <v>1340</v>
      </c>
      <c r="N509" s="19">
        <v>1.0</v>
      </c>
      <c r="O509" s="19" t="s">
        <v>40</v>
      </c>
      <c r="P509" s="19" t="s">
        <v>41</v>
      </c>
      <c r="Q509" s="19" t="s">
        <v>43</v>
      </c>
      <c r="R509" s="19" t="s">
        <v>44</v>
      </c>
      <c r="S509" s="19" t="s">
        <v>63</v>
      </c>
      <c r="T509" s="19"/>
      <c r="U509" s="19"/>
      <c r="V509" s="19"/>
      <c r="W509" s="19"/>
      <c r="X509" s="19"/>
      <c r="Y509" s="19"/>
    </row>
    <row r="510" ht="56.25" customHeight="1">
      <c r="A510" s="13" t="s">
        <v>180</v>
      </c>
      <c r="B510" s="15" t="str">
        <f>image("https://storage.googleapis.com/acdb/wall-mounted/FtrTowelrackWall_Remake_2_0.png")</f>
        <v/>
      </c>
      <c r="C510" s="15" t="s">
        <v>190</v>
      </c>
      <c r="D510" s="42" t="s">
        <v>28</v>
      </c>
      <c r="E510" s="42" t="s">
        <v>28</v>
      </c>
      <c r="F510" s="38">
        <v>1400.0</v>
      </c>
      <c r="G510" s="38">
        <v>350.0</v>
      </c>
      <c r="H510" s="19">
        <v>4030.0</v>
      </c>
      <c r="I510" s="19" t="s">
        <v>183</v>
      </c>
      <c r="J510" s="19"/>
      <c r="K510" s="19"/>
      <c r="L510" s="19" t="s">
        <v>184</v>
      </c>
      <c r="M510" s="19" t="s">
        <v>1340</v>
      </c>
      <c r="N510" s="19">
        <v>1.0</v>
      </c>
      <c r="O510" s="19" t="s">
        <v>40</v>
      </c>
      <c r="P510" s="19" t="s">
        <v>41</v>
      </c>
      <c r="Q510" s="19" t="s">
        <v>43</v>
      </c>
      <c r="R510" s="19" t="s">
        <v>44</v>
      </c>
      <c r="S510" s="19" t="s">
        <v>63</v>
      </c>
      <c r="T510" s="19"/>
      <c r="U510" s="19"/>
      <c r="V510" s="19"/>
      <c r="W510" s="19"/>
      <c r="X510" s="19"/>
      <c r="Y510" s="19"/>
    </row>
    <row r="511" ht="56.25" customHeight="1">
      <c r="A511" s="13" t="s">
        <v>180</v>
      </c>
      <c r="B511" s="15" t="str">
        <f>image("https://storage.googleapis.com/acdb/wall-mounted/FtrTowelrackWall_Remake_3_0.png")</f>
        <v/>
      </c>
      <c r="C511" s="15" t="s">
        <v>99</v>
      </c>
      <c r="D511" s="42" t="s">
        <v>28</v>
      </c>
      <c r="E511" s="42" t="s">
        <v>28</v>
      </c>
      <c r="F511" s="38">
        <v>1400.0</v>
      </c>
      <c r="G511" s="38">
        <v>350.0</v>
      </c>
      <c r="H511" s="19">
        <v>4030.0</v>
      </c>
      <c r="I511" s="19" t="s">
        <v>183</v>
      </c>
      <c r="J511" s="19"/>
      <c r="K511" s="19"/>
      <c r="L511" s="19" t="s">
        <v>184</v>
      </c>
      <c r="M511" s="19" t="s">
        <v>1340</v>
      </c>
      <c r="N511" s="19">
        <v>1.0</v>
      </c>
      <c r="O511" s="19" t="s">
        <v>40</v>
      </c>
      <c r="P511" s="19" t="s">
        <v>41</v>
      </c>
      <c r="Q511" s="19" t="s">
        <v>43</v>
      </c>
      <c r="R511" s="19" t="s">
        <v>44</v>
      </c>
      <c r="S511" s="19" t="s">
        <v>63</v>
      </c>
      <c r="T511" s="19"/>
      <c r="U511" s="19"/>
      <c r="V511" s="19"/>
      <c r="W511" s="19"/>
      <c r="X511" s="19"/>
      <c r="Y511" s="19"/>
    </row>
    <row r="512" ht="56.25" customHeight="1">
      <c r="A512" s="13" t="s">
        <v>194</v>
      </c>
      <c r="B512" s="15" t="str">
        <f>image("https://storage.googleapis.com/acdb/wall-mounted/FtrDoorOrnamentWreathRoseUrtraRare.png")</f>
        <v/>
      </c>
      <c r="C512" s="19" t="s">
        <v>1467</v>
      </c>
      <c r="D512" s="42" t="s">
        <v>50</v>
      </c>
      <c r="E512" s="42" t="s">
        <v>28</v>
      </c>
      <c r="F512" s="38" t="s">
        <v>51</v>
      </c>
      <c r="G512" s="38">
        <v>20000.0</v>
      </c>
      <c r="H512" s="19">
        <v>5772.0</v>
      </c>
      <c r="I512" s="19" t="s">
        <v>36</v>
      </c>
      <c r="J512" s="19"/>
      <c r="K512" s="19"/>
      <c r="L512" s="19"/>
      <c r="M512" s="19" t="s">
        <v>1340</v>
      </c>
      <c r="N512" s="19"/>
      <c r="O512" s="19" t="s">
        <v>40</v>
      </c>
      <c r="P512" s="19" t="s">
        <v>41</v>
      </c>
      <c r="Q512" s="19" t="s">
        <v>54</v>
      </c>
      <c r="R512" s="19" t="s">
        <v>55</v>
      </c>
      <c r="S512" s="19"/>
      <c r="T512" s="19"/>
      <c r="U512" s="19"/>
      <c r="V512" s="19"/>
      <c r="W512" s="19"/>
      <c r="X512" s="19"/>
      <c r="Y512" s="19"/>
    </row>
    <row r="513" ht="56.25" customHeight="1">
      <c r="A513" s="13" t="s">
        <v>197</v>
      </c>
      <c r="B513" s="15" t="str">
        <f>image("https://storage.googleapis.com/acdb/wall-mounted/FtrDoorPlateBone_Remake_0_0.png")</f>
        <v/>
      </c>
      <c r="C513" s="19"/>
      <c r="D513" s="42" t="s">
        <v>50</v>
      </c>
      <c r="E513" s="42" t="s">
        <v>50</v>
      </c>
      <c r="F513" s="38" t="s">
        <v>51</v>
      </c>
      <c r="G513" s="38">
        <v>360.0</v>
      </c>
      <c r="H513" s="19">
        <v>4751.0</v>
      </c>
      <c r="I513" s="19" t="s">
        <v>113</v>
      </c>
      <c r="J513" s="19" t="s">
        <v>60</v>
      </c>
      <c r="K513" s="19"/>
      <c r="L513" s="19"/>
      <c r="M513" s="19" t="s">
        <v>1340</v>
      </c>
      <c r="N513" s="19">
        <v>1.0</v>
      </c>
      <c r="O513" s="19" t="s">
        <v>40</v>
      </c>
      <c r="P513" s="19" t="s">
        <v>41</v>
      </c>
      <c r="Q513" s="19" t="s">
        <v>54</v>
      </c>
      <c r="R513" s="19" t="s">
        <v>55</v>
      </c>
      <c r="S513" s="19"/>
      <c r="T513" s="19"/>
      <c r="U513" s="19"/>
      <c r="V513" s="19"/>
      <c r="W513" s="19"/>
      <c r="X513" s="19"/>
      <c r="Y513" s="19"/>
    </row>
    <row r="514" ht="56.25" customHeight="1">
      <c r="A514" s="13" t="s">
        <v>197</v>
      </c>
      <c r="B514" s="15" t="str">
        <f>image("https://storage.googleapis.com/acdb/wall-mounted/FtrDoorPlateBone_Remake_1_0.png")</f>
        <v/>
      </c>
      <c r="C514" s="19"/>
      <c r="D514" s="42" t="s">
        <v>50</v>
      </c>
      <c r="E514" s="42" t="s">
        <v>50</v>
      </c>
      <c r="F514" s="38" t="s">
        <v>51</v>
      </c>
      <c r="G514" s="38">
        <v>360.0</v>
      </c>
      <c r="H514" s="19">
        <v>4751.0</v>
      </c>
      <c r="I514" s="19" t="s">
        <v>113</v>
      </c>
      <c r="J514" s="19" t="s">
        <v>60</v>
      </c>
      <c r="K514" s="19"/>
      <c r="L514" s="19"/>
      <c r="M514" s="19" t="s">
        <v>1340</v>
      </c>
      <c r="N514" s="19">
        <v>1.0</v>
      </c>
      <c r="O514" s="19" t="s">
        <v>40</v>
      </c>
      <c r="P514" s="19" t="s">
        <v>41</v>
      </c>
      <c r="Q514" s="19" t="s">
        <v>54</v>
      </c>
      <c r="R514" s="19" t="s">
        <v>55</v>
      </c>
      <c r="S514" s="19"/>
      <c r="T514" s="19"/>
      <c r="U514" s="19"/>
      <c r="V514" s="19"/>
      <c r="W514" s="19"/>
      <c r="X514" s="19"/>
      <c r="Y514" s="19"/>
    </row>
    <row r="515" ht="56.25" customHeight="1">
      <c r="A515" s="13" t="s">
        <v>197</v>
      </c>
      <c r="B515" s="15" t="str">
        <f>image("https://storage.googleapis.com/acdb/wall-mounted/FtrDoorPlateBone_Remake_2_0.png")</f>
        <v/>
      </c>
      <c r="C515" s="19"/>
      <c r="D515" s="42" t="s">
        <v>50</v>
      </c>
      <c r="E515" s="42" t="s">
        <v>50</v>
      </c>
      <c r="F515" s="38" t="s">
        <v>51</v>
      </c>
      <c r="G515" s="38">
        <v>360.0</v>
      </c>
      <c r="H515" s="19">
        <v>4751.0</v>
      </c>
      <c r="I515" s="19" t="s">
        <v>113</v>
      </c>
      <c r="J515" s="19" t="s">
        <v>60</v>
      </c>
      <c r="K515" s="19"/>
      <c r="L515" s="19"/>
      <c r="M515" s="19" t="s">
        <v>1340</v>
      </c>
      <c r="N515" s="19">
        <v>1.0</v>
      </c>
      <c r="O515" s="19" t="s">
        <v>40</v>
      </c>
      <c r="P515" s="19" t="s">
        <v>41</v>
      </c>
      <c r="Q515" s="19" t="s">
        <v>54</v>
      </c>
      <c r="R515" s="19" t="s">
        <v>55</v>
      </c>
      <c r="S515" s="19"/>
      <c r="T515" s="19"/>
      <c r="U515" s="19"/>
      <c r="V515" s="19"/>
      <c r="W515" s="19"/>
      <c r="X515" s="19"/>
      <c r="Y515" s="19"/>
    </row>
    <row r="516" ht="56.25" customHeight="1">
      <c r="A516" s="13" t="s">
        <v>197</v>
      </c>
      <c r="B516" s="15" t="str">
        <f>image("https://storage.googleapis.com/acdb/wall-mounted/FtrDoorPlateBone_Remake_3_0.png")</f>
        <v/>
      </c>
      <c r="C516" s="19"/>
      <c r="D516" s="42" t="s">
        <v>50</v>
      </c>
      <c r="E516" s="42" t="s">
        <v>50</v>
      </c>
      <c r="F516" s="38" t="s">
        <v>51</v>
      </c>
      <c r="G516" s="38">
        <v>360.0</v>
      </c>
      <c r="H516" s="19">
        <v>4751.0</v>
      </c>
      <c r="I516" s="19" t="s">
        <v>113</v>
      </c>
      <c r="J516" s="19" t="s">
        <v>60</v>
      </c>
      <c r="K516" s="19"/>
      <c r="L516" s="19"/>
      <c r="M516" s="19" t="s">
        <v>1340</v>
      </c>
      <c r="N516" s="19">
        <v>1.0</v>
      </c>
      <c r="O516" s="19" t="s">
        <v>40</v>
      </c>
      <c r="P516" s="19" t="s">
        <v>41</v>
      </c>
      <c r="Q516" s="19" t="s">
        <v>54</v>
      </c>
      <c r="R516" s="19" t="s">
        <v>55</v>
      </c>
      <c r="S516" s="19"/>
      <c r="T516" s="19"/>
      <c r="U516" s="19"/>
      <c r="V516" s="19"/>
      <c r="W516" s="19"/>
      <c r="X516" s="19"/>
      <c r="Y516" s="19"/>
    </row>
    <row r="517" ht="56.25" customHeight="1">
      <c r="A517" s="13" t="s">
        <v>197</v>
      </c>
      <c r="B517" s="15" t="str">
        <f>image("https://storage.googleapis.com/acdb/wall-mounted/FtrDoorPlateBone_Remake_4_0.png")</f>
        <v/>
      </c>
      <c r="C517" s="19"/>
      <c r="D517" s="42" t="s">
        <v>50</v>
      </c>
      <c r="E517" s="42" t="s">
        <v>50</v>
      </c>
      <c r="F517" s="38" t="s">
        <v>51</v>
      </c>
      <c r="G517" s="38">
        <v>360.0</v>
      </c>
      <c r="H517" s="19">
        <v>4751.0</v>
      </c>
      <c r="I517" s="19" t="s">
        <v>113</v>
      </c>
      <c r="J517" s="19" t="s">
        <v>60</v>
      </c>
      <c r="K517" s="19"/>
      <c r="L517" s="19"/>
      <c r="M517" s="19" t="s">
        <v>1340</v>
      </c>
      <c r="N517" s="19">
        <v>1.0</v>
      </c>
      <c r="O517" s="19" t="s">
        <v>40</v>
      </c>
      <c r="P517" s="19" t="s">
        <v>41</v>
      </c>
      <c r="Q517" s="19" t="s">
        <v>54</v>
      </c>
      <c r="R517" s="19" t="s">
        <v>55</v>
      </c>
      <c r="S517" s="19"/>
      <c r="T517" s="19"/>
      <c r="U517" s="19"/>
      <c r="V517" s="19"/>
      <c r="W517" s="19"/>
      <c r="X517" s="19"/>
      <c r="Y517" s="19"/>
    </row>
    <row r="518" ht="56.25" customHeight="1">
      <c r="A518" s="13" t="s">
        <v>197</v>
      </c>
      <c r="B518" s="15" t="str">
        <f>image("https://storage.googleapis.com/acdb/wall-mounted/FtrDoorPlateBone_Remake_5_0.png")</f>
        <v/>
      </c>
      <c r="C518" s="19"/>
      <c r="D518" s="42" t="s">
        <v>50</v>
      </c>
      <c r="E518" s="42" t="s">
        <v>50</v>
      </c>
      <c r="F518" s="38" t="s">
        <v>51</v>
      </c>
      <c r="G518" s="38">
        <v>360.0</v>
      </c>
      <c r="H518" s="19">
        <v>4751.0</v>
      </c>
      <c r="I518" s="19" t="s">
        <v>113</v>
      </c>
      <c r="J518" s="19" t="s">
        <v>60</v>
      </c>
      <c r="K518" s="19"/>
      <c r="L518" s="19"/>
      <c r="M518" s="19" t="s">
        <v>1340</v>
      </c>
      <c r="N518" s="19">
        <v>1.0</v>
      </c>
      <c r="O518" s="19" t="s">
        <v>40</v>
      </c>
      <c r="P518" s="19" t="s">
        <v>41</v>
      </c>
      <c r="Q518" s="19" t="s">
        <v>54</v>
      </c>
      <c r="R518" s="19" t="s">
        <v>55</v>
      </c>
      <c r="S518" s="19"/>
      <c r="T518" s="19"/>
      <c r="U518" s="19"/>
      <c r="V518" s="19"/>
      <c r="W518" s="19"/>
      <c r="X518" s="19"/>
      <c r="Y518" s="19"/>
    </row>
    <row r="519" ht="56.25" customHeight="1">
      <c r="A519" s="13" t="s">
        <v>197</v>
      </c>
      <c r="B519" s="15" t="str">
        <f>image("https://storage.googleapis.com/acdb/wall-mounted/FtrDoorPlateBone_Remake_6_0.png")</f>
        <v/>
      </c>
      <c r="C519" s="19"/>
      <c r="D519" s="42" t="s">
        <v>50</v>
      </c>
      <c r="E519" s="42" t="s">
        <v>50</v>
      </c>
      <c r="F519" s="38" t="s">
        <v>51</v>
      </c>
      <c r="G519" s="38">
        <v>360.0</v>
      </c>
      <c r="H519" s="19">
        <v>4751.0</v>
      </c>
      <c r="I519" s="19" t="s">
        <v>113</v>
      </c>
      <c r="J519" s="19" t="s">
        <v>60</v>
      </c>
      <c r="K519" s="19"/>
      <c r="L519" s="19"/>
      <c r="M519" s="19" t="s">
        <v>1340</v>
      </c>
      <c r="N519" s="19">
        <v>1.0</v>
      </c>
      <c r="O519" s="19" t="s">
        <v>40</v>
      </c>
      <c r="P519" s="19" t="s">
        <v>41</v>
      </c>
      <c r="Q519" s="19" t="s">
        <v>54</v>
      </c>
      <c r="R519" s="19" t="s">
        <v>55</v>
      </c>
      <c r="S519" s="19"/>
      <c r="T519" s="19"/>
      <c r="U519" s="19"/>
      <c r="V519" s="19"/>
      <c r="W519" s="19"/>
      <c r="X519" s="19"/>
      <c r="Y519" s="19"/>
    </row>
    <row r="520" ht="56.25" customHeight="1">
      <c r="A520" s="13" t="s">
        <v>197</v>
      </c>
      <c r="B520" s="15" t="str">
        <f>image("https://storage.googleapis.com/acdb/wall-mounted/FtrDoorPlateBone_Remake_7_0.png")</f>
        <v/>
      </c>
      <c r="C520" s="19"/>
      <c r="D520" s="42" t="s">
        <v>50</v>
      </c>
      <c r="E520" s="42" t="s">
        <v>50</v>
      </c>
      <c r="F520" s="38" t="s">
        <v>51</v>
      </c>
      <c r="G520" s="38">
        <v>360.0</v>
      </c>
      <c r="H520" s="19">
        <v>4751.0</v>
      </c>
      <c r="I520" s="19" t="s">
        <v>113</v>
      </c>
      <c r="J520" s="19" t="s">
        <v>60</v>
      </c>
      <c r="K520" s="19"/>
      <c r="L520" s="19"/>
      <c r="M520" s="19" t="s">
        <v>1340</v>
      </c>
      <c r="N520" s="19">
        <v>1.0</v>
      </c>
      <c r="O520" s="19" t="s">
        <v>40</v>
      </c>
      <c r="P520" s="19" t="s">
        <v>41</v>
      </c>
      <c r="Q520" s="19" t="s">
        <v>54</v>
      </c>
      <c r="R520" s="19" t="s">
        <v>55</v>
      </c>
      <c r="S520" s="19"/>
      <c r="T520" s="19"/>
      <c r="U520" s="19"/>
      <c r="V520" s="19"/>
      <c r="W520" s="19"/>
      <c r="X520" s="19"/>
      <c r="Y520" s="19"/>
    </row>
    <row r="521" ht="56.25" customHeight="1">
      <c r="A521" s="13" t="s">
        <v>224</v>
      </c>
      <c r="B521" s="41" t="str">
        <f>image("https://i.imgur.com/7HdHWWp.png")</f>
        <v/>
      </c>
      <c r="C521" s="22" t="str">
        <f>HYPERLINK("https://imgur.com/a/SSikaV8","Yes")</f>
        <v>Yes</v>
      </c>
      <c r="D521" s="42" t="s">
        <v>50</v>
      </c>
      <c r="E521" s="42" t="s">
        <v>50</v>
      </c>
      <c r="F521" s="38" t="s">
        <v>51</v>
      </c>
      <c r="G521" s="38">
        <v>360.0</v>
      </c>
      <c r="H521" s="19">
        <v>682.0</v>
      </c>
      <c r="I521" s="19" t="s">
        <v>113</v>
      </c>
      <c r="J521" s="19"/>
      <c r="K521" s="19"/>
      <c r="L521" s="19"/>
      <c r="M521" s="19" t="s">
        <v>1488</v>
      </c>
      <c r="N521" s="19">
        <v>1.0</v>
      </c>
      <c r="O521" s="19" t="s">
        <v>40</v>
      </c>
      <c r="P521" s="19" t="s">
        <v>41</v>
      </c>
      <c r="Q521" s="19" t="s">
        <v>54</v>
      </c>
      <c r="R521" s="19" t="s">
        <v>55</v>
      </c>
      <c r="S521" s="19"/>
      <c r="T521" s="19"/>
      <c r="U521" s="19"/>
      <c r="V521" s="19"/>
      <c r="W521" s="19"/>
      <c r="X521" s="19"/>
      <c r="Y521" s="19"/>
    </row>
    <row r="522" ht="56.25" customHeight="1">
      <c r="A522" s="13" t="s">
        <v>242</v>
      </c>
      <c r="B522" s="41" t="str">
        <f>image("https://i.imgur.com/P5vBTvl.png")</f>
        <v/>
      </c>
      <c r="C522" s="25" t="s">
        <v>40</v>
      </c>
      <c r="D522" s="42" t="s">
        <v>28</v>
      </c>
      <c r="E522" s="42" t="s">
        <v>28</v>
      </c>
      <c r="F522" s="38">
        <v>820.0</v>
      </c>
      <c r="G522" s="38">
        <v>205.0</v>
      </c>
      <c r="H522" s="19">
        <v>875.0</v>
      </c>
      <c r="I522" s="19" t="s">
        <v>243</v>
      </c>
      <c r="J522" s="19" t="s">
        <v>90</v>
      </c>
      <c r="K522" s="19"/>
      <c r="L522" s="19"/>
      <c r="M522" s="19" t="s">
        <v>1340</v>
      </c>
      <c r="N522" s="19"/>
      <c r="O522" s="19" t="s">
        <v>40</v>
      </c>
      <c r="P522" s="19" t="s">
        <v>41</v>
      </c>
      <c r="Q522" s="19" t="s">
        <v>43</v>
      </c>
      <c r="R522" s="19" t="s">
        <v>44</v>
      </c>
      <c r="S522" s="19" t="s">
        <v>68</v>
      </c>
      <c r="T522" s="19"/>
      <c r="U522" s="19"/>
      <c r="V522" s="19"/>
      <c r="W522" s="19"/>
      <c r="X522" s="19"/>
      <c r="Y522" s="19"/>
    </row>
    <row r="523" ht="56.25" customHeight="1">
      <c r="A523" s="13" t="s">
        <v>245</v>
      </c>
      <c r="B523" s="41" t="str">
        <f>image("https://i.imgur.com/d0mq6HV.png")</f>
        <v/>
      </c>
      <c r="C523" s="25" t="s">
        <v>40</v>
      </c>
      <c r="D523" s="42" t="s">
        <v>28</v>
      </c>
      <c r="E523" s="42" t="s">
        <v>28</v>
      </c>
      <c r="F523" s="38" t="s">
        <v>51</v>
      </c>
      <c r="G523" s="38">
        <v>400.0</v>
      </c>
      <c r="H523" s="19">
        <v>7037.0</v>
      </c>
      <c r="I523" s="19" t="s">
        <v>60</v>
      </c>
      <c r="J523" s="19" t="s">
        <v>62</v>
      </c>
      <c r="K523" s="19"/>
      <c r="L523" s="19"/>
      <c r="M523" s="19" t="s">
        <v>1340</v>
      </c>
      <c r="N523" s="19"/>
      <c r="O523" s="19" t="s">
        <v>40</v>
      </c>
      <c r="P523" s="19" t="s">
        <v>41</v>
      </c>
      <c r="Q523" s="19" t="s">
        <v>54</v>
      </c>
      <c r="R523" s="19" t="s">
        <v>247</v>
      </c>
      <c r="S523" s="19"/>
      <c r="T523" s="19"/>
      <c r="U523" s="19"/>
      <c r="V523" s="19"/>
      <c r="W523" s="19"/>
      <c r="X523" s="19"/>
      <c r="Y523" s="19"/>
    </row>
    <row r="524" ht="56.25" customHeight="1">
      <c r="A524" s="13" t="s">
        <v>249</v>
      </c>
      <c r="B524" s="41" t="str">
        <f>image("https://i.imgur.com/vpiJwVG.png")</f>
        <v/>
      </c>
      <c r="C524" s="22" t="str">
        <f>HYPERLINK("https://imgur.com/a/5f6rS4K","Yes")</f>
        <v>Yes</v>
      </c>
      <c r="D524" s="42" t="s">
        <v>28</v>
      </c>
      <c r="E524" s="42" t="s">
        <v>28</v>
      </c>
      <c r="F524" s="38">
        <v>910.0</v>
      </c>
      <c r="G524" s="43">
        <v>227.0</v>
      </c>
      <c r="H524" s="19">
        <v>3967.0</v>
      </c>
      <c r="I524" s="19" t="s">
        <v>80</v>
      </c>
      <c r="J524" s="19"/>
      <c r="K524" s="19"/>
      <c r="L524" s="19"/>
      <c r="M524" s="19" t="s">
        <v>1350</v>
      </c>
      <c r="N524" s="19">
        <v>1.0</v>
      </c>
      <c r="O524" s="19" t="s">
        <v>40</v>
      </c>
      <c r="P524" s="19" t="s">
        <v>41</v>
      </c>
      <c r="Q524" s="19" t="s">
        <v>43</v>
      </c>
      <c r="R524" s="19" t="s">
        <v>44</v>
      </c>
      <c r="S524" s="19" t="s">
        <v>63</v>
      </c>
      <c r="T524" s="19"/>
      <c r="U524" s="19"/>
      <c r="V524" s="19"/>
      <c r="W524" s="19"/>
      <c r="X524" s="19"/>
      <c r="Y524" s="19"/>
    </row>
    <row r="525" ht="56.25" customHeight="1">
      <c r="A525" s="13" t="s">
        <v>260</v>
      </c>
      <c r="B525" s="41" t="str">
        <f>image("https://i.imgur.com/yvTysIb.png")</f>
        <v/>
      </c>
      <c r="C525" s="25" t="s">
        <v>40</v>
      </c>
      <c r="D525" s="15" t="s">
        <v>50</v>
      </c>
      <c r="E525" s="19" t="s">
        <v>28</v>
      </c>
      <c r="F525" s="13" t="s">
        <v>51</v>
      </c>
      <c r="G525" s="24">
        <v>2400.0</v>
      </c>
      <c r="H525" s="19"/>
      <c r="I525" s="19"/>
      <c r="J525" s="19"/>
      <c r="K525" s="19"/>
      <c r="L525" s="19"/>
      <c r="M525" s="19"/>
      <c r="N525" s="19"/>
      <c r="O525" s="19"/>
      <c r="P525" s="19"/>
      <c r="Q525" s="19" t="s">
        <v>54</v>
      </c>
      <c r="R525" s="19" t="s">
        <v>55</v>
      </c>
      <c r="S525" s="19"/>
      <c r="T525" s="19"/>
      <c r="U525" s="19"/>
      <c r="V525" s="19"/>
      <c r="W525" s="19"/>
      <c r="X525" s="19"/>
      <c r="Y525" s="19"/>
    </row>
    <row r="526" ht="56.25" customHeight="1">
      <c r="A526" s="13" t="s">
        <v>263</v>
      </c>
      <c r="B526" s="41" t="str">
        <f>image("https://i.imgur.com/MBVvhWX.png")</f>
        <v/>
      </c>
      <c r="C526" s="25" t="s">
        <v>40</v>
      </c>
      <c r="D526" s="15" t="s">
        <v>50</v>
      </c>
      <c r="E526" s="19" t="s">
        <v>28</v>
      </c>
      <c r="F526" s="13" t="s">
        <v>51</v>
      </c>
      <c r="G526" s="24">
        <v>1200.0</v>
      </c>
      <c r="H526" s="19"/>
      <c r="I526" s="19"/>
      <c r="J526" s="19"/>
      <c r="K526" s="19"/>
      <c r="L526" s="19"/>
      <c r="M526" s="19"/>
      <c r="N526" s="19"/>
      <c r="O526" s="19"/>
      <c r="P526" s="19"/>
      <c r="Q526" s="19" t="s">
        <v>54</v>
      </c>
      <c r="R526" s="19" t="s">
        <v>55</v>
      </c>
      <c r="S526" s="19"/>
      <c r="T526" s="19"/>
      <c r="U526" s="19"/>
      <c r="V526" s="19"/>
      <c r="W526" s="19"/>
      <c r="X526" s="19"/>
      <c r="Y526" s="19"/>
    </row>
    <row r="527" ht="56.25" customHeight="1">
      <c r="A527" s="13" t="s">
        <v>266</v>
      </c>
      <c r="B527" s="41" t="str">
        <f>image("https://i.imgur.com/uLlQrmF.png")</f>
        <v/>
      </c>
      <c r="C527" s="25" t="s">
        <v>40</v>
      </c>
      <c r="D527" s="15" t="s">
        <v>50</v>
      </c>
      <c r="E527" s="19" t="s">
        <v>28</v>
      </c>
      <c r="F527" s="13" t="s">
        <v>51</v>
      </c>
      <c r="G527" s="24">
        <v>2400.0</v>
      </c>
      <c r="H527" s="19"/>
      <c r="I527" s="19"/>
      <c r="J527" s="19"/>
      <c r="K527" s="19"/>
      <c r="L527" s="19"/>
      <c r="M527" s="19"/>
      <c r="N527" s="19"/>
      <c r="O527" s="19"/>
      <c r="P527" s="19"/>
      <c r="Q527" s="19" t="s">
        <v>54</v>
      </c>
      <c r="R527" s="19" t="s">
        <v>55</v>
      </c>
      <c r="S527" s="19"/>
      <c r="T527" s="19"/>
      <c r="U527" s="19"/>
      <c r="V527" s="19"/>
      <c r="W527" s="19"/>
      <c r="X527" s="19"/>
      <c r="Y527" s="19"/>
    </row>
    <row r="528" ht="56.25" customHeight="1">
      <c r="A528" s="13" t="s">
        <v>268</v>
      </c>
      <c r="B528" s="41" t="str">
        <f>image("https://i.imgur.com/X7TIAmr.png")</f>
        <v/>
      </c>
      <c r="C528" s="25" t="s">
        <v>40</v>
      </c>
      <c r="D528" s="42" t="s">
        <v>28</v>
      </c>
      <c r="E528" s="42" t="s">
        <v>28</v>
      </c>
      <c r="F528" s="38">
        <v>1300.0</v>
      </c>
      <c r="G528" s="38">
        <v>325.0</v>
      </c>
      <c r="H528" s="19">
        <v>11182.0</v>
      </c>
      <c r="I528" s="19" t="s">
        <v>84</v>
      </c>
      <c r="J528" s="19" t="s">
        <v>90</v>
      </c>
      <c r="K528" s="19"/>
      <c r="L528" s="19"/>
      <c r="M528" s="19" t="s">
        <v>1340</v>
      </c>
      <c r="N528" s="19"/>
      <c r="O528" s="19" t="s">
        <v>40</v>
      </c>
      <c r="P528" s="19" t="s">
        <v>41</v>
      </c>
      <c r="Q528" s="19" t="s">
        <v>43</v>
      </c>
      <c r="R528" s="19" t="s">
        <v>44</v>
      </c>
      <c r="S528" s="19" t="s">
        <v>68</v>
      </c>
      <c r="T528" s="19"/>
      <c r="U528" s="19"/>
      <c r="V528" s="19"/>
      <c r="W528" s="19"/>
      <c r="X528" s="19"/>
      <c r="Y528" s="19"/>
    </row>
    <row r="529" ht="56.25" customHeight="1">
      <c r="A529" s="13" t="s">
        <v>271</v>
      </c>
      <c r="B529" s="41" t="str">
        <f>image("https://i.imgur.com/31xF0Ys.png")</f>
        <v/>
      </c>
      <c r="C529" s="22" t="str">
        <f>HYPERLINK("https://imgur.com/a/MH59474","Yes")</f>
        <v>Yes</v>
      </c>
      <c r="D529" s="42" t="s">
        <v>50</v>
      </c>
      <c r="E529" s="42" t="s">
        <v>50</v>
      </c>
      <c r="F529" s="38" t="s">
        <v>51</v>
      </c>
      <c r="G529" s="38">
        <v>2400.0</v>
      </c>
      <c r="H529" s="19">
        <v>4012.0</v>
      </c>
      <c r="I529" s="19" t="s">
        <v>36</v>
      </c>
      <c r="J529" s="19"/>
      <c r="K529" s="19"/>
      <c r="L529" s="19"/>
      <c r="M529" s="19" t="s">
        <v>1340</v>
      </c>
      <c r="N529" s="19">
        <v>4.0</v>
      </c>
      <c r="O529" s="19" t="s">
        <v>53</v>
      </c>
      <c r="P529" s="19" t="s">
        <v>186</v>
      </c>
      <c r="Q529" s="19" t="s">
        <v>54</v>
      </c>
      <c r="R529" s="19" t="s">
        <v>55</v>
      </c>
      <c r="S529" s="19"/>
      <c r="T529" s="19"/>
      <c r="U529" s="19"/>
      <c r="V529" s="19"/>
      <c r="W529" s="19"/>
      <c r="X529" s="19"/>
      <c r="Y529" s="19"/>
    </row>
    <row r="530" ht="56.25" customHeight="1">
      <c r="A530" s="13" t="s">
        <v>279</v>
      </c>
      <c r="B530" s="41" t="str">
        <f>image("https://i.imgur.com/2oX8Lnx.png")</f>
        <v/>
      </c>
      <c r="C530" s="22" t="str">
        <f>HYPERLINK("https://imgur.com/a/yEu6gf8","Yes")</f>
        <v>Yes</v>
      </c>
      <c r="D530" s="42" t="s">
        <v>50</v>
      </c>
      <c r="E530" s="42" t="s">
        <v>50</v>
      </c>
      <c r="F530" s="38" t="s">
        <v>51</v>
      </c>
      <c r="G530" s="38">
        <v>2750.0</v>
      </c>
      <c r="H530" s="19">
        <v>6832.0</v>
      </c>
      <c r="I530" s="19" t="s">
        <v>36</v>
      </c>
      <c r="J530" s="19"/>
      <c r="K530" s="19"/>
      <c r="L530" s="19"/>
      <c r="M530" s="19" t="s">
        <v>1340</v>
      </c>
      <c r="N530" s="19">
        <v>4.0</v>
      </c>
      <c r="O530" s="19" t="s">
        <v>53</v>
      </c>
      <c r="P530" s="19" t="s">
        <v>41</v>
      </c>
      <c r="Q530" s="19" t="s">
        <v>54</v>
      </c>
      <c r="R530" s="19" t="s">
        <v>55</v>
      </c>
      <c r="S530" s="19" t="s">
        <v>282</v>
      </c>
      <c r="T530" s="19"/>
      <c r="U530" s="19"/>
      <c r="V530" s="19"/>
      <c r="W530" s="19"/>
      <c r="X530" s="19"/>
      <c r="Y530" s="19"/>
    </row>
    <row r="531" ht="56.25" customHeight="1">
      <c r="A531" s="13" t="s">
        <v>289</v>
      </c>
      <c r="B531" s="41" t="str">
        <f>image("https://i.imgur.com/ewsrIq7.png")</f>
        <v/>
      </c>
      <c r="C531" s="25" t="s">
        <v>40</v>
      </c>
      <c r="D531" s="42" t="s">
        <v>50</v>
      </c>
      <c r="E531" s="42" t="s">
        <v>28</v>
      </c>
      <c r="F531" s="38" t="s">
        <v>51</v>
      </c>
      <c r="G531" s="38">
        <v>4800.0</v>
      </c>
      <c r="H531" s="19">
        <v>5764.0</v>
      </c>
      <c r="I531" s="19" t="s">
        <v>36</v>
      </c>
      <c r="J531" s="19"/>
      <c r="K531" s="19"/>
      <c r="L531" s="19"/>
      <c r="M531" s="19" t="s">
        <v>1340</v>
      </c>
      <c r="N531" s="19"/>
      <c r="O531" s="19" t="s">
        <v>40</v>
      </c>
      <c r="P531" s="19" t="s">
        <v>41</v>
      </c>
      <c r="Q531" s="19" t="s">
        <v>54</v>
      </c>
      <c r="R531" s="19" t="s">
        <v>55</v>
      </c>
      <c r="S531" s="19"/>
      <c r="T531" s="19"/>
      <c r="U531" s="19"/>
      <c r="V531" s="19"/>
      <c r="W531" s="19"/>
      <c r="X531" s="19"/>
      <c r="Y531" s="19"/>
    </row>
    <row r="532" ht="56.25" customHeight="1">
      <c r="A532" s="13" t="s">
        <v>291</v>
      </c>
      <c r="B532" s="41" t="str">
        <f>image("https://i.imgur.com/tzHCcCH.png")</f>
        <v/>
      </c>
      <c r="C532" s="25" t="s">
        <v>40</v>
      </c>
      <c r="D532" s="42" t="s">
        <v>50</v>
      </c>
      <c r="E532" s="42" t="s">
        <v>28</v>
      </c>
      <c r="F532" s="38" t="s">
        <v>51</v>
      </c>
      <c r="G532" s="38">
        <v>4800.0</v>
      </c>
      <c r="H532" s="19">
        <v>5765.0</v>
      </c>
      <c r="I532" s="19" t="s">
        <v>36</v>
      </c>
      <c r="J532" s="19"/>
      <c r="K532" s="19"/>
      <c r="L532" s="19"/>
      <c r="M532" s="19" t="s">
        <v>1340</v>
      </c>
      <c r="N532" s="19"/>
      <c r="O532" s="19" t="s">
        <v>40</v>
      </c>
      <c r="P532" s="19" t="s">
        <v>41</v>
      </c>
      <c r="Q532" s="19" t="s">
        <v>54</v>
      </c>
      <c r="R532" s="19" t="s">
        <v>55</v>
      </c>
      <c r="S532" s="19"/>
      <c r="T532" s="19"/>
      <c r="U532" s="19"/>
      <c r="V532" s="19"/>
      <c r="W532" s="19"/>
      <c r="X532" s="19"/>
      <c r="Y532" s="19"/>
    </row>
    <row r="533" ht="56.25" customHeight="1">
      <c r="A533" s="13" t="s">
        <v>294</v>
      </c>
      <c r="B533" s="41" t="str">
        <f>image("https://i.imgur.com/QbzOPtd.png")</f>
        <v/>
      </c>
      <c r="C533" s="25" t="s">
        <v>40</v>
      </c>
      <c r="D533" s="42" t="s">
        <v>50</v>
      </c>
      <c r="E533" s="42" t="s">
        <v>28</v>
      </c>
      <c r="F533" s="38" t="s">
        <v>51</v>
      </c>
      <c r="G533" s="38">
        <v>600.0</v>
      </c>
      <c r="H533" s="19">
        <v>4130.0</v>
      </c>
      <c r="I533" s="19" t="s">
        <v>84</v>
      </c>
      <c r="J533" s="19" t="s">
        <v>60</v>
      </c>
      <c r="K533" s="19"/>
      <c r="L533" s="19"/>
      <c r="M533" s="19" t="s">
        <v>1350</v>
      </c>
      <c r="N533" s="19"/>
      <c r="O533" s="19" t="s">
        <v>40</v>
      </c>
      <c r="P533" s="19" t="s">
        <v>41</v>
      </c>
      <c r="Q533" s="19" t="s">
        <v>54</v>
      </c>
      <c r="R533" s="19" t="s">
        <v>55</v>
      </c>
      <c r="S533" s="19"/>
      <c r="T533" s="19"/>
      <c r="U533" s="19"/>
      <c r="V533" s="19"/>
      <c r="W533" s="19"/>
      <c r="X533" s="19"/>
      <c r="Y533" s="19"/>
    </row>
    <row r="534" ht="56.25" customHeight="1">
      <c r="A534" s="13" t="s">
        <v>297</v>
      </c>
      <c r="B534" s="41" t="str">
        <f>image("https://i.imgur.com/TRPMBpw.png")</f>
        <v/>
      </c>
      <c r="C534" s="25" t="s">
        <v>40</v>
      </c>
      <c r="D534" s="42" t="s">
        <v>50</v>
      </c>
      <c r="E534" s="42" t="s">
        <v>28</v>
      </c>
      <c r="F534" s="38" t="s">
        <v>51</v>
      </c>
      <c r="G534" s="38">
        <v>1440.0</v>
      </c>
      <c r="H534" s="19">
        <v>5750.0</v>
      </c>
      <c r="I534" s="19" t="s">
        <v>36</v>
      </c>
      <c r="J534" s="19"/>
      <c r="K534" s="19"/>
      <c r="L534" s="19"/>
      <c r="M534" s="19" t="s">
        <v>1340</v>
      </c>
      <c r="N534" s="19"/>
      <c r="O534" s="19" t="s">
        <v>40</v>
      </c>
      <c r="P534" s="19" t="s">
        <v>41</v>
      </c>
      <c r="Q534" s="19" t="s">
        <v>54</v>
      </c>
      <c r="R534" s="19" t="s">
        <v>55</v>
      </c>
      <c r="S534" s="19"/>
      <c r="T534" s="19"/>
      <c r="U534" s="19"/>
      <c r="V534" s="19"/>
      <c r="W534" s="19"/>
      <c r="X534" s="19"/>
      <c r="Y534" s="19"/>
    </row>
    <row r="535" ht="56.25" customHeight="1">
      <c r="A535" s="13" t="s">
        <v>299</v>
      </c>
      <c r="B535" s="41" t="str">
        <f>image("https://i.imgur.com/D1wcmBz.png")</f>
        <v/>
      </c>
      <c r="C535" s="25" t="s">
        <v>40</v>
      </c>
      <c r="D535" s="42" t="s">
        <v>50</v>
      </c>
      <c r="E535" s="42" t="s">
        <v>28</v>
      </c>
      <c r="F535" s="38" t="s">
        <v>51</v>
      </c>
      <c r="G535" s="38">
        <v>4800.0</v>
      </c>
      <c r="H535" s="19">
        <v>5767.0</v>
      </c>
      <c r="I535" s="19" t="s">
        <v>36</v>
      </c>
      <c r="J535" s="19"/>
      <c r="K535" s="19"/>
      <c r="L535" s="19"/>
      <c r="M535" s="19" t="s">
        <v>1340</v>
      </c>
      <c r="N535" s="19"/>
      <c r="O535" s="19" t="s">
        <v>40</v>
      </c>
      <c r="P535" s="19" t="s">
        <v>41</v>
      </c>
      <c r="Q535" s="19" t="s">
        <v>54</v>
      </c>
      <c r="R535" s="19" t="s">
        <v>55</v>
      </c>
      <c r="S535" s="19"/>
      <c r="T535" s="19"/>
      <c r="U535" s="19"/>
      <c r="V535" s="19"/>
      <c r="W535" s="19"/>
      <c r="X535" s="19"/>
      <c r="Y535" s="19"/>
    </row>
    <row r="536" ht="56.25" customHeight="1">
      <c r="A536" s="13" t="s">
        <v>303</v>
      </c>
      <c r="B536" s="41" t="str">
        <f>image("https://i.imgur.com/Wdlk3fQ.png")</f>
        <v/>
      </c>
      <c r="C536" s="25" t="s">
        <v>40</v>
      </c>
      <c r="D536" s="42" t="s">
        <v>50</v>
      </c>
      <c r="E536" s="42" t="s">
        <v>28</v>
      </c>
      <c r="F536" s="38" t="s">
        <v>51</v>
      </c>
      <c r="G536" s="38">
        <v>1200.0</v>
      </c>
      <c r="H536" s="19">
        <v>5746.0</v>
      </c>
      <c r="I536" s="19" t="s">
        <v>36</v>
      </c>
      <c r="J536" s="19"/>
      <c r="K536" s="19"/>
      <c r="L536" s="19"/>
      <c r="M536" s="19" t="s">
        <v>1340</v>
      </c>
      <c r="N536" s="19"/>
      <c r="O536" s="19" t="s">
        <v>40</v>
      </c>
      <c r="P536" s="19" t="s">
        <v>41</v>
      </c>
      <c r="Q536" s="19" t="s">
        <v>54</v>
      </c>
      <c r="R536" s="19" t="s">
        <v>55</v>
      </c>
      <c r="S536" s="19"/>
      <c r="T536" s="19"/>
      <c r="U536" s="19"/>
      <c r="V536" s="19"/>
      <c r="W536" s="19"/>
      <c r="X536" s="19"/>
      <c r="Y536" s="19"/>
    </row>
    <row r="537" ht="56.25" customHeight="1">
      <c r="A537" s="13" t="s">
        <v>305</v>
      </c>
      <c r="B537" s="41" t="str">
        <f>image("https://i.imgur.com/iMPOV5S.png")</f>
        <v/>
      </c>
      <c r="C537" s="22" t="str">
        <f>HYPERLINK("https://imgur.com/a/65lmCFn","Yes")</f>
        <v>Yes</v>
      </c>
      <c r="D537" s="42" t="s">
        <v>28</v>
      </c>
      <c r="E537" s="44" t="s">
        <v>50</v>
      </c>
      <c r="F537" s="38">
        <v>1400.0</v>
      </c>
      <c r="G537" s="38">
        <v>350.0</v>
      </c>
      <c r="H537" s="19">
        <v>1783.0</v>
      </c>
      <c r="I537" s="19" t="s">
        <v>80</v>
      </c>
      <c r="J537" s="19" t="s">
        <v>61</v>
      </c>
      <c r="K537" s="19"/>
      <c r="L537" s="19"/>
      <c r="M537" s="19" t="s">
        <v>1384</v>
      </c>
      <c r="N537" s="19">
        <v>1.0</v>
      </c>
      <c r="O537" s="19" t="s">
        <v>40</v>
      </c>
      <c r="P537" s="19" t="s">
        <v>41</v>
      </c>
      <c r="Q537" s="19" t="s">
        <v>43</v>
      </c>
      <c r="R537" s="19" t="s">
        <v>44</v>
      </c>
      <c r="S537" s="19" t="s">
        <v>63</v>
      </c>
      <c r="T537" s="19"/>
      <c r="U537" s="19"/>
      <c r="V537" s="19"/>
      <c r="W537" s="19"/>
      <c r="X537" s="19"/>
      <c r="Y537" s="19"/>
    </row>
    <row r="538" ht="56.25" customHeight="1">
      <c r="A538" s="13" t="s">
        <v>342</v>
      </c>
      <c r="B538" s="41" t="str">
        <f>image("https://i.imgur.com/QvZJa6D.png")</f>
        <v/>
      </c>
      <c r="C538" s="25" t="s">
        <v>40</v>
      </c>
      <c r="D538" s="42" t="s">
        <v>50</v>
      </c>
      <c r="E538" s="42" t="s">
        <v>28</v>
      </c>
      <c r="F538" s="38" t="s">
        <v>51</v>
      </c>
      <c r="G538" s="38">
        <v>720.0</v>
      </c>
      <c r="H538" s="19">
        <v>4293.0</v>
      </c>
      <c r="I538" s="19" t="s">
        <v>36</v>
      </c>
      <c r="J538" s="19"/>
      <c r="K538" s="19"/>
      <c r="L538" s="19"/>
      <c r="M538" s="19" t="s">
        <v>1340</v>
      </c>
      <c r="N538" s="19"/>
      <c r="O538" s="19" t="s">
        <v>40</v>
      </c>
      <c r="P538" s="19" t="s">
        <v>41</v>
      </c>
      <c r="Q538" s="19" t="s">
        <v>54</v>
      </c>
      <c r="R538" s="19" t="s">
        <v>55</v>
      </c>
      <c r="S538" s="19"/>
      <c r="T538" s="19"/>
      <c r="U538" s="19"/>
      <c r="V538" s="19"/>
      <c r="W538" s="19"/>
      <c r="X538" s="19"/>
      <c r="Y538" s="19"/>
    </row>
    <row r="539" ht="56.25" customHeight="1">
      <c r="A539" s="13" t="s">
        <v>344</v>
      </c>
      <c r="B539" s="41" t="str">
        <f>image("https://i.imgur.com/HeIKMFY.png")</f>
        <v/>
      </c>
      <c r="C539" s="22" t="str">
        <f>HYPERLINK("https://imgur.com/a/l0kt9sY","Yes")</f>
        <v>Yes</v>
      </c>
      <c r="D539" s="42" t="s">
        <v>50</v>
      </c>
      <c r="E539" s="42" t="s">
        <v>50</v>
      </c>
      <c r="F539" s="38" t="s">
        <v>51</v>
      </c>
      <c r="G539" s="38">
        <v>3000.0</v>
      </c>
      <c r="H539" s="19">
        <v>5717.0</v>
      </c>
      <c r="I539" s="19" t="s">
        <v>62</v>
      </c>
      <c r="J539" s="19"/>
      <c r="K539" s="19"/>
      <c r="L539" s="19"/>
      <c r="M539" s="19" t="s">
        <v>1340</v>
      </c>
      <c r="N539" s="19">
        <v>1.0</v>
      </c>
      <c r="O539" s="19" t="s">
        <v>40</v>
      </c>
      <c r="P539" s="19" t="s">
        <v>41</v>
      </c>
      <c r="Q539" s="19" t="s">
        <v>54</v>
      </c>
      <c r="R539" s="19" t="s">
        <v>55</v>
      </c>
      <c r="S539" s="19"/>
      <c r="T539" s="19"/>
      <c r="U539" s="19"/>
      <c r="V539" s="19"/>
      <c r="W539" s="19"/>
      <c r="X539" s="19"/>
      <c r="Y539" s="19"/>
    </row>
    <row r="540" ht="56.25" customHeight="1">
      <c r="A540" s="13" t="s">
        <v>364</v>
      </c>
      <c r="B540" s="41" t="str">
        <f>image("https://i.imgur.com/gp6SjQK.png")</f>
        <v/>
      </c>
      <c r="C540" s="22" t="str">
        <f>HYPERLINK("https://imgur.com/a/JcPCi2c","Yes")</f>
        <v>Yes</v>
      </c>
      <c r="D540" s="42" t="s">
        <v>28</v>
      </c>
      <c r="E540" s="42" t="s">
        <v>28</v>
      </c>
      <c r="F540" s="38">
        <v>3200.0</v>
      </c>
      <c r="G540" s="38">
        <v>800.0</v>
      </c>
      <c r="H540" s="19">
        <v>915.0</v>
      </c>
      <c r="I540" s="19" t="s">
        <v>60</v>
      </c>
      <c r="J540" s="19" t="s">
        <v>113</v>
      </c>
      <c r="K540" s="19"/>
      <c r="L540" s="19"/>
      <c r="M540" s="19" t="s">
        <v>1350</v>
      </c>
      <c r="N540" s="19">
        <v>2.0</v>
      </c>
      <c r="O540" s="19" t="s">
        <v>53</v>
      </c>
      <c r="P540" s="19" t="s">
        <v>41</v>
      </c>
      <c r="Q540" s="19" t="s">
        <v>43</v>
      </c>
      <c r="R540" s="19" t="s">
        <v>44</v>
      </c>
      <c r="S540" s="19" t="s">
        <v>63</v>
      </c>
      <c r="T540" s="19"/>
      <c r="U540" s="19"/>
      <c r="V540" s="19"/>
      <c r="W540" s="19"/>
      <c r="X540" s="19"/>
      <c r="Y540" s="19"/>
    </row>
    <row r="541" ht="56.25" customHeight="1">
      <c r="A541" s="13" t="s">
        <v>382</v>
      </c>
      <c r="B541" s="41" t="str">
        <f>image("https://i.imgur.com/6My5vku.png")</f>
        <v/>
      </c>
      <c r="C541" s="22" t="str">
        <f>HYPERLINK("https://imgur.com/a/IZXlCwM","Yes")</f>
        <v>Yes</v>
      </c>
      <c r="D541" s="42" t="s">
        <v>28</v>
      </c>
      <c r="E541" s="42" t="s">
        <v>28</v>
      </c>
      <c r="F541" s="38">
        <v>1200.0</v>
      </c>
      <c r="G541" s="38">
        <v>300.0</v>
      </c>
      <c r="H541" s="19">
        <v>3996.0</v>
      </c>
      <c r="I541" s="19" t="s">
        <v>36</v>
      </c>
      <c r="J541" s="19"/>
      <c r="K541" s="19" t="s">
        <v>384</v>
      </c>
      <c r="L541" s="19"/>
      <c r="M541" s="19" t="s">
        <v>1340</v>
      </c>
      <c r="N541" s="19">
        <v>1.0</v>
      </c>
      <c r="O541" s="19" t="s">
        <v>53</v>
      </c>
      <c r="P541" s="19" t="s">
        <v>41</v>
      </c>
      <c r="Q541" s="19" t="s">
        <v>43</v>
      </c>
      <c r="R541" s="19" t="s">
        <v>44</v>
      </c>
      <c r="S541" s="19" t="s">
        <v>68</v>
      </c>
      <c r="T541" s="19"/>
      <c r="U541" s="19"/>
      <c r="V541" s="19"/>
      <c r="W541" s="19"/>
      <c r="X541" s="19"/>
      <c r="Y541" s="19"/>
    </row>
    <row r="542" ht="56.25" customHeight="1">
      <c r="A542" s="13" t="s">
        <v>396</v>
      </c>
      <c r="B542" s="41" t="str">
        <f>image("https://i.imgur.com/WXEXesa.png")</f>
        <v/>
      </c>
      <c r="C542" s="25" t="s">
        <v>40</v>
      </c>
      <c r="D542" s="42" t="s">
        <v>50</v>
      </c>
      <c r="E542" s="42" t="s">
        <v>28</v>
      </c>
      <c r="F542" s="38" t="s">
        <v>51</v>
      </c>
      <c r="G542" s="38">
        <v>1600.0</v>
      </c>
      <c r="H542" s="19">
        <v>5770.0</v>
      </c>
      <c r="I542" s="19" t="s">
        <v>36</v>
      </c>
      <c r="J542" s="19" t="s">
        <v>346</v>
      </c>
      <c r="K542" s="19"/>
      <c r="L542" s="19"/>
      <c r="M542" s="19" t="s">
        <v>1340</v>
      </c>
      <c r="N542" s="19"/>
      <c r="O542" s="19" t="s">
        <v>40</v>
      </c>
      <c r="P542" s="19" t="s">
        <v>41</v>
      </c>
      <c r="Q542" s="19" t="s">
        <v>54</v>
      </c>
      <c r="R542" s="19" t="s">
        <v>55</v>
      </c>
      <c r="S542" s="19"/>
      <c r="T542" s="19"/>
      <c r="U542" s="19"/>
      <c r="V542" s="19"/>
      <c r="W542" s="19"/>
      <c r="X542" s="19"/>
      <c r="Y542" s="19"/>
    </row>
    <row r="543" ht="56.25" customHeight="1">
      <c r="A543" s="13" t="s">
        <v>400</v>
      </c>
      <c r="B543" s="41" t="str">
        <f>image("https://i.imgur.com/AGQp9A1.png")</f>
        <v/>
      </c>
      <c r="C543" s="25" t="s">
        <v>40</v>
      </c>
      <c r="D543" s="42" t="s">
        <v>50</v>
      </c>
      <c r="E543" s="42" t="s">
        <v>28</v>
      </c>
      <c r="F543" s="38" t="s">
        <v>51</v>
      </c>
      <c r="G543" s="38">
        <v>4320.0</v>
      </c>
      <c r="H543" s="19">
        <v>5766.0</v>
      </c>
      <c r="I543" s="19" t="s">
        <v>36</v>
      </c>
      <c r="J543" s="19" t="s">
        <v>346</v>
      </c>
      <c r="K543" s="19"/>
      <c r="L543" s="19"/>
      <c r="M543" s="19" t="s">
        <v>1340</v>
      </c>
      <c r="N543" s="19"/>
      <c r="O543" s="19" t="s">
        <v>40</v>
      </c>
      <c r="P543" s="19" t="s">
        <v>41</v>
      </c>
      <c r="Q543" s="19" t="s">
        <v>54</v>
      </c>
      <c r="R543" s="19" t="s">
        <v>55</v>
      </c>
      <c r="S543" s="19"/>
      <c r="T543" s="19"/>
      <c r="U543" s="19"/>
      <c r="V543" s="19"/>
      <c r="W543" s="19"/>
      <c r="X543" s="19"/>
      <c r="Y543" s="19"/>
    </row>
    <row r="544" ht="56.25" customHeight="1">
      <c r="A544" s="13" t="s">
        <v>402</v>
      </c>
      <c r="B544" s="41" t="str">
        <f>image("https://i.imgur.com/LptinD2.png")</f>
        <v/>
      </c>
      <c r="C544" s="25" t="s">
        <v>40</v>
      </c>
      <c r="D544" s="42" t="s">
        <v>50</v>
      </c>
      <c r="E544" s="42" t="s">
        <v>28</v>
      </c>
      <c r="F544" s="38" t="s">
        <v>51</v>
      </c>
      <c r="G544" s="38">
        <v>1600.0</v>
      </c>
      <c r="H544" s="19">
        <v>5771.0</v>
      </c>
      <c r="I544" s="19" t="s">
        <v>36</v>
      </c>
      <c r="J544" s="19" t="s">
        <v>346</v>
      </c>
      <c r="K544" s="19"/>
      <c r="L544" s="19"/>
      <c r="M544" s="19" t="s">
        <v>1340</v>
      </c>
      <c r="N544" s="19"/>
      <c r="O544" s="19" t="s">
        <v>40</v>
      </c>
      <c r="P544" s="19" t="s">
        <v>41</v>
      </c>
      <c r="Q544" s="19" t="s">
        <v>54</v>
      </c>
      <c r="R544" s="19" t="s">
        <v>55</v>
      </c>
      <c r="S544" s="19"/>
      <c r="T544" s="19"/>
      <c r="U544" s="19"/>
      <c r="V544" s="19"/>
      <c r="W544" s="19"/>
      <c r="X544" s="19"/>
      <c r="Y544" s="19"/>
    </row>
    <row r="545" ht="56.25" customHeight="1">
      <c r="A545" s="13" t="s">
        <v>404</v>
      </c>
      <c r="B545" s="41" t="str">
        <f>image("https://i.imgur.com/x6lY9yi.png")</f>
        <v/>
      </c>
      <c r="C545" s="22" t="str">
        <f>HYPERLINK("https://imgur.com/a/6s2bJN8","Yes")</f>
        <v>Yes</v>
      </c>
      <c r="D545" s="42" t="s">
        <v>50</v>
      </c>
      <c r="E545" s="42" t="s">
        <v>50</v>
      </c>
      <c r="F545" s="38" t="s">
        <v>51</v>
      </c>
      <c r="G545" s="38">
        <v>960.0</v>
      </c>
      <c r="H545" s="19">
        <v>3340.0</v>
      </c>
      <c r="I545" s="19" t="s">
        <v>60</v>
      </c>
      <c r="J545" s="19"/>
      <c r="K545" s="19"/>
      <c r="L545" s="19"/>
      <c r="M545" s="19" t="s">
        <v>1350</v>
      </c>
      <c r="N545" s="19">
        <v>2.0</v>
      </c>
      <c r="O545" s="19" t="s">
        <v>40</v>
      </c>
      <c r="P545" s="19" t="s">
        <v>41</v>
      </c>
      <c r="Q545" s="19" t="s">
        <v>54</v>
      </c>
      <c r="R545" s="19" t="s">
        <v>55</v>
      </c>
      <c r="S545" s="19"/>
      <c r="T545" s="19"/>
      <c r="U545" s="19"/>
      <c r="V545" s="19"/>
      <c r="W545" s="19"/>
      <c r="X545" s="19"/>
      <c r="Y545" s="19"/>
    </row>
    <row r="546" ht="56.25" customHeight="1">
      <c r="A546" s="13" t="s">
        <v>417</v>
      </c>
      <c r="B546" s="15" t="str">
        <f>image("https://storage.googleapis.com/acdb/wall-mounted/FtrAmeretroClock_Remake_0_0.png")</f>
        <v/>
      </c>
      <c r="C546" s="19" t="s">
        <v>208</v>
      </c>
      <c r="D546" s="42" t="s">
        <v>28</v>
      </c>
      <c r="E546" s="42" t="s">
        <v>28</v>
      </c>
      <c r="F546" s="38">
        <v>1500.0</v>
      </c>
      <c r="G546" s="38">
        <v>375.0</v>
      </c>
      <c r="H546" s="19">
        <v>4144.0</v>
      </c>
      <c r="I546" s="19" t="s">
        <v>37</v>
      </c>
      <c r="J546" s="19"/>
      <c r="K546" s="19" t="s">
        <v>423</v>
      </c>
      <c r="L546" s="19"/>
      <c r="M546" s="19" t="s">
        <v>1340</v>
      </c>
      <c r="N546" s="19">
        <v>1.0</v>
      </c>
      <c r="O546" s="19" t="s">
        <v>53</v>
      </c>
      <c r="P546" s="19" t="s">
        <v>41</v>
      </c>
      <c r="Q546" s="19" t="s">
        <v>43</v>
      </c>
      <c r="R546" s="19" t="s">
        <v>44</v>
      </c>
      <c r="S546" s="19" t="s">
        <v>68</v>
      </c>
      <c r="T546" s="19"/>
      <c r="U546" s="19"/>
      <c r="V546" s="19"/>
      <c r="W546" s="19"/>
      <c r="X546" s="19"/>
      <c r="Y546" s="19"/>
    </row>
    <row r="547" ht="56.25" customHeight="1">
      <c r="A547" s="13" t="s">
        <v>417</v>
      </c>
      <c r="B547" s="15" t="str">
        <f>image("https://storage.googleapis.com/acdb/wall-mounted/FtrAmeretroClock_Remake_0_1.png")</f>
        <v/>
      </c>
      <c r="C547" s="19" t="s">
        <v>208</v>
      </c>
      <c r="D547" s="42" t="s">
        <v>28</v>
      </c>
      <c r="E547" s="42" t="s">
        <v>28</v>
      </c>
      <c r="F547" s="38">
        <v>1500.0</v>
      </c>
      <c r="G547" s="38">
        <v>375.0</v>
      </c>
      <c r="H547" s="19">
        <v>4144.0</v>
      </c>
      <c r="I547" s="19" t="s">
        <v>37</v>
      </c>
      <c r="J547" s="19"/>
      <c r="K547" s="19" t="s">
        <v>423</v>
      </c>
      <c r="L547" s="19"/>
      <c r="M547" s="19" t="s">
        <v>1340</v>
      </c>
      <c r="N547" s="19">
        <v>1.0</v>
      </c>
      <c r="O547" s="19" t="s">
        <v>53</v>
      </c>
      <c r="P547" s="19" t="s">
        <v>41</v>
      </c>
      <c r="Q547" s="19" t="s">
        <v>43</v>
      </c>
      <c r="R547" s="19" t="s">
        <v>44</v>
      </c>
      <c r="S547" s="19" t="s">
        <v>68</v>
      </c>
      <c r="T547" s="19"/>
      <c r="U547" s="19"/>
      <c r="V547" s="19"/>
      <c r="W547" s="19"/>
      <c r="X547" s="19"/>
      <c r="Y547" s="19"/>
    </row>
    <row r="548" ht="56.25" customHeight="1">
      <c r="A548" s="13" t="s">
        <v>417</v>
      </c>
      <c r="B548" s="15" t="str">
        <f>image("https://storage.googleapis.com/acdb/wall-mounted/FtrAmeretroClock_Remake_0_2.png")</f>
        <v/>
      </c>
      <c r="C548" s="19" t="s">
        <v>208</v>
      </c>
      <c r="D548" s="42" t="s">
        <v>28</v>
      </c>
      <c r="E548" s="42" t="s">
        <v>28</v>
      </c>
      <c r="F548" s="38">
        <v>1500.0</v>
      </c>
      <c r="G548" s="38">
        <v>375.0</v>
      </c>
      <c r="H548" s="19">
        <v>4144.0</v>
      </c>
      <c r="I548" s="19" t="s">
        <v>37</v>
      </c>
      <c r="J548" s="19"/>
      <c r="K548" s="19" t="s">
        <v>423</v>
      </c>
      <c r="L548" s="19"/>
      <c r="M548" s="19" t="s">
        <v>1340</v>
      </c>
      <c r="N548" s="19">
        <v>1.0</v>
      </c>
      <c r="O548" s="19" t="s">
        <v>53</v>
      </c>
      <c r="P548" s="19" t="s">
        <v>41</v>
      </c>
      <c r="Q548" s="19" t="s">
        <v>43</v>
      </c>
      <c r="R548" s="19" t="s">
        <v>44</v>
      </c>
      <c r="S548" s="19" t="s">
        <v>68</v>
      </c>
      <c r="T548" s="19"/>
      <c r="U548" s="19"/>
      <c r="V548" s="19"/>
      <c r="W548" s="19"/>
      <c r="X548" s="19"/>
      <c r="Y548" s="19"/>
    </row>
    <row r="549" ht="56.25" customHeight="1">
      <c r="A549" s="13" t="s">
        <v>417</v>
      </c>
      <c r="B549" s="15" t="str">
        <f>image("https://storage.googleapis.com/acdb/wall-mounted/FtrAmeretroClock_Remake_1_0.png")</f>
        <v/>
      </c>
      <c r="C549" s="19" t="s">
        <v>112</v>
      </c>
      <c r="D549" s="42" t="s">
        <v>28</v>
      </c>
      <c r="E549" s="42" t="s">
        <v>28</v>
      </c>
      <c r="F549" s="38">
        <v>1500.0</v>
      </c>
      <c r="G549" s="38">
        <v>375.0</v>
      </c>
      <c r="H549" s="19">
        <v>4144.0</v>
      </c>
      <c r="I549" s="19" t="s">
        <v>37</v>
      </c>
      <c r="J549" s="19"/>
      <c r="K549" s="19" t="s">
        <v>423</v>
      </c>
      <c r="L549" s="19"/>
      <c r="M549" s="19" t="s">
        <v>1340</v>
      </c>
      <c r="N549" s="19">
        <v>1.0</v>
      </c>
      <c r="O549" s="19" t="s">
        <v>53</v>
      </c>
      <c r="P549" s="19" t="s">
        <v>41</v>
      </c>
      <c r="Q549" s="19" t="s">
        <v>43</v>
      </c>
      <c r="R549" s="19" t="s">
        <v>44</v>
      </c>
      <c r="S549" s="19" t="s">
        <v>68</v>
      </c>
      <c r="T549" s="19"/>
      <c r="U549" s="19"/>
      <c r="V549" s="19"/>
      <c r="W549" s="19"/>
      <c r="X549" s="19"/>
      <c r="Y549" s="19"/>
    </row>
    <row r="550" ht="56.25" customHeight="1">
      <c r="A550" s="13" t="s">
        <v>417</v>
      </c>
      <c r="B550" s="15" t="str">
        <f>image("https://storage.googleapis.com/acdb/wall-mounted/FtrAmeretroClock_Remake_1_1.png")</f>
        <v/>
      </c>
      <c r="C550" s="19" t="s">
        <v>112</v>
      </c>
      <c r="D550" s="42" t="s">
        <v>28</v>
      </c>
      <c r="E550" s="42" t="s">
        <v>28</v>
      </c>
      <c r="F550" s="38">
        <v>1500.0</v>
      </c>
      <c r="G550" s="38">
        <v>375.0</v>
      </c>
      <c r="H550" s="19">
        <v>4144.0</v>
      </c>
      <c r="I550" s="19" t="s">
        <v>37</v>
      </c>
      <c r="J550" s="19"/>
      <c r="K550" s="19" t="s">
        <v>423</v>
      </c>
      <c r="L550" s="19"/>
      <c r="M550" s="19" t="s">
        <v>1340</v>
      </c>
      <c r="N550" s="19">
        <v>1.0</v>
      </c>
      <c r="O550" s="19" t="s">
        <v>53</v>
      </c>
      <c r="P550" s="19" t="s">
        <v>41</v>
      </c>
      <c r="Q550" s="19" t="s">
        <v>43</v>
      </c>
      <c r="R550" s="19" t="s">
        <v>44</v>
      </c>
      <c r="S550" s="19" t="s">
        <v>68</v>
      </c>
      <c r="T550" s="19"/>
      <c r="U550" s="19"/>
      <c r="V550" s="19"/>
      <c r="W550" s="19"/>
      <c r="X550" s="19"/>
      <c r="Y550" s="19"/>
    </row>
    <row r="551" ht="56.25" customHeight="1">
      <c r="A551" s="13" t="s">
        <v>417</v>
      </c>
      <c r="B551" s="15" t="str">
        <f>image("https://storage.googleapis.com/acdb/wall-mounted/FtrAmeretroClock_Remake_1_2.png")</f>
        <v/>
      </c>
      <c r="C551" s="19" t="s">
        <v>112</v>
      </c>
      <c r="D551" s="42" t="s">
        <v>28</v>
      </c>
      <c r="E551" s="42" t="s">
        <v>28</v>
      </c>
      <c r="F551" s="38">
        <v>1500.0</v>
      </c>
      <c r="G551" s="38">
        <v>375.0</v>
      </c>
      <c r="H551" s="19">
        <v>4144.0</v>
      </c>
      <c r="I551" s="19" t="s">
        <v>37</v>
      </c>
      <c r="J551" s="19"/>
      <c r="K551" s="19" t="s">
        <v>423</v>
      </c>
      <c r="L551" s="19"/>
      <c r="M551" s="19" t="s">
        <v>1340</v>
      </c>
      <c r="N551" s="19">
        <v>1.0</v>
      </c>
      <c r="O551" s="19" t="s">
        <v>53</v>
      </c>
      <c r="P551" s="19" t="s">
        <v>41</v>
      </c>
      <c r="Q551" s="19" t="s">
        <v>43</v>
      </c>
      <c r="R551" s="19" t="s">
        <v>44</v>
      </c>
      <c r="S551" s="19" t="s">
        <v>68</v>
      </c>
      <c r="T551" s="19"/>
      <c r="U551" s="19"/>
      <c r="V551" s="19"/>
      <c r="W551" s="19"/>
      <c r="X551" s="19"/>
      <c r="Y551" s="19"/>
    </row>
    <row r="552" ht="56.25" customHeight="1">
      <c r="A552" s="13" t="s">
        <v>417</v>
      </c>
      <c r="B552" s="15" t="str">
        <f>image("https://storage.googleapis.com/acdb/wall-mounted/FtrAmeretroClock_Remake_2_0.png")</f>
        <v/>
      </c>
      <c r="C552" s="19" t="s">
        <v>211</v>
      </c>
      <c r="D552" s="42" t="s">
        <v>28</v>
      </c>
      <c r="E552" s="42" t="s">
        <v>28</v>
      </c>
      <c r="F552" s="38">
        <v>1500.0</v>
      </c>
      <c r="G552" s="38">
        <v>375.0</v>
      </c>
      <c r="H552" s="19">
        <v>4144.0</v>
      </c>
      <c r="I552" s="19" t="s">
        <v>37</v>
      </c>
      <c r="J552" s="19"/>
      <c r="K552" s="19" t="s">
        <v>423</v>
      </c>
      <c r="L552" s="19"/>
      <c r="M552" s="19" t="s">
        <v>1340</v>
      </c>
      <c r="N552" s="19">
        <v>1.0</v>
      </c>
      <c r="O552" s="19" t="s">
        <v>53</v>
      </c>
      <c r="P552" s="19" t="s">
        <v>41</v>
      </c>
      <c r="Q552" s="19" t="s">
        <v>43</v>
      </c>
      <c r="R552" s="19" t="s">
        <v>44</v>
      </c>
      <c r="S552" s="19" t="s">
        <v>68</v>
      </c>
      <c r="T552" s="19"/>
      <c r="U552" s="19"/>
      <c r="V552" s="19"/>
      <c r="W552" s="19"/>
      <c r="X552" s="19"/>
      <c r="Y552" s="19"/>
    </row>
    <row r="553" ht="56.25" customHeight="1">
      <c r="A553" s="13" t="s">
        <v>417</v>
      </c>
      <c r="B553" s="15" t="str">
        <f>image("https://storage.googleapis.com/acdb/wall-mounted/FtrAmeretroClock_Remake_2_1.png")</f>
        <v/>
      </c>
      <c r="C553" s="19" t="s">
        <v>211</v>
      </c>
      <c r="D553" s="42" t="s">
        <v>28</v>
      </c>
      <c r="E553" s="42" t="s">
        <v>28</v>
      </c>
      <c r="F553" s="38">
        <v>1500.0</v>
      </c>
      <c r="G553" s="38">
        <v>375.0</v>
      </c>
      <c r="H553" s="19">
        <v>4144.0</v>
      </c>
      <c r="I553" s="19" t="s">
        <v>37</v>
      </c>
      <c r="J553" s="19"/>
      <c r="K553" s="19" t="s">
        <v>423</v>
      </c>
      <c r="L553" s="19"/>
      <c r="M553" s="19" t="s">
        <v>1340</v>
      </c>
      <c r="N553" s="19">
        <v>1.0</v>
      </c>
      <c r="O553" s="19" t="s">
        <v>53</v>
      </c>
      <c r="P553" s="19" t="s">
        <v>41</v>
      </c>
      <c r="Q553" s="19" t="s">
        <v>43</v>
      </c>
      <c r="R553" s="19" t="s">
        <v>44</v>
      </c>
      <c r="S553" s="19" t="s">
        <v>68</v>
      </c>
      <c r="T553" s="19"/>
      <c r="U553" s="19"/>
      <c r="V553" s="19"/>
      <c r="W553" s="19"/>
      <c r="X553" s="19"/>
      <c r="Y553" s="19"/>
    </row>
    <row r="554" ht="56.25" customHeight="1">
      <c r="A554" s="13" t="s">
        <v>417</v>
      </c>
      <c r="B554" s="15" t="str">
        <f>image("https://storage.googleapis.com/acdb/wall-mounted/FtrAmeretroClock_Remake_2_2.png")</f>
        <v/>
      </c>
      <c r="C554" s="19" t="s">
        <v>211</v>
      </c>
      <c r="D554" s="42" t="s">
        <v>28</v>
      </c>
      <c r="E554" s="42" t="s">
        <v>28</v>
      </c>
      <c r="F554" s="38">
        <v>1500.0</v>
      </c>
      <c r="G554" s="38">
        <v>375.0</v>
      </c>
      <c r="H554" s="19">
        <v>4144.0</v>
      </c>
      <c r="I554" s="19" t="s">
        <v>37</v>
      </c>
      <c r="J554" s="19"/>
      <c r="K554" s="19" t="s">
        <v>423</v>
      </c>
      <c r="L554" s="19"/>
      <c r="M554" s="19" t="s">
        <v>1340</v>
      </c>
      <c r="N554" s="19">
        <v>1.0</v>
      </c>
      <c r="O554" s="19" t="s">
        <v>53</v>
      </c>
      <c r="P554" s="19" t="s">
        <v>41</v>
      </c>
      <c r="Q554" s="19" t="s">
        <v>43</v>
      </c>
      <c r="R554" s="19" t="s">
        <v>44</v>
      </c>
      <c r="S554" s="19" t="s">
        <v>68</v>
      </c>
      <c r="T554" s="19"/>
      <c r="U554" s="19"/>
      <c r="V554" s="19"/>
      <c r="W554" s="19"/>
      <c r="X554" s="19"/>
      <c r="Y554" s="19"/>
    </row>
    <row r="555" ht="56.25" customHeight="1">
      <c r="A555" s="13" t="s">
        <v>417</v>
      </c>
      <c r="B555" s="15" t="str">
        <f>image("https://storage.googleapis.com/acdb/wall-mounted/FtrAmeretroClock_Remake_3_0.png")</f>
        <v/>
      </c>
      <c r="C555" s="19" t="s">
        <v>441</v>
      </c>
      <c r="D555" s="42" t="s">
        <v>28</v>
      </c>
      <c r="E555" s="42" t="s">
        <v>28</v>
      </c>
      <c r="F555" s="38">
        <v>1500.0</v>
      </c>
      <c r="G555" s="38">
        <v>375.0</v>
      </c>
      <c r="H555" s="19">
        <v>4144.0</v>
      </c>
      <c r="I555" s="19" t="s">
        <v>37</v>
      </c>
      <c r="J555" s="19"/>
      <c r="K555" s="19" t="s">
        <v>423</v>
      </c>
      <c r="L555" s="19"/>
      <c r="M555" s="19" t="s">
        <v>1340</v>
      </c>
      <c r="N555" s="19">
        <v>1.0</v>
      </c>
      <c r="O555" s="19" t="s">
        <v>53</v>
      </c>
      <c r="P555" s="19" t="s">
        <v>41</v>
      </c>
      <c r="Q555" s="19" t="s">
        <v>43</v>
      </c>
      <c r="R555" s="19" t="s">
        <v>44</v>
      </c>
      <c r="S555" s="19" t="s">
        <v>68</v>
      </c>
      <c r="T555" s="19"/>
      <c r="U555" s="19"/>
      <c r="V555" s="19"/>
      <c r="W555" s="19"/>
      <c r="X555" s="19"/>
      <c r="Y555" s="19"/>
    </row>
    <row r="556" ht="56.25" customHeight="1">
      <c r="A556" s="13" t="s">
        <v>417</v>
      </c>
      <c r="B556" s="15" t="str">
        <f>image("https://storage.googleapis.com/acdb/wall-mounted/FtrAmeretroClock_Remake_3_1.png")</f>
        <v/>
      </c>
      <c r="C556" s="19" t="s">
        <v>441</v>
      </c>
      <c r="D556" s="42" t="s">
        <v>28</v>
      </c>
      <c r="E556" s="42" t="s">
        <v>28</v>
      </c>
      <c r="F556" s="38">
        <v>1500.0</v>
      </c>
      <c r="G556" s="38">
        <v>375.0</v>
      </c>
      <c r="H556" s="19">
        <v>4144.0</v>
      </c>
      <c r="I556" s="19" t="s">
        <v>37</v>
      </c>
      <c r="J556" s="19"/>
      <c r="K556" s="19" t="s">
        <v>423</v>
      </c>
      <c r="L556" s="19"/>
      <c r="M556" s="19" t="s">
        <v>1340</v>
      </c>
      <c r="N556" s="19">
        <v>1.0</v>
      </c>
      <c r="O556" s="19" t="s">
        <v>53</v>
      </c>
      <c r="P556" s="19" t="s">
        <v>41</v>
      </c>
      <c r="Q556" s="19" t="s">
        <v>43</v>
      </c>
      <c r="R556" s="19" t="s">
        <v>44</v>
      </c>
      <c r="S556" s="19" t="s">
        <v>68</v>
      </c>
      <c r="T556" s="19"/>
      <c r="U556" s="19"/>
      <c r="V556" s="19"/>
      <c r="W556" s="19"/>
      <c r="X556" s="19"/>
      <c r="Y556" s="19"/>
    </row>
    <row r="557" ht="56.25" customHeight="1">
      <c r="A557" s="13" t="s">
        <v>417</v>
      </c>
      <c r="B557" s="15" t="str">
        <f>image("https://storage.googleapis.com/acdb/wall-mounted/FtrAmeretroClock_Remake_3_2.png")</f>
        <v/>
      </c>
      <c r="C557" s="19" t="s">
        <v>441</v>
      </c>
      <c r="D557" s="42" t="s">
        <v>28</v>
      </c>
      <c r="E557" s="42" t="s">
        <v>28</v>
      </c>
      <c r="F557" s="38">
        <v>1500.0</v>
      </c>
      <c r="G557" s="38">
        <v>375.0</v>
      </c>
      <c r="H557" s="19">
        <v>4144.0</v>
      </c>
      <c r="I557" s="19" t="s">
        <v>37</v>
      </c>
      <c r="J557" s="19"/>
      <c r="K557" s="19" t="s">
        <v>423</v>
      </c>
      <c r="L557" s="19"/>
      <c r="M557" s="19" t="s">
        <v>1340</v>
      </c>
      <c r="N557" s="19">
        <v>1.0</v>
      </c>
      <c r="O557" s="19" t="s">
        <v>53</v>
      </c>
      <c r="P557" s="19" t="s">
        <v>41</v>
      </c>
      <c r="Q557" s="19" t="s">
        <v>43</v>
      </c>
      <c r="R557" s="19" t="s">
        <v>44</v>
      </c>
      <c r="S557" s="19" t="s">
        <v>68</v>
      </c>
      <c r="T557" s="19"/>
      <c r="U557" s="19"/>
      <c r="V557" s="19"/>
      <c r="W557" s="19"/>
      <c r="X557" s="19"/>
      <c r="Y557" s="19"/>
    </row>
    <row r="558" ht="56.25" customHeight="1">
      <c r="A558" s="13" t="s">
        <v>417</v>
      </c>
      <c r="B558" s="15" t="str">
        <f>image("https://storage.googleapis.com/acdb/wall-mounted/FtrAmeretroClock_Remake_4_0.png")</f>
        <v/>
      </c>
      <c r="C558" s="19" t="s">
        <v>107</v>
      </c>
      <c r="D558" s="42" t="s">
        <v>28</v>
      </c>
      <c r="E558" s="42" t="s">
        <v>28</v>
      </c>
      <c r="F558" s="38">
        <v>1500.0</v>
      </c>
      <c r="G558" s="38">
        <v>375.0</v>
      </c>
      <c r="H558" s="19">
        <v>4144.0</v>
      </c>
      <c r="I558" s="19" t="s">
        <v>37</v>
      </c>
      <c r="J558" s="19"/>
      <c r="K558" s="19" t="s">
        <v>423</v>
      </c>
      <c r="L558" s="19"/>
      <c r="M558" s="19" t="s">
        <v>1340</v>
      </c>
      <c r="N558" s="19">
        <v>1.0</v>
      </c>
      <c r="O558" s="19" t="s">
        <v>53</v>
      </c>
      <c r="P558" s="19" t="s">
        <v>41</v>
      </c>
      <c r="Q558" s="19" t="s">
        <v>43</v>
      </c>
      <c r="R558" s="19" t="s">
        <v>44</v>
      </c>
      <c r="S558" s="19" t="s">
        <v>68</v>
      </c>
      <c r="T558" s="19"/>
      <c r="U558" s="19"/>
      <c r="V558" s="19"/>
      <c r="W558" s="19"/>
      <c r="X558" s="19"/>
      <c r="Y558" s="19"/>
    </row>
    <row r="559" ht="56.25" customHeight="1">
      <c r="A559" s="13" t="s">
        <v>417</v>
      </c>
      <c r="B559" s="15" t="str">
        <f>image("https://storage.googleapis.com/acdb/wall-mounted/FtrAmeretroClock_Remake_4_1.png")</f>
        <v/>
      </c>
      <c r="C559" s="19" t="s">
        <v>107</v>
      </c>
      <c r="D559" s="42" t="s">
        <v>28</v>
      </c>
      <c r="E559" s="42" t="s">
        <v>28</v>
      </c>
      <c r="F559" s="38">
        <v>1500.0</v>
      </c>
      <c r="G559" s="38">
        <v>375.0</v>
      </c>
      <c r="H559" s="19">
        <v>4144.0</v>
      </c>
      <c r="I559" s="19" t="s">
        <v>37</v>
      </c>
      <c r="J559" s="19"/>
      <c r="K559" s="19" t="s">
        <v>423</v>
      </c>
      <c r="L559" s="19"/>
      <c r="M559" s="19" t="s">
        <v>1340</v>
      </c>
      <c r="N559" s="19">
        <v>1.0</v>
      </c>
      <c r="O559" s="19" t="s">
        <v>53</v>
      </c>
      <c r="P559" s="19" t="s">
        <v>41</v>
      </c>
      <c r="Q559" s="19" t="s">
        <v>43</v>
      </c>
      <c r="R559" s="19" t="s">
        <v>44</v>
      </c>
      <c r="S559" s="19" t="s">
        <v>68</v>
      </c>
      <c r="T559" s="19"/>
      <c r="U559" s="19"/>
      <c r="V559" s="19"/>
      <c r="W559" s="19"/>
      <c r="X559" s="19"/>
      <c r="Y559" s="19"/>
    </row>
    <row r="560" ht="56.25" customHeight="1">
      <c r="A560" s="13" t="s">
        <v>417</v>
      </c>
      <c r="B560" s="15" t="str">
        <f>image("https://storage.googleapis.com/acdb/wall-mounted/FtrAmeretroClock_Remake_4_2.png")</f>
        <v/>
      </c>
      <c r="C560" s="19" t="s">
        <v>107</v>
      </c>
      <c r="D560" s="42" t="s">
        <v>28</v>
      </c>
      <c r="E560" s="42" t="s">
        <v>28</v>
      </c>
      <c r="F560" s="38">
        <v>1500.0</v>
      </c>
      <c r="G560" s="38">
        <v>375.0</v>
      </c>
      <c r="H560" s="19">
        <v>4144.0</v>
      </c>
      <c r="I560" s="19" t="s">
        <v>37</v>
      </c>
      <c r="J560" s="19"/>
      <c r="K560" s="19" t="s">
        <v>423</v>
      </c>
      <c r="L560" s="19"/>
      <c r="M560" s="19" t="s">
        <v>1340</v>
      </c>
      <c r="N560" s="19">
        <v>1.0</v>
      </c>
      <c r="O560" s="19" t="s">
        <v>53</v>
      </c>
      <c r="P560" s="19" t="s">
        <v>41</v>
      </c>
      <c r="Q560" s="19" t="s">
        <v>43</v>
      </c>
      <c r="R560" s="19" t="s">
        <v>44</v>
      </c>
      <c r="S560" s="19" t="s">
        <v>68</v>
      </c>
      <c r="T560" s="19"/>
      <c r="U560" s="19"/>
      <c r="V560" s="19"/>
      <c r="W560" s="19"/>
      <c r="X560" s="19"/>
      <c r="Y560" s="19"/>
    </row>
    <row r="561" ht="56.25" customHeight="1">
      <c r="A561" s="13" t="s">
        <v>417</v>
      </c>
      <c r="B561" s="15" t="str">
        <f>image("https://storage.googleapis.com/acdb/wall-mounted/FtrAmeretroClock_Remake_5_0.png")</f>
        <v/>
      </c>
      <c r="C561" s="19" t="s">
        <v>456</v>
      </c>
      <c r="D561" s="42" t="s">
        <v>28</v>
      </c>
      <c r="E561" s="42" t="s">
        <v>28</v>
      </c>
      <c r="F561" s="38">
        <v>1500.0</v>
      </c>
      <c r="G561" s="38">
        <v>375.0</v>
      </c>
      <c r="H561" s="19">
        <v>4144.0</v>
      </c>
      <c r="I561" s="19" t="s">
        <v>37</v>
      </c>
      <c r="J561" s="19"/>
      <c r="K561" s="19" t="s">
        <v>423</v>
      </c>
      <c r="L561" s="19"/>
      <c r="M561" s="19" t="s">
        <v>1340</v>
      </c>
      <c r="N561" s="19">
        <v>1.0</v>
      </c>
      <c r="O561" s="19" t="s">
        <v>53</v>
      </c>
      <c r="P561" s="19" t="s">
        <v>41</v>
      </c>
      <c r="Q561" s="19" t="s">
        <v>43</v>
      </c>
      <c r="R561" s="19" t="s">
        <v>44</v>
      </c>
      <c r="S561" s="19" t="s">
        <v>68</v>
      </c>
      <c r="T561" s="19"/>
      <c r="U561" s="19"/>
      <c r="V561" s="19"/>
      <c r="W561" s="19"/>
      <c r="X561" s="19"/>
      <c r="Y561" s="19"/>
    </row>
    <row r="562" ht="56.25" customHeight="1">
      <c r="A562" s="13" t="s">
        <v>417</v>
      </c>
      <c r="B562" s="15" t="str">
        <f>image("https://storage.googleapis.com/acdb/wall-mounted/FtrAmeretroClock_Remake_5_1.png")</f>
        <v/>
      </c>
      <c r="C562" s="19" t="s">
        <v>456</v>
      </c>
      <c r="D562" s="42" t="s">
        <v>28</v>
      </c>
      <c r="E562" s="42" t="s">
        <v>28</v>
      </c>
      <c r="F562" s="38">
        <v>1500.0</v>
      </c>
      <c r="G562" s="38">
        <v>375.0</v>
      </c>
      <c r="H562" s="19">
        <v>4144.0</v>
      </c>
      <c r="I562" s="19" t="s">
        <v>37</v>
      </c>
      <c r="J562" s="19"/>
      <c r="K562" s="19" t="s">
        <v>423</v>
      </c>
      <c r="L562" s="19"/>
      <c r="M562" s="19" t="s">
        <v>1340</v>
      </c>
      <c r="N562" s="19">
        <v>1.0</v>
      </c>
      <c r="O562" s="19" t="s">
        <v>53</v>
      </c>
      <c r="P562" s="19" t="s">
        <v>41</v>
      </c>
      <c r="Q562" s="19" t="s">
        <v>43</v>
      </c>
      <c r="R562" s="19" t="s">
        <v>44</v>
      </c>
      <c r="S562" s="19" t="s">
        <v>68</v>
      </c>
      <c r="T562" s="19"/>
      <c r="U562" s="19"/>
      <c r="V562" s="19"/>
      <c r="W562" s="19"/>
      <c r="X562" s="19"/>
      <c r="Y562" s="19"/>
    </row>
    <row r="563" ht="56.25" customHeight="1">
      <c r="A563" s="13" t="s">
        <v>417</v>
      </c>
      <c r="B563" s="15" t="str">
        <f>image("https://storage.googleapis.com/acdb/wall-mounted/FtrAmeretroClock_Remake_5_2.png")</f>
        <v/>
      </c>
      <c r="C563" s="19" t="s">
        <v>456</v>
      </c>
      <c r="D563" s="42" t="s">
        <v>28</v>
      </c>
      <c r="E563" s="42" t="s">
        <v>28</v>
      </c>
      <c r="F563" s="38">
        <v>1500.0</v>
      </c>
      <c r="G563" s="38">
        <v>375.0</v>
      </c>
      <c r="H563" s="19">
        <v>4144.0</v>
      </c>
      <c r="I563" s="19" t="s">
        <v>37</v>
      </c>
      <c r="J563" s="19"/>
      <c r="K563" s="19" t="s">
        <v>423</v>
      </c>
      <c r="L563" s="19"/>
      <c r="M563" s="19" t="s">
        <v>1340</v>
      </c>
      <c r="N563" s="19">
        <v>1.0</v>
      </c>
      <c r="O563" s="19" t="s">
        <v>53</v>
      </c>
      <c r="P563" s="19" t="s">
        <v>41</v>
      </c>
      <c r="Q563" s="19" t="s">
        <v>43</v>
      </c>
      <c r="R563" s="19" t="s">
        <v>44</v>
      </c>
      <c r="S563" s="19" t="s">
        <v>68</v>
      </c>
      <c r="T563" s="19"/>
      <c r="U563" s="19"/>
      <c r="V563" s="19"/>
      <c r="W563" s="19"/>
      <c r="X563" s="19"/>
      <c r="Y563" s="19"/>
    </row>
    <row r="564" ht="56.25" customHeight="1">
      <c r="A564" s="13" t="s">
        <v>417</v>
      </c>
      <c r="B564" s="15" t="str">
        <f>image("https://storage.googleapis.com/acdb/wall-mounted/FtrAmeretroClock_Remake_6_0.png")</f>
        <v/>
      </c>
      <c r="C564" s="19" t="s">
        <v>464</v>
      </c>
      <c r="D564" s="42" t="s">
        <v>28</v>
      </c>
      <c r="E564" s="42" t="s">
        <v>28</v>
      </c>
      <c r="F564" s="38">
        <v>1500.0</v>
      </c>
      <c r="G564" s="38">
        <v>375.0</v>
      </c>
      <c r="H564" s="19">
        <v>4144.0</v>
      </c>
      <c r="I564" s="19" t="s">
        <v>37</v>
      </c>
      <c r="J564" s="19"/>
      <c r="K564" s="19" t="s">
        <v>423</v>
      </c>
      <c r="L564" s="19"/>
      <c r="M564" s="19" t="s">
        <v>1340</v>
      </c>
      <c r="N564" s="19">
        <v>1.0</v>
      </c>
      <c r="O564" s="19" t="s">
        <v>53</v>
      </c>
      <c r="P564" s="19" t="s">
        <v>41</v>
      </c>
      <c r="Q564" s="19" t="s">
        <v>43</v>
      </c>
      <c r="R564" s="19" t="s">
        <v>44</v>
      </c>
      <c r="S564" s="19" t="s">
        <v>68</v>
      </c>
      <c r="T564" s="19"/>
      <c r="U564" s="19"/>
      <c r="V564" s="19"/>
      <c r="W564" s="19"/>
      <c r="X564" s="19"/>
      <c r="Y564" s="19"/>
    </row>
    <row r="565" ht="56.25" customHeight="1">
      <c r="A565" s="13" t="s">
        <v>417</v>
      </c>
      <c r="B565" s="15" t="str">
        <f>image("https://storage.googleapis.com/acdb/wall-mounted/FtrAmeretroClock_Remake_6_1.png")</f>
        <v/>
      </c>
      <c r="C565" s="19" t="s">
        <v>464</v>
      </c>
      <c r="D565" s="42" t="s">
        <v>28</v>
      </c>
      <c r="E565" s="42" t="s">
        <v>28</v>
      </c>
      <c r="F565" s="38">
        <v>1500.0</v>
      </c>
      <c r="G565" s="38">
        <v>375.0</v>
      </c>
      <c r="H565" s="19">
        <v>4144.0</v>
      </c>
      <c r="I565" s="19" t="s">
        <v>37</v>
      </c>
      <c r="J565" s="19"/>
      <c r="K565" s="19" t="s">
        <v>423</v>
      </c>
      <c r="L565" s="19"/>
      <c r="M565" s="19" t="s">
        <v>1340</v>
      </c>
      <c r="N565" s="19">
        <v>1.0</v>
      </c>
      <c r="O565" s="19" t="s">
        <v>53</v>
      </c>
      <c r="P565" s="19" t="s">
        <v>41</v>
      </c>
      <c r="Q565" s="19" t="s">
        <v>43</v>
      </c>
      <c r="R565" s="19" t="s">
        <v>44</v>
      </c>
      <c r="S565" s="19" t="s">
        <v>68</v>
      </c>
      <c r="T565" s="19"/>
      <c r="U565" s="19"/>
      <c r="V565" s="19"/>
      <c r="W565" s="19"/>
      <c r="X565" s="19"/>
      <c r="Y565" s="19"/>
    </row>
    <row r="566" ht="56.25" customHeight="1">
      <c r="A566" s="13" t="s">
        <v>417</v>
      </c>
      <c r="B566" s="15" t="str">
        <f>image("https://storage.googleapis.com/acdb/wall-mounted/FtrAmeretroClock_Remake_6_2.png")</f>
        <v/>
      </c>
      <c r="C566" s="19" t="s">
        <v>464</v>
      </c>
      <c r="D566" s="42" t="s">
        <v>28</v>
      </c>
      <c r="E566" s="42" t="s">
        <v>28</v>
      </c>
      <c r="F566" s="38">
        <v>1500.0</v>
      </c>
      <c r="G566" s="38">
        <v>375.0</v>
      </c>
      <c r="H566" s="19">
        <v>4144.0</v>
      </c>
      <c r="I566" s="19" t="s">
        <v>37</v>
      </c>
      <c r="J566" s="19"/>
      <c r="K566" s="19" t="s">
        <v>423</v>
      </c>
      <c r="L566" s="19"/>
      <c r="M566" s="19" t="s">
        <v>1340</v>
      </c>
      <c r="N566" s="19">
        <v>1.0</v>
      </c>
      <c r="O566" s="19" t="s">
        <v>53</v>
      </c>
      <c r="P566" s="19" t="s">
        <v>41</v>
      </c>
      <c r="Q566" s="19" t="s">
        <v>43</v>
      </c>
      <c r="R566" s="19" t="s">
        <v>44</v>
      </c>
      <c r="S566" s="19" t="s">
        <v>68</v>
      </c>
      <c r="T566" s="19"/>
      <c r="U566" s="19"/>
      <c r="V566" s="19"/>
      <c r="W566" s="19"/>
      <c r="X566" s="19"/>
      <c r="Y566" s="19"/>
    </row>
    <row r="567" ht="56.25" customHeight="1">
      <c r="A567" s="13" t="s">
        <v>476</v>
      </c>
      <c r="B567" s="41" t="str">
        <f>image("https://i.imgur.com/oOpBiW3.png")</f>
        <v/>
      </c>
      <c r="C567" s="22" t="str">
        <f>HYPERLINK("https://imgur.com/a/k3kFFop","Yes")</f>
        <v>Yes</v>
      </c>
      <c r="D567" s="42" t="s">
        <v>28</v>
      </c>
      <c r="E567" s="42" t="s">
        <v>28</v>
      </c>
      <c r="F567" s="38">
        <v>1100.0</v>
      </c>
      <c r="G567" s="38">
        <v>275.0</v>
      </c>
      <c r="H567" s="19">
        <v>4133.0</v>
      </c>
      <c r="I567" s="19" t="s">
        <v>90</v>
      </c>
      <c r="J567" s="19"/>
      <c r="K567" s="19"/>
      <c r="L567" s="19"/>
      <c r="M567" s="19" t="s">
        <v>1451</v>
      </c>
      <c r="N567" s="19">
        <v>1.0</v>
      </c>
      <c r="O567" s="19" t="s">
        <v>53</v>
      </c>
      <c r="P567" s="19" t="s">
        <v>41</v>
      </c>
      <c r="Q567" s="19" t="s">
        <v>43</v>
      </c>
      <c r="R567" s="19" t="s">
        <v>44</v>
      </c>
      <c r="S567" s="19" t="s">
        <v>68</v>
      </c>
      <c r="T567" s="19"/>
      <c r="U567" s="19"/>
      <c r="V567" s="19"/>
      <c r="W567" s="19"/>
      <c r="X567" s="19"/>
      <c r="Y567" s="19"/>
    </row>
    <row r="568" ht="56.25" customHeight="1">
      <c r="A568" s="13" t="s">
        <v>488</v>
      </c>
      <c r="B568" s="41" t="str">
        <f>image("https://i.imgur.com/yiDiaQE.png")</f>
        <v/>
      </c>
      <c r="C568" s="22" t="str">
        <f>HYPERLINK("https://imgur.com/a/Ts2EvJj","Yes")</f>
        <v>Yes</v>
      </c>
      <c r="D568" s="42" t="s">
        <v>28</v>
      </c>
      <c r="E568" s="42" t="s">
        <v>28</v>
      </c>
      <c r="F568" s="38">
        <v>810.0</v>
      </c>
      <c r="G568" s="43">
        <v>202.0</v>
      </c>
      <c r="H568" s="19">
        <v>955.0</v>
      </c>
      <c r="I568" s="19" t="s">
        <v>61</v>
      </c>
      <c r="J568" s="19" t="s">
        <v>90</v>
      </c>
      <c r="K568" s="19"/>
      <c r="L568" s="19"/>
      <c r="M568" s="19" t="s">
        <v>1488</v>
      </c>
      <c r="N568" s="19">
        <v>1.0</v>
      </c>
      <c r="O568" s="19" t="s">
        <v>53</v>
      </c>
      <c r="P568" s="19" t="s">
        <v>41</v>
      </c>
      <c r="Q568" s="19" t="s">
        <v>43</v>
      </c>
      <c r="R568" s="19" t="s">
        <v>44</v>
      </c>
      <c r="S568" s="19" t="s">
        <v>63</v>
      </c>
      <c r="T568" s="19"/>
      <c r="U568" s="19"/>
      <c r="V568" s="19"/>
      <c r="W568" s="19"/>
      <c r="X568" s="19"/>
      <c r="Y568" s="19"/>
    </row>
    <row r="569" ht="56.25" customHeight="1">
      <c r="A569" s="13" t="s">
        <v>504</v>
      </c>
      <c r="B569" s="41" t="str">
        <f>image("https://i.imgur.com/wNVCtxb.png")</f>
        <v/>
      </c>
      <c r="C569" s="25" t="s">
        <v>40</v>
      </c>
      <c r="D569" s="42" t="s">
        <v>50</v>
      </c>
      <c r="E569" s="42" t="s">
        <v>28</v>
      </c>
      <c r="F569" s="38" t="s">
        <v>51</v>
      </c>
      <c r="G569" s="38">
        <v>1200.0</v>
      </c>
      <c r="H569" s="19">
        <v>5677.0</v>
      </c>
      <c r="I569" s="19" t="s">
        <v>36</v>
      </c>
      <c r="J569" s="19"/>
      <c r="K569" s="19"/>
      <c r="L569" s="19"/>
      <c r="M569" s="19" t="s">
        <v>1340</v>
      </c>
      <c r="N569" s="19"/>
      <c r="O569" s="19" t="s">
        <v>40</v>
      </c>
      <c r="P569" s="19" t="s">
        <v>41</v>
      </c>
      <c r="Q569" s="19" t="s">
        <v>54</v>
      </c>
      <c r="R569" s="19" t="s">
        <v>55</v>
      </c>
      <c r="S569" s="19"/>
      <c r="T569" s="19"/>
      <c r="U569" s="19"/>
      <c r="V569" s="19"/>
      <c r="W569" s="19"/>
      <c r="X569" s="19"/>
      <c r="Y569" s="19"/>
    </row>
    <row r="570" ht="56.25" customHeight="1">
      <c r="A570" s="13" t="s">
        <v>508</v>
      </c>
      <c r="B570" s="41" t="str">
        <f>image("https://i.imgur.com/gvkXhie.png")</f>
        <v/>
      </c>
      <c r="C570" s="25" t="s">
        <v>40</v>
      </c>
      <c r="D570" s="42" t="s">
        <v>50</v>
      </c>
      <c r="E570" s="42" t="s">
        <v>28</v>
      </c>
      <c r="F570" s="38" t="s">
        <v>51</v>
      </c>
      <c r="G570" s="38">
        <v>1200.0</v>
      </c>
      <c r="H570" s="19">
        <v>5749.0</v>
      </c>
      <c r="I570" s="19" t="s">
        <v>36</v>
      </c>
      <c r="J570" s="19"/>
      <c r="K570" s="19"/>
      <c r="L570" s="19"/>
      <c r="M570" s="19" t="s">
        <v>1340</v>
      </c>
      <c r="N570" s="19"/>
      <c r="O570" s="19" t="s">
        <v>40</v>
      </c>
      <c r="P570" s="19" t="s">
        <v>41</v>
      </c>
      <c r="Q570" s="19" t="s">
        <v>54</v>
      </c>
      <c r="R570" s="19" t="s">
        <v>55</v>
      </c>
      <c r="S570" s="19"/>
      <c r="T570" s="19"/>
      <c r="U570" s="19"/>
      <c r="V570" s="19"/>
      <c r="W570" s="19"/>
      <c r="X570" s="19"/>
      <c r="Y570" s="19"/>
    </row>
    <row r="571" ht="56.25" customHeight="1">
      <c r="A571" s="13" t="s">
        <v>512</v>
      </c>
      <c r="B571" s="41" t="str">
        <f>image("https://i.imgur.com/g0uzEek.png")</f>
        <v/>
      </c>
      <c r="C571" s="25" t="s">
        <v>40</v>
      </c>
      <c r="D571" s="42" t="s">
        <v>50</v>
      </c>
      <c r="E571" s="42" t="s">
        <v>28</v>
      </c>
      <c r="F571" s="38" t="s">
        <v>51</v>
      </c>
      <c r="G571" s="38">
        <v>1200.0</v>
      </c>
      <c r="H571" s="19">
        <v>5747.0</v>
      </c>
      <c r="I571" s="19" t="s">
        <v>36</v>
      </c>
      <c r="J571" s="19"/>
      <c r="K571" s="19"/>
      <c r="L571" s="19"/>
      <c r="M571" s="19" t="s">
        <v>1340</v>
      </c>
      <c r="N571" s="19"/>
      <c r="O571" s="19" t="s">
        <v>40</v>
      </c>
      <c r="P571" s="19" t="s">
        <v>41</v>
      </c>
      <c r="Q571" s="19" t="s">
        <v>54</v>
      </c>
      <c r="R571" s="19" t="s">
        <v>55</v>
      </c>
      <c r="S571" s="19"/>
      <c r="T571" s="19"/>
      <c r="U571" s="19"/>
      <c r="V571" s="19"/>
      <c r="W571" s="19"/>
      <c r="X571" s="19"/>
      <c r="Y571" s="19"/>
    </row>
    <row r="572" ht="56.25" customHeight="1">
      <c r="A572" s="13" t="s">
        <v>514</v>
      </c>
      <c r="B572" s="41" t="str">
        <f>image("https://i.imgur.com/7NW5j3H.png")</f>
        <v/>
      </c>
      <c r="C572" s="22" t="str">
        <f>HYPERLINK("https://imgur.com/a/E3yPpdl","Yes")</f>
        <v>Yes</v>
      </c>
      <c r="D572" s="25" t="s">
        <v>28</v>
      </c>
      <c r="E572" s="15" t="s">
        <v>50</v>
      </c>
      <c r="F572" s="23" t="s">
        <v>51</v>
      </c>
      <c r="G572" s="23">
        <v>90.0</v>
      </c>
      <c r="H572" s="19">
        <v>4764.0</v>
      </c>
      <c r="I572" s="19" t="s">
        <v>113</v>
      </c>
      <c r="J572" s="19" t="s">
        <v>36</v>
      </c>
      <c r="K572" s="19"/>
      <c r="L572" s="19"/>
      <c r="M572" s="19" t="s">
        <v>1340</v>
      </c>
      <c r="N572" s="19">
        <v>1.0</v>
      </c>
      <c r="O572" s="19" t="s">
        <v>40</v>
      </c>
      <c r="P572" s="19" t="s">
        <v>41</v>
      </c>
      <c r="Q572" s="19" t="s">
        <v>54</v>
      </c>
      <c r="R572" s="19" t="s">
        <v>85</v>
      </c>
      <c r="S572" s="19"/>
      <c r="T572" s="19"/>
      <c r="U572" s="19"/>
      <c r="V572" s="19"/>
      <c r="W572" s="19"/>
      <c r="X572" s="19"/>
      <c r="Y572" s="19"/>
    </row>
    <row r="573" ht="56.25" customHeight="1">
      <c r="A573" s="13" t="s">
        <v>531</v>
      </c>
      <c r="B573" s="41" t="str">
        <f>image("https://i.imgur.com/lD3MDPs.png")</f>
        <v/>
      </c>
      <c r="C573" s="22" t="str">
        <f>HYPERLINK("https://imgur.com/a/pMxkYUb","Yes")</f>
        <v>Yes</v>
      </c>
      <c r="D573" s="44" t="s">
        <v>28</v>
      </c>
      <c r="E573" s="44" t="s">
        <v>50</v>
      </c>
      <c r="F573" s="38" t="s">
        <v>51</v>
      </c>
      <c r="G573" s="38">
        <v>700.0</v>
      </c>
      <c r="H573" s="19">
        <v>3699.0</v>
      </c>
      <c r="I573" s="19" t="s">
        <v>84</v>
      </c>
      <c r="J573" s="19" t="s">
        <v>60</v>
      </c>
      <c r="K573" s="19"/>
      <c r="L573" s="19"/>
      <c r="M573" s="19" t="s">
        <v>1384</v>
      </c>
      <c r="N573" s="19">
        <v>1.0</v>
      </c>
      <c r="O573" s="19" t="s">
        <v>40</v>
      </c>
      <c r="P573" s="19" t="s">
        <v>41</v>
      </c>
      <c r="Q573" s="19" t="s">
        <v>54</v>
      </c>
      <c r="R573" s="19" t="s">
        <v>85</v>
      </c>
      <c r="S573" s="19"/>
      <c r="T573" s="19"/>
      <c r="U573" s="19"/>
      <c r="V573" s="19"/>
      <c r="W573" s="19"/>
      <c r="X573" s="19"/>
      <c r="Y573" s="19"/>
    </row>
    <row r="574" ht="56.25" customHeight="1">
      <c r="A574" s="13" t="s">
        <v>551</v>
      </c>
      <c r="B574" s="41" t="str">
        <f>image("https://i.imgur.com/RN03BVg.png")</f>
        <v/>
      </c>
      <c r="C574" s="22" t="str">
        <f>HYPERLINK("https://imgur.com/a/PzQES2E","Yes")</f>
        <v>Yes</v>
      </c>
      <c r="D574" s="42" t="s">
        <v>28</v>
      </c>
      <c r="E574" s="42" t="s">
        <v>28</v>
      </c>
      <c r="F574" s="38">
        <v>2200.0</v>
      </c>
      <c r="G574" s="38">
        <v>550.0</v>
      </c>
      <c r="H574" s="19">
        <v>3583.0</v>
      </c>
      <c r="I574" s="19" t="s">
        <v>84</v>
      </c>
      <c r="J574" s="19"/>
      <c r="K574" s="19"/>
      <c r="L574" s="19"/>
      <c r="M574" s="19" t="s">
        <v>1355</v>
      </c>
      <c r="N574" s="19">
        <v>1.0</v>
      </c>
      <c r="O574" s="19" t="s">
        <v>40</v>
      </c>
      <c r="P574" s="19" t="s">
        <v>41</v>
      </c>
      <c r="Q574" s="19" t="s">
        <v>43</v>
      </c>
      <c r="R574" s="19" t="s">
        <v>44</v>
      </c>
      <c r="S574" s="19" t="s">
        <v>63</v>
      </c>
      <c r="T574" s="19"/>
      <c r="U574" s="19"/>
      <c r="V574" s="19"/>
      <c r="W574" s="19"/>
      <c r="X574" s="19"/>
      <c r="Y574" s="19"/>
    </row>
    <row r="575" ht="56.25" customHeight="1">
      <c r="A575" s="13" t="s">
        <v>566</v>
      </c>
      <c r="B575" s="41" t="str">
        <f>image("https://i.imgur.com/MnZ5STr.png")</f>
        <v/>
      </c>
      <c r="C575" s="22" t="str">
        <f>HYPERLINK("https://imgur.com/a/5ileEiU","Yes")</f>
        <v>Yes</v>
      </c>
      <c r="D575" s="42" t="s">
        <v>50</v>
      </c>
      <c r="E575" s="42" t="s">
        <v>50</v>
      </c>
      <c r="F575" s="38" t="s">
        <v>51</v>
      </c>
      <c r="G575" s="38">
        <v>200.0</v>
      </c>
      <c r="H575" s="19">
        <v>4027.0</v>
      </c>
      <c r="I575" s="19" t="s">
        <v>60</v>
      </c>
      <c r="J575" s="19"/>
      <c r="K575" s="19"/>
      <c r="L575" s="19"/>
      <c r="M575" s="19" t="s">
        <v>1340</v>
      </c>
      <c r="N575" s="19">
        <v>1.0</v>
      </c>
      <c r="O575" s="19" t="s">
        <v>40</v>
      </c>
      <c r="P575" s="19" t="s">
        <v>41</v>
      </c>
      <c r="Q575" s="19" t="s">
        <v>54</v>
      </c>
      <c r="R575" s="19" t="s">
        <v>55</v>
      </c>
      <c r="S575" s="19"/>
      <c r="T575" s="19"/>
      <c r="U575" s="19"/>
      <c r="V575" s="19"/>
      <c r="W575" s="19"/>
      <c r="X575" s="19"/>
      <c r="Y575" s="19"/>
    </row>
    <row r="576" ht="56.25" customHeight="1">
      <c r="A576" s="13" t="s">
        <v>579</v>
      </c>
      <c r="B576" s="41" t="str">
        <f>image("https://i.imgur.com/fTWzYgZ.png")</f>
        <v/>
      </c>
      <c r="C576" s="22" t="str">
        <f>HYPERLINK("https://imgur.com/a/Ymue97V","Yes")</f>
        <v>Yes</v>
      </c>
      <c r="D576" s="42" t="s">
        <v>28</v>
      </c>
      <c r="E576" s="42" t="s">
        <v>28</v>
      </c>
      <c r="F576" s="38">
        <v>620.0</v>
      </c>
      <c r="G576" s="38">
        <v>155.0</v>
      </c>
      <c r="H576" s="19">
        <v>4099.0</v>
      </c>
      <c r="I576" s="19" t="s">
        <v>80</v>
      </c>
      <c r="J576" s="19" t="s">
        <v>136</v>
      </c>
      <c r="K576" s="19"/>
      <c r="L576" s="19"/>
      <c r="M576" s="19" t="s">
        <v>1340</v>
      </c>
      <c r="N576" s="19">
        <v>1.0</v>
      </c>
      <c r="O576" s="19" t="s">
        <v>40</v>
      </c>
      <c r="P576" s="19" t="s">
        <v>41</v>
      </c>
      <c r="Q576" s="19" t="s">
        <v>43</v>
      </c>
      <c r="R576" s="19" t="s">
        <v>44</v>
      </c>
      <c r="S576" s="19" t="s">
        <v>63</v>
      </c>
      <c r="T576" s="19"/>
      <c r="U576" s="19"/>
      <c r="V576" s="19"/>
      <c r="W576" s="19"/>
      <c r="X576" s="19"/>
      <c r="Y576" s="19"/>
    </row>
    <row r="577" ht="56.25" customHeight="1">
      <c r="A577" s="13" t="s">
        <v>586</v>
      </c>
      <c r="B577" s="41" t="str">
        <f>image("https://i.imgur.com/HAByFz9.png")</f>
        <v/>
      </c>
      <c r="C577" s="22" t="str">
        <f>HYPERLINK("https://imgur.com/a/zwRy23I","Yes")</f>
        <v>Yes</v>
      </c>
      <c r="D577" s="42" t="s">
        <v>50</v>
      </c>
      <c r="E577" s="42" t="s">
        <v>50</v>
      </c>
      <c r="F577" s="38" t="s">
        <v>51</v>
      </c>
      <c r="G577" s="38">
        <v>500.0</v>
      </c>
      <c r="H577" s="19">
        <v>5719.0</v>
      </c>
      <c r="I577" s="19" t="s">
        <v>90</v>
      </c>
      <c r="J577" s="19"/>
      <c r="K577" s="19"/>
      <c r="L577" s="19"/>
      <c r="M577" s="19" t="s">
        <v>1340</v>
      </c>
      <c r="N577" s="19">
        <v>1.0</v>
      </c>
      <c r="O577" s="19" t="s">
        <v>40</v>
      </c>
      <c r="P577" s="19" t="s">
        <v>41</v>
      </c>
      <c r="Q577" s="19" t="s">
        <v>54</v>
      </c>
      <c r="R577" s="19" t="s">
        <v>55</v>
      </c>
      <c r="S577" s="19"/>
      <c r="T577" s="19"/>
      <c r="U577" s="19"/>
      <c r="V577" s="19"/>
      <c r="W577" s="19"/>
      <c r="X577" s="19"/>
      <c r="Y577" s="19"/>
    </row>
    <row r="578" ht="56.25" customHeight="1">
      <c r="A578" s="13" t="s">
        <v>591</v>
      </c>
      <c r="B578" s="41" t="str">
        <f>image("https://i.imgur.com/snMxsRc.png")</f>
        <v/>
      </c>
      <c r="C578" s="25" t="s">
        <v>40</v>
      </c>
      <c r="D578" s="42" t="s">
        <v>50</v>
      </c>
      <c r="E578" s="42" t="s">
        <v>28</v>
      </c>
      <c r="F578" s="38" t="s">
        <v>51</v>
      </c>
      <c r="G578" s="38">
        <v>2000.0</v>
      </c>
      <c r="H578" s="19">
        <v>4378.0</v>
      </c>
      <c r="I578" s="19" t="s">
        <v>36</v>
      </c>
      <c r="J578" s="19"/>
      <c r="K578" s="19"/>
      <c r="L578" s="19"/>
      <c r="M578" s="19" t="s">
        <v>1340</v>
      </c>
      <c r="N578" s="19"/>
      <c r="O578" s="19" t="s">
        <v>40</v>
      </c>
      <c r="P578" s="19" t="s">
        <v>41</v>
      </c>
      <c r="Q578" s="19" t="s">
        <v>54</v>
      </c>
      <c r="R578" s="19" t="s">
        <v>55</v>
      </c>
      <c r="S578" s="19"/>
      <c r="T578" s="19"/>
      <c r="U578" s="19"/>
      <c r="V578" s="19"/>
      <c r="W578" s="19"/>
      <c r="X578" s="19"/>
      <c r="Y578" s="19"/>
    </row>
    <row r="579" ht="56.25" customHeight="1">
      <c r="A579" s="13" t="s">
        <v>594</v>
      </c>
      <c r="B579" s="41" t="str">
        <f>image("https://i.imgur.com/kgcVcD0.png")</f>
        <v/>
      </c>
      <c r="C579" s="22" t="str">
        <f>HYPERLINK("https://imgur.com/a/DxcXHmE","Yes")</f>
        <v>Yes</v>
      </c>
      <c r="D579" s="42" t="s">
        <v>28</v>
      </c>
      <c r="E579" s="42" t="s">
        <v>28</v>
      </c>
      <c r="F579" s="38">
        <v>1500.0</v>
      </c>
      <c r="G579" s="38">
        <v>375.0</v>
      </c>
      <c r="H579" s="19">
        <v>7280.0</v>
      </c>
      <c r="I579" s="19" t="s">
        <v>90</v>
      </c>
      <c r="J579" s="19" t="s">
        <v>243</v>
      </c>
      <c r="K579" s="19"/>
      <c r="L579" s="19"/>
      <c r="M579" s="19" t="s">
        <v>1384</v>
      </c>
      <c r="N579" s="19">
        <v>1.0</v>
      </c>
      <c r="O579" s="19" t="s">
        <v>53</v>
      </c>
      <c r="P579" s="19" t="s">
        <v>41</v>
      </c>
      <c r="Q579" s="19" t="s">
        <v>43</v>
      </c>
      <c r="R579" s="19" t="s">
        <v>44</v>
      </c>
      <c r="S579" s="19" t="s">
        <v>68</v>
      </c>
      <c r="T579" s="19"/>
      <c r="U579" s="19"/>
      <c r="V579" s="19"/>
      <c r="W579" s="19"/>
      <c r="X579" s="19"/>
      <c r="Y579" s="19"/>
    </row>
    <row r="580" ht="56.25" customHeight="1">
      <c r="A580" s="13" t="s">
        <v>607</v>
      </c>
      <c r="B580" s="41" t="str">
        <f>image("https://i.imgur.com/nqjspTj.png")</f>
        <v/>
      </c>
      <c r="C580" s="25" t="s">
        <v>40</v>
      </c>
      <c r="D580" s="44" t="s">
        <v>28</v>
      </c>
      <c r="E580" s="42" t="s">
        <v>28</v>
      </c>
      <c r="F580" s="38" t="s">
        <v>51</v>
      </c>
      <c r="G580" s="38">
        <v>450.0</v>
      </c>
      <c r="H580" s="19">
        <v>7035.0</v>
      </c>
      <c r="I580" s="19" t="s">
        <v>60</v>
      </c>
      <c r="J580" s="19" t="s">
        <v>62</v>
      </c>
      <c r="K580" s="19"/>
      <c r="L580" s="19"/>
      <c r="M580" s="19" t="s">
        <v>1340</v>
      </c>
      <c r="N580" s="19"/>
      <c r="O580" s="19" t="s">
        <v>40</v>
      </c>
      <c r="P580" s="19" t="s">
        <v>41</v>
      </c>
      <c r="Q580" s="19" t="s">
        <v>54</v>
      </c>
      <c r="R580" s="19" t="s">
        <v>247</v>
      </c>
      <c r="S580" s="19"/>
      <c r="T580" s="19"/>
      <c r="U580" s="19"/>
      <c r="V580" s="19"/>
      <c r="W580" s="19"/>
      <c r="X580" s="19"/>
      <c r="Y580" s="19"/>
    </row>
    <row r="581" ht="56.25" customHeight="1">
      <c r="A581" s="13" t="s">
        <v>612</v>
      </c>
      <c r="B581" s="41" t="str">
        <f>image("https://i.imgur.com/2VQ4kOB.png")</f>
        <v/>
      </c>
      <c r="C581" s="25" t="s">
        <v>40</v>
      </c>
      <c r="D581" s="42" t="s">
        <v>50</v>
      </c>
      <c r="E581" s="42" t="s">
        <v>28</v>
      </c>
      <c r="F581" s="38" t="s">
        <v>51</v>
      </c>
      <c r="G581" s="38">
        <v>20000.0</v>
      </c>
      <c r="H581" s="19">
        <v>5820.0</v>
      </c>
      <c r="I581" s="19" t="s">
        <v>62</v>
      </c>
      <c r="J581" s="19"/>
      <c r="K581" s="19"/>
      <c r="L581" s="19"/>
      <c r="M581" s="19" t="s">
        <v>1340</v>
      </c>
      <c r="N581" s="19"/>
      <c r="O581" s="19" t="s">
        <v>40</v>
      </c>
      <c r="P581" s="19" t="s">
        <v>41</v>
      </c>
      <c r="Q581" s="19" t="s">
        <v>54</v>
      </c>
      <c r="R581" s="19" t="s">
        <v>55</v>
      </c>
      <c r="S581" s="19"/>
      <c r="T581" s="19"/>
      <c r="U581" s="19"/>
      <c r="V581" s="19"/>
      <c r="W581" s="19"/>
      <c r="X581" s="19"/>
      <c r="Y581" s="19"/>
    </row>
    <row r="582" ht="56.25" customHeight="1">
      <c r="A582" s="13" t="s">
        <v>615</v>
      </c>
      <c r="B582" s="41" t="str">
        <f>image("https://i.imgur.com/yShj9gj.png")</f>
        <v/>
      </c>
      <c r="C582" s="25" t="s">
        <v>40</v>
      </c>
      <c r="D582" s="42" t="s">
        <v>50</v>
      </c>
      <c r="E582" s="42" t="s">
        <v>28</v>
      </c>
      <c r="F582" s="38" t="s">
        <v>51</v>
      </c>
      <c r="G582" s="38">
        <v>11125.0</v>
      </c>
      <c r="H582" s="19">
        <v>11261.0</v>
      </c>
      <c r="I582" s="19" t="s">
        <v>62</v>
      </c>
      <c r="J582" s="19"/>
      <c r="K582" s="19"/>
      <c r="L582" s="19"/>
      <c r="M582" s="19" t="s">
        <v>1384</v>
      </c>
      <c r="N582" s="19"/>
      <c r="O582" s="19" t="s">
        <v>53</v>
      </c>
      <c r="P582" s="19" t="s">
        <v>41</v>
      </c>
      <c r="Q582" s="19" t="s">
        <v>54</v>
      </c>
      <c r="R582" s="19" t="s">
        <v>55</v>
      </c>
      <c r="S582" s="19"/>
      <c r="T582" s="19"/>
      <c r="U582" s="19"/>
      <c r="V582" s="19"/>
      <c r="W582" s="19"/>
      <c r="X582" s="19"/>
      <c r="Y582" s="19"/>
    </row>
    <row r="583" ht="56.25" customHeight="1">
      <c r="A583" s="13" t="s">
        <v>618</v>
      </c>
      <c r="B583" s="41" t="str">
        <f>image("https://i.imgur.com/1RVsb7S.png")</f>
        <v/>
      </c>
      <c r="C583" s="25" t="s">
        <v>40</v>
      </c>
      <c r="D583" s="44" t="s">
        <v>28</v>
      </c>
      <c r="E583" s="44" t="s">
        <v>28</v>
      </c>
      <c r="F583" s="38">
        <v>1400.0</v>
      </c>
      <c r="G583" s="38">
        <v>350.0</v>
      </c>
      <c r="H583" s="19">
        <v>11099.0</v>
      </c>
      <c r="I583" s="19" t="s">
        <v>90</v>
      </c>
      <c r="J583" s="19"/>
      <c r="K583" s="19"/>
      <c r="L583" s="19"/>
      <c r="M583" s="19" t="s">
        <v>1340</v>
      </c>
      <c r="N583" s="19"/>
      <c r="O583" s="19" t="s">
        <v>40</v>
      </c>
      <c r="P583" s="19" t="s">
        <v>41</v>
      </c>
      <c r="Q583" s="19" t="s">
        <v>43</v>
      </c>
      <c r="R583" s="19" t="s">
        <v>44</v>
      </c>
      <c r="S583" s="19" t="s">
        <v>68</v>
      </c>
      <c r="T583" s="19"/>
      <c r="U583" s="19"/>
      <c r="V583" s="19"/>
      <c r="W583" s="19"/>
      <c r="X583" s="19"/>
      <c r="Y583" s="19"/>
    </row>
    <row r="584" ht="56.25" customHeight="1">
      <c r="A584" s="13" t="s">
        <v>621</v>
      </c>
      <c r="B584" s="41" t="str">
        <f>image("https://i.imgur.com/Vr9j6kH.png")</f>
        <v/>
      </c>
      <c r="C584" s="22" t="str">
        <f>HYPERLINK("https://imgur.com/a/qkiXIGN","Yes")</f>
        <v>Yes</v>
      </c>
      <c r="D584" s="42" t="s">
        <v>28</v>
      </c>
      <c r="E584" s="44" t="s">
        <v>50</v>
      </c>
      <c r="F584" s="38">
        <v>140000.0</v>
      </c>
      <c r="G584" s="38">
        <v>35000.0</v>
      </c>
      <c r="H584" s="19">
        <v>7282.0</v>
      </c>
      <c r="I584" s="19" t="s">
        <v>161</v>
      </c>
      <c r="J584" s="19" t="s">
        <v>62</v>
      </c>
      <c r="K584" s="19"/>
      <c r="L584" s="19"/>
      <c r="M584" s="19" t="s">
        <v>1638</v>
      </c>
      <c r="N584" s="19">
        <v>7.0</v>
      </c>
      <c r="O584" s="19" t="s">
        <v>40</v>
      </c>
      <c r="P584" s="19" t="s">
        <v>41</v>
      </c>
      <c r="Q584" s="19" t="s">
        <v>43</v>
      </c>
      <c r="R584" s="19" t="s">
        <v>44</v>
      </c>
      <c r="S584" s="19" t="s">
        <v>65</v>
      </c>
      <c r="T584" s="19"/>
      <c r="U584" s="19"/>
      <c r="V584" s="19"/>
      <c r="W584" s="19"/>
      <c r="X584" s="19"/>
      <c r="Y584" s="19"/>
    </row>
    <row r="585" ht="56.25" customHeight="1">
      <c r="A585" s="13" t="s">
        <v>691</v>
      </c>
      <c r="B585" s="41" t="str">
        <f>image("https://i.imgur.com/NvqicpP.png")</f>
        <v/>
      </c>
      <c r="C585" s="22" t="str">
        <f>HYPERLINK("https://imgur.com/a/AHZXZFI","Yes")</f>
        <v>Yes</v>
      </c>
      <c r="D585" s="42" t="s">
        <v>50</v>
      </c>
      <c r="E585" s="42" t="s">
        <v>50</v>
      </c>
      <c r="F585" s="38" t="s">
        <v>51</v>
      </c>
      <c r="G585" s="38">
        <v>3240.0</v>
      </c>
      <c r="H585" s="19">
        <v>3775.0</v>
      </c>
      <c r="I585" s="19" t="s">
        <v>60</v>
      </c>
      <c r="J585" s="19"/>
      <c r="K585" s="19"/>
      <c r="L585" s="19"/>
      <c r="M585" s="19" t="s">
        <v>1350</v>
      </c>
      <c r="N585" s="19">
        <v>5.0</v>
      </c>
      <c r="O585" s="19" t="s">
        <v>40</v>
      </c>
      <c r="P585" s="19" t="s">
        <v>41</v>
      </c>
      <c r="Q585" s="19" t="s">
        <v>54</v>
      </c>
      <c r="R585" s="19" t="s">
        <v>55</v>
      </c>
      <c r="S585" s="19"/>
      <c r="T585" s="19"/>
      <c r="U585" s="19"/>
      <c r="V585" s="19"/>
      <c r="W585" s="19"/>
      <c r="X585" s="19"/>
      <c r="Y585" s="19"/>
    </row>
    <row r="586" ht="56.25" customHeight="1">
      <c r="A586" s="13" t="s">
        <v>700</v>
      </c>
      <c r="B586" s="41" t="str">
        <f>image("https://i.imgur.com/GIBzfR8.png")</f>
        <v/>
      </c>
      <c r="C586" s="22" t="str">
        <f>HYPERLINK("https://imgur.com/a/RVaObeg","Yes")</f>
        <v>Yes</v>
      </c>
      <c r="D586" s="44" t="s">
        <v>28</v>
      </c>
      <c r="E586" s="42" t="s">
        <v>28</v>
      </c>
      <c r="F586" s="43">
        <v>600.0</v>
      </c>
      <c r="G586" s="38">
        <v>150.0</v>
      </c>
      <c r="H586" s="19">
        <v>5309.0</v>
      </c>
      <c r="I586" s="19" t="s">
        <v>36</v>
      </c>
      <c r="J586" s="19"/>
      <c r="K586" s="19"/>
      <c r="L586" s="19"/>
      <c r="M586" s="19" t="s">
        <v>1340</v>
      </c>
      <c r="N586" s="19">
        <v>1.0</v>
      </c>
      <c r="O586" s="19" t="s">
        <v>40</v>
      </c>
      <c r="P586" s="19" t="s">
        <v>41</v>
      </c>
      <c r="Q586" s="19" t="s">
        <v>43</v>
      </c>
      <c r="R586" s="19" t="s">
        <v>44</v>
      </c>
      <c r="S586" s="19" t="s">
        <v>63</v>
      </c>
      <c r="T586" s="19"/>
      <c r="U586" s="19"/>
      <c r="V586" s="19"/>
      <c r="W586" s="19"/>
      <c r="X586" s="19"/>
      <c r="Y586" s="19"/>
    </row>
    <row r="587" ht="56.25" customHeight="1">
      <c r="A587" s="13" t="s">
        <v>716</v>
      </c>
      <c r="B587" s="41" t="str">
        <f>image("https://i.imgur.com/nORNkH6.png")</f>
        <v/>
      </c>
      <c r="C587" s="25" t="s">
        <v>40</v>
      </c>
      <c r="D587" s="42" t="s">
        <v>28</v>
      </c>
      <c r="E587" s="42" t="s">
        <v>28</v>
      </c>
      <c r="F587" s="38" t="s">
        <v>51</v>
      </c>
      <c r="G587" s="38">
        <v>375.0</v>
      </c>
      <c r="H587" s="19">
        <v>7040.0</v>
      </c>
      <c r="I587" s="19" t="s">
        <v>60</v>
      </c>
      <c r="J587" s="19" t="s">
        <v>62</v>
      </c>
      <c r="K587" s="19"/>
      <c r="L587" s="19"/>
      <c r="M587" s="19" t="s">
        <v>1350</v>
      </c>
      <c r="N587" s="19"/>
      <c r="O587" s="19" t="s">
        <v>40</v>
      </c>
      <c r="P587" s="19" t="s">
        <v>41</v>
      </c>
      <c r="Q587" s="19" t="s">
        <v>54</v>
      </c>
      <c r="R587" s="19" t="s">
        <v>247</v>
      </c>
      <c r="S587" s="19"/>
      <c r="T587" s="19"/>
      <c r="U587" s="19"/>
      <c r="V587" s="19"/>
      <c r="W587" s="19"/>
      <c r="X587" s="19"/>
      <c r="Y587" s="19"/>
    </row>
    <row r="588" ht="56.25" customHeight="1">
      <c r="A588" s="13" t="s">
        <v>720</v>
      </c>
      <c r="B588" s="41" t="str">
        <f>image("https://i.imgur.com/pg2wPxh.png")</f>
        <v/>
      </c>
      <c r="C588" s="25" t="s">
        <v>40</v>
      </c>
      <c r="D588" s="42" t="s">
        <v>50</v>
      </c>
      <c r="E588" s="42" t="s">
        <v>28</v>
      </c>
      <c r="F588" s="38" t="s">
        <v>51</v>
      </c>
      <c r="G588" s="38">
        <v>720.0</v>
      </c>
      <c r="H588" s="19">
        <v>5468.0</v>
      </c>
      <c r="I588" s="19" t="s">
        <v>36</v>
      </c>
      <c r="J588" s="19"/>
      <c r="K588" s="19"/>
      <c r="L588" s="19"/>
      <c r="M588" s="19" t="s">
        <v>1340</v>
      </c>
      <c r="N588" s="19"/>
      <c r="O588" s="19" t="s">
        <v>40</v>
      </c>
      <c r="P588" s="19" t="s">
        <v>41</v>
      </c>
      <c r="Q588" s="19" t="s">
        <v>54</v>
      </c>
      <c r="R588" s="19" t="s">
        <v>55</v>
      </c>
      <c r="S588" s="19"/>
      <c r="T588" s="19"/>
      <c r="U588" s="19"/>
      <c r="V588" s="19"/>
      <c r="W588" s="19"/>
      <c r="X588" s="19"/>
      <c r="Y588" s="19"/>
    </row>
    <row r="589" ht="56.25" customHeight="1">
      <c r="A589" s="13" t="s">
        <v>723</v>
      </c>
      <c r="B589" s="41" t="str">
        <f>image("https://i.imgur.com/WD20RRG.png")</f>
        <v/>
      </c>
      <c r="C589" s="22" t="str">
        <f>HYPERLINK("https://imgur.com/a/iFLHLD2","Yes")</f>
        <v>Yes</v>
      </c>
      <c r="D589" s="42" t="s">
        <v>28</v>
      </c>
      <c r="E589" s="42" t="s">
        <v>28</v>
      </c>
      <c r="F589" s="38">
        <v>8500.0</v>
      </c>
      <c r="G589" s="38">
        <v>2125.0</v>
      </c>
      <c r="H589" s="19">
        <v>3970.0</v>
      </c>
      <c r="I589" s="19" t="s">
        <v>161</v>
      </c>
      <c r="J589" s="19"/>
      <c r="K589" s="19" t="s">
        <v>726</v>
      </c>
      <c r="L589" s="19"/>
      <c r="M589" s="19" t="s">
        <v>1355</v>
      </c>
      <c r="N589" s="19">
        <v>3.0</v>
      </c>
      <c r="O589" s="19" t="s">
        <v>40</v>
      </c>
      <c r="P589" s="19" t="s">
        <v>41</v>
      </c>
      <c r="Q589" s="19" t="s">
        <v>43</v>
      </c>
      <c r="R589" s="19" t="s">
        <v>44</v>
      </c>
      <c r="S589" s="19" t="s">
        <v>68</v>
      </c>
      <c r="T589" s="19"/>
      <c r="U589" s="19"/>
      <c r="V589" s="19"/>
      <c r="W589" s="19"/>
      <c r="X589" s="19"/>
      <c r="Y589" s="19"/>
    </row>
    <row r="590" ht="56.25" customHeight="1">
      <c r="A590" s="13" t="s">
        <v>734</v>
      </c>
      <c r="B590" s="41" t="str">
        <f>image("https://i.imgur.com/AnOl5dd.png")</f>
        <v/>
      </c>
      <c r="C590" s="22" t="str">
        <f>HYPERLINK("https://imgur.com/a/BocrmCu","Yes")</f>
        <v>Yes</v>
      </c>
      <c r="D590" s="42" t="s">
        <v>28</v>
      </c>
      <c r="E590" s="42" t="s">
        <v>28</v>
      </c>
      <c r="F590" s="38">
        <v>19000.0</v>
      </c>
      <c r="G590" s="38">
        <v>4750.0</v>
      </c>
      <c r="H590" s="19">
        <v>8415.0</v>
      </c>
      <c r="I590" s="19" t="s">
        <v>37</v>
      </c>
      <c r="J590" s="19" t="s">
        <v>161</v>
      </c>
      <c r="K590" s="19"/>
      <c r="L590" s="19"/>
      <c r="M590" s="19" t="s">
        <v>1350</v>
      </c>
      <c r="N590" s="19">
        <v>7.0</v>
      </c>
      <c r="O590" s="19" t="s">
        <v>53</v>
      </c>
      <c r="P590" s="19" t="s">
        <v>186</v>
      </c>
      <c r="Q590" s="19" t="s">
        <v>43</v>
      </c>
      <c r="R590" s="19" t="s">
        <v>44</v>
      </c>
      <c r="S590" s="19" t="s">
        <v>65</v>
      </c>
      <c r="T590" s="19"/>
      <c r="U590" s="19"/>
      <c r="V590" s="19"/>
      <c r="W590" s="19"/>
      <c r="X590" s="19"/>
      <c r="Y590" s="19"/>
    </row>
    <row r="591" ht="56.25" customHeight="1">
      <c r="A591" s="13" t="s">
        <v>744</v>
      </c>
      <c r="B591" s="41" t="str">
        <f>image("https://i.imgur.com/mQ2x06k.png")</f>
        <v/>
      </c>
      <c r="C591" s="25" t="s">
        <v>40</v>
      </c>
      <c r="D591" s="42" t="s">
        <v>28</v>
      </c>
      <c r="E591" s="42" t="s">
        <v>28</v>
      </c>
      <c r="F591" s="38">
        <v>860.0</v>
      </c>
      <c r="G591" s="38">
        <v>215.0</v>
      </c>
      <c r="H591" s="19">
        <v>3399.0</v>
      </c>
      <c r="I591" s="19" t="s">
        <v>60</v>
      </c>
      <c r="J591" s="19" t="s">
        <v>90</v>
      </c>
      <c r="K591" s="19"/>
      <c r="L591" s="19"/>
      <c r="M591" s="19" t="s">
        <v>1340</v>
      </c>
      <c r="N591" s="19"/>
      <c r="O591" s="19" t="s">
        <v>53</v>
      </c>
      <c r="P591" s="19" t="s">
        <v>41</v>
      </c>
      <c r="Q591" s="19" t="s">
        <v>43</v>
      </c>
      <c r="R591" s="19" t="s">
        <v>44</v>
      </c>
      <c r="S591" s="19" t="s">
        <v>68</v>
      </c>
      <c r="T591" s="19"/>
      <c r="U591" s="19"/>
      <c r="V591" s="19"/>
      <c r="W591" s="19"/>
      <c r="X591" s="19"/>
      <c r="Y591" s="19"/>
    </row>
    <row r="592" ht="56.25" customHeight="1">
      <c r="A592" s="13" t="s">
        <v>748</v>
      </c>
      <c r="B592" s="41" t="str">
        <f>image("https://i.imgur.com/fkQ96fH.png")</f>
        <v/>
      </c>
      <c r="C592" s="22" t="str">
        <f>HYPERLINK("https://imgur.com/a/ISvLgIh","Yes")</f>
        <v>Yes</v>
      </c>
      <c r="D592" s="42" t="s">
        <v>50</v>
      </c>
      <c r="E592" s="42" t="s">
        <v>50</v>
      </c>
      <c r="F592" s="38" t="s">
        <v>51</v>
      </c>
      <c r="G592" s="38">
        <v>1500.0</v>
      </c>
      <c r="H592" s="19">
        <v>4752.0</v>
      </c>
      <c r="I592" s="19" t="s">
        <v>60</v>
      </c>
      <c r="J592" s="19"/>
      <c r="K592" s="19"/>
      <c r="L592" s="19"/>
      <c r="M592" s="19" t="s">
        <v>1340</v>
      </c>
      <c r="N592" s="19">
        <v>1.0</v>
      </c>
      <c r="O592" s="19" t="s">
        <v>40</v>
      </c>
      <c r="P592" s="19" t="s">
        <v>41</v>
      </c>
      <c r="Q592" s="19" t="s">
        <v>54</v>
      </c>
      <c r="R592" s="19" t="s">
        <v>55</v>
      </c>
      <c r="S592" s="19"/>
      <c r="T592" s="19"/>
      <c r="U592" s="19"/>
      <c r="V592" s="19"/>
      <c r="W592" s="19"/>
      <c r="X592" s="19"/>
      <c r="Y592" s="19"/>
    </row>
    <row r="593" ht="56.25" customHeight="1">
      <c r="A593" s="13" t="s">
        <v>766</v>
      </c>
      <c r="B593" s="41" t="str">
        <f>image("https://i.imgur.com/nAJTyjb.png")</f>
        <v/>
      </c>
      <c r="C593" s="22" t="str">
        <f>HYPERLINK("https://imgur.com/a/L4bFeig","Yes")</f>
        <v>Yes</v>
      </c>
      <c r="D593" s="42" t="s">
        <v>50</v>
      </c>
      <c r="E593" s="42" t="s">
        <v>50</v>
      </c>
      <c r="F593" s="38" t="s">
        <v>51</v>
      </c>
      <c r="G593" s="38">
        <v>3400.0</v>
      </c>
      <c r="H593" s="19">
        <v>3559.0</v>
      </c>
      <c r="I593" s="19" t="s">
        <v>60</v>
      </c>
      <c r="J593" s="19" t="s">
        <v>243</v>
      </c>
      <c r="K593" s="19"/>
      <c r="L593" s="19"/>
      <c r="M593" s="19" t="s">
        <v>1340</v>
      </c>
      <c r="N593" s="19">
        <v>5.0</v>
      </c>
      <c r="O593" s="19" t="s">
        <v>53</v>
      </c>
      <c r="P593" s="19" t="s">
        <v>186</v>
      </c>
      <c r="Q593" s="19" t="s">
        <v>54</v>
      </c>
      <c r="R593" s="19" t="s">
        <v>55</v>
      </c>
      <c r="S593" s="19"/>
      <c r="T593" s="19"/>
      <c r="U593" s="19"/>
      <c r="V593" s="19"/>
      <c r="W593" s="19"/>
      <c r="X593" s="19"/>
      <c r="Y593" s="19"/>
    </row>
    <row r="594" ht="56.25" customHeight="1">
      <c r="A594" s="13" t="s">
        <v>772</v>
      </c>
      <c r="B594" s="41" t="str">
        <f>image("https://i.imgur.com/KicgJzV.png")</f>
        <v/>
      </c>
      <c r="C594" s="22" t="str">
        <f>HYPERLINK("https://imgur.com/a/3I2ZaK4","Yes")</f>
        <v>Yes</v>
      </c>
      <c r="D594" s="42" t="s">
        <v>50</v>
      </c>
      <c r="E594" s="42" t="s">
        <v>50</v>
      </c>
      <c r="F594" s="38" t="s">
        <v>51</v>
      </c>
      <c r="G594" s="38">
        <v>2450.0</v>
      </c>
      <c r="H594" s="19">
        <v>3562.0</v>
      </c>
      <c r="I594" s="19" t="s">
        <v>60</v>
      </c>
      <c r="J594" s="19" t="s">
        <v>243</v>
      </c>
      <c r="K594" s="19"/>
      <c r="L594" s="19"/>
      <c r="M594" s="19" t="s">
        <v>1340</v>
      </c>
      <c r="N594" s="19">
        <v>4.0</v>
      </c>
      <c r="O594" s="19" t="s">
        <v>40</v>
      </c>
      <c r="P594" s="19" t="s">
        <v>41</v>
      </c>
      <c r="Q594" s="19" t="s">
        <v>54</v>
      </c>
      <c r="R594" s="19" t="s">
        <v>55</v>
      </c>
      <c r="S594" s="19"/>
      <c r="T594" s="19"/>
      <c r="U594" s="19"/>
      <c r="V594" s="19"/>
      <c r="W594" s="19"/>
      <c r="X594" s="19"/>
      <c r="Y594" s="19"/>
    </row>
    <row r="595" ht="56.25" customHeight="1">
      <c r="A595" s="13" t="s">
        <v>777</v>
      </c>
      <c r="B595" s="41" t="str">
        <f>image("https://i.imgur.com/wBQqn5p.png")</f>
        <v/>
      </c>
      <c r="C595" s="22" t="str">
        <f>HYPERLINK("https://imgur.com/a/pUCyeE5","Yes")</f>
        <v>Yes</v>
      </c>
      <c r="D595" s="42" t="s">
        <v>50</v>
      </c>
      <c r="E595" s="42" t="s">
        <v>50</v>
      </c>
      <c r="F595" s="38" t="s">
        <v>51</v>
      </c>
      <c r="G595" s="38">
        <v>1740.0</v>
      </c>
      <c r="H595" s="19">
        <v>3275.0</v>
      </c>
      <c r="I595" s="19" t="s">
        <v>60</v>
      </c>
      <c r="J595" s="19"/>
      <c r="K595" s="19"/>
      <c r="L595" s="19"/>
      <c r="M595" s="19" t="s">
        <v>1340</v>
      </c>
      <c r="N595" s="19">
        <v>3.0</v>
      </c>
      <c r="O595" s="19" t="s">
        <v>53</v>
      </c>
      <c r="P595" s="19" t="s">
        <v>41</v>
      </c>
      <c r="Q595" s="19" t="s">
        <v>54</v>
      </c>
      <c r="R595" s="19" t="s">
        <v>55</v>
      </c>
      <c r="S595" s="19"/>
      <c r="T595" s="19"/>
      <c r="U595" s="19"/>
      <c r="V595" s="19"/>
      <c r="W595" s="19"/>
      <c r="X595" s="19"/>
      <c r="Y595" s="19"/>
    </row>
    <row r="596" ht="56.25" customHeight="1">
      <c r="A596" s="13" t="s">
        <v>792</v>
      </c>
      <c r="B596" s="41" t="str">
        <f>image("https://i.imgur.com/QXQZJcS.png")</f>
        <v/>
      </c>
      <c r="C596" s="22" t="str">
        <f>HYPERLINK("https://imgur.com/a/qN94CGX","Yes")</f>
        <v>Yes</v>
      </c>
      <c r="D596" s="42" t="s">
        <v>50</v>
      </c>
      <c r="E596" s="42" t="s">
        <v>50</v>
      </c>
      <c r="F596" s="38" t="s">
        <v>51</v>
      </c>
      <c r="G596" s="38">
        <v>1110.0</v>
      </c>
      <c r="H596" s="19">
        <v>3992.0</v>
      </c>
      <c r="I596" s="19" t="s">
        <v>243</v>
      </c>
      <c r="J596" s="19" t="s">
        <v>60</v>
      </c>
      <c r="K596" s="19"/>
      <c r="L596" s="19"/>
      <c r="M596" s="19" t="s">
        <v>1340</v>
      </c>
      <c r="N596" s="19">
        <v>2.0</v>
      </c>
      <c r="O596" s="19" t="s">
        <v>40</v>
      </c>
      <c r="P596" s="19" t="s">
        <v>41</v>
      </c>
      <c r="Q596" s="19" t="s">
        <v>54</v>
      </c>
      <c r="R596" s="19" t="s">
        <v>55</v>
      </c>
      <c r="S596" s="19"/>
      <c r="T596" s="19"/>
      <c r="U596" s="19"/>
      <c r="V596" s="19"/>
      <c r="W596" s="19"/>
      <c r="X596" s="19"/>
      <c r="Y596" s="19"/>
    </row>
    <row r="597" ht="56.25" customHeight="1">
      <c r="A597" s="13" t="s">
        <v>803</v>
      </c>
      <c r="B597" s="41" t="str">
        <f>image("https://i.imgur.com/lhfrC2A.png")</f>
        <v/>
      </c>
      <c r="C597" s="25" t="s">
        <v>40</v>
      </c>
      <c r="D597" s="42" t="s">
        <v>50</v>
      </c>
      <c r="E597" s="42" t="s">
        <v>28</v>
      </c>
      <c r="F597" s="38" t="s">
        <v>51</v>
      </c>
      <c r="G597" s="38">
        <v>21975.0</v>
      </c>
      <c r="H597" s="19">
        <v>5964.0</v>
      </c>
      <c r="I597" s="19" t="s">
        <v>62</v>
      </c>
      <c r="J597" s="19"/>
      <c r="K597" s="19"/>
      <c r="L597" s="19"/>
      <c r="M597" s="19" t="s">
        <v>1340</v>
      </c>
      <c r="N597" s="19"/>
      <c r="O597" s="19" t="s">
        <v>40</v>
      </c>
      <c r="P597" s="19" t="s">
        <v>41</v>
      </c>
      <c r="Q597" s="19" t="s">
        <v>54</v>
      </c>
      <c r="R597" s="19" t="s">
        <v>55</v>
      </c>
      <c r="S597" s="19"/>
      <c r="T597" s="19"/>
      <c r="U597" s="19"/>
      <c r="V597" s="19"/>
      <c r="W597" s="19"/>
      <c r="X597" s="19"/>
      <c r="Y597" s="19"/>
    </row>
    <row r="598" ht="56.25" customHeight="1">
      <c r="A598" s="13" t="s">
        <v>806</v>
      </c>
      <c r="B598" s="41" t="str">
        <f>image("https://i.imgur.com/XIguHfN.png")</f>
        <v/>
      </c>
      <c r="C598" s="25" t="s">
        <v>40</v>
      </c>
      <c r="D598" s="42" t="s">
        <v>50</v>
      </c>
      <c r="E598" s="42" t="s">
        <v>28</v>
      </c>
      <c r="F598" s="38" t="s">
        <v>51</v>
      </c>
      <c r="G598" s="38">
        <v>720.0</v>
      </c>
      <c r="H598" s="19">
        <v>5641.0</v>
      </c>
      <c r="I598" s="19" t="s">
        <v>36</v>
      </c>
      <c r="J598" s="19"/>
      <c r="K598" s="19"/>
      <c r="L598" s="19"/>
      <c r="M598" s="19" t="s">
        <v>1340</v>
      </c>
      <c r="N598" s="19"/>
      <c r="O598" s="19" t="s">
        <v>40</v>
      </c>
      <c r="P598" s="19" t="s">
        <v>41</v>
      </c>
      <c r="Q598" s="19" t="s">
        <v>54</v>
      </c>
      <c r="R598" s="19" t="s">
        <v>55</v>
      </c>
      <c r="S598" s="19"/>
      <c r="T598" s="19"/>
      <c r="U598" s="19"/>
      <c r="V598" s="19"/>
      <c r="W598" s="19"/>
      <c r="X598" s="19"/>
      <c r="Y598" s="19"/>
    </row>
    <row r="599" ht="56.25" customHeight="1">
      <c r="A599" s="13" t="s">
        <v>808</v>
      </c>
      <c r="B599" s="41" t="str">
        <f>image("https://i.imgur.com/xrGyeni.png")</f>
        <v/>
      </c>
      <c r="C599" s="22" t="str">
        <f>HYPERLINK("https://imgur.com/a/QBswbxw","Yes")</f>
        <v>Yes</v>
      </c>
      <c r="D599" s="42" t="s">
        <v>50</v>
      </c>
      <c r="E599" s="42" t="s">
        <v>50</v>
      </c>
      <c r="F599" s="38" t="s">
        <v>51</v>
      </c>
      <c r="G599" s="38">
        <v>990.0</v>
      </c>
      <c r="H599" s="19">
        <v>4037.0</v>
      </c>
      <c r="I599" s="19" t="s">
        <v>95</v>
      </c>
      <c r="J599" s="19" t="s">
        <v>60</v>
      </c>
      <c r="K599" s="19"/>
      <c r="L599" s="19"/>
      <c r="M599" s="19" t="s">
        <v>1340</v>
      </c>
      <c r="N599" s="19">
        <v>2.0</v>
      </c>
      <c r="O599" s="19" t="s">
        <v>53</v>
      </c>
      <c r="P599" s="19" t="s">
        <v>41</v>
      </c>
      <c r="Q599" s="19" t="s">
        <v>54</v>
      </c>
      <c r="R599" s="19" t="s">
        <v>55</v>
      </c>
      <c r="S599" s="19"/>
      <c r="T599" s="19"/>
      <c r="U599" s="19"/>
      <c r="V599" s="19"/>
      <c r="W599" s="19"/>
      <c r="X599" s="19"/>
      <c r="Y599" s="19"/>
    </row>
    <row r="600" ht="56.25" customHeight="1">
      <c r="A600" s="13" t="s">
        <v>818</v>
      </c>
      <c r="B600" s="41" t="str">
        <f>image("https://i.imgur.com/f9w8ml2.png")</f>
        <v/>
      </c>
      <c r="C600" s="22" t="str">
        <f>HYPERLINK("https://imgur.com/a/5Von1H4","Yes")</f>
        <v>Yes</v>
      </c>
      <c r="D600" s="42" t="s">
        <v>28</v>
      </c>
      <c r="E600" s="42" t="s">
        <v>28</v>
      </c>
      <c r="F600" s="38">
        <v>840.0</v>
      </c>
      <c r="G600" s="38">
        <v>210.0</v>
      </c>
      <c r="H600" s="19">
        <v>4119.0</v>
      </c>
      <c r="I600" s="19" t="s">
        <v>60</v>
      </c>
      <c r="J600" s="19"/>
      <c r="K600" s="19"/>
      <c r="L600" s="19"/>
      <c r="M600" s="19" t="s">
        <v>1350</v>
      </c>
      <c r="N600" s="19">
        <v>1.0</v>
      </c>
      <c r="O600" s="19" t="s">
        <v>40</v>
      </c>
      <c r="P600" s="19" t="s">
        <v>41</v>
      </c>
      <c r="Q600" s="19" t="s">
        <v>43</v>
      </c>
      <c r="R600" s="19" t="s">
        <v>44</v>
      </c>
      <c r="S600" s="19" t="s">
        <v>63</v>
      </c>
      <c r="T600" s="19"/>
      <c r="U600" s="19"/>
      <c r="V600" s="19"/>
      <c r="W600" s="19"/>
      <c r="X600" s="19"/>
      <c r="Y600" s="19"/>
    </row>
    <row r="601" ht="56.25" customHeight="1">
      <c r="A601" s="13" t="s">
        <v>826</v>
      </c>
      <c r="B601" s="41" t="str">
        <f>image("https://i.imgur.com/zHigwkT.png")</f>
        <v/>
      </c>
      <c r="C601" s="22" t="str">
        <f>HYPERLINK("https://imgur.com/a/DtcKiJH","Yes")</f>
        <v>Yes</v>
      </c>
      <c r="D601" s="42" t="s">
        <v>28</v>
      </c>
      <c r="E601" s="42" t="s">
        <v>28</v>
      </c>
      <c r="F601" s="38">
        <v>1400.0</v>
      </c>
      <c r="G601" s="38">
        <v>350.0</v>
      </c>
      <c r="H601" s="19">
        <v>4118.0</v>
      </c>
      <c r="I601" s="19" t="s">
        <v>86</v>
      </c>
      <c r="J601" s="19" t="s">
        <v>37</v>
      </c>
      <c r="K601" s="19"/>
      <c r="L601" s="19"/>
      <c r="M601" s="19" t="s">
        <v>1340</v>
      </c>
      <c r="N601" s="19">
        <v>1.0</v>
      </c>
      <c r="O601" s="19" t="s">
        <v>40</v>
      </c>
      <c r="P601" s="19" t="s">
        <v>41</v>
      </c>
      <c r="Q601" s="19" t="s">
        <v>43</v>
      </c>
      <c r="R601" s="19" t="s">
        <v>44</v>
      </c>
      <c r="S601" s="19" t="s">
        <v>63</v>
      </c>
      <c r="T601" s="19"/>
      <c r="U601" s="19"/>
      <c r="V601" s="19"/>
      <c r="W601" s="19"/>
      <c r="X601" s="19"/>
      <c r="Y601" s="19"/>
    </row>
    <row r="602" ht="56.25" customHeight="1">
      <c r="A602" s="13" t="s">
        <v>836</v>
      </c>
      <c r="B602" s="41" t="str">
        <f>image("https://i.imgur.com/A9y0HTn.png")</f>
        <v/>
      </c>
      <c r="C602" s="25" t="s">
        <v>40</v>
      </c>
      <c r="D602" s="44" t="s">
        <v>28</v>
      </c>
      <c r="E602" s="44" t="s">
        <v>28</v>
      </c>
      <c r="F602" s="38">
        <v>1500.0</v>
      </c>
      <c r="G602" s="38">
        <v>375.0</v>
      </c>
      <c r="H602" s="19">
        <v>11098.0</v>
      </c>
      <c r="I602" s="19" t="s">
        <v>90</v>
      </c>
      <c r="J602" s="19"/>
      <c r="K602" s="19"/>
      <c r="L602" s="19"/>
      <c r="M602" s="19" t="s">
        <v>1340</v>
      </c>
      <c r="N602" s="19"/>
      <c r="O602" s="19" t="s">
        <v>40</v>
      </c>
      <c r="P602" s="19" t="s">
        <v>41</v>
      </c>
      <c r="Q602" s="19" t="s">
        <v>43</v>
      </c>
      <c r="R602" s="19" t="s">
        <v>44</v>
      </c>
      <c r="S602" s="19" t="s">
        <v>68</v>
      </c>
      <c r="T602" s="19"/>
      <c r="U602" s="19"/>
      <c r="V602" s="19"/>
      <c r="W602" s="19"/>
      <c r="X602" s="19"/>
      <c r="Y602" s="19"/>
    </row>
    <row r="603" ht="56.25" customHeight="1">
      <c r="A603" s="24" t="s">
        <v>839</v>
      </c>
      <c r="B603" s="41" t="str">
        <f>image("https://i.imgur.com/IUbEKDw.png")</f>
        <v/>
      </c>
      <c r="C603" s="22" t="str">
        <f>HYPERLINK("https://imgur.com/a/YQvCHAh","Yes")</f>
        <v>Yes</v>
      </c>
      <c r="D603" s="42" t="s">
        <v>28</v>
      </c>
      <c r="E603" s="42" t="s">
        <v>28</v>
      </c>
      <c r="F603" s="38">
        <v>780.0</v>
      </c>
      <c r="G603" s="38">
        <v>195.0</v>
      </c>
      <c r="H603" s="19">
        <v>9565.0</v>
      </c>
      <c r="I603" s="19" t="s">
        <v>113</v>
      </c>
      <c r="J603" s="19" t="s">
        <v>36</v>
      </c>
      <c r="K603" s="19"/>
      <c r="L603" s="19"/>
      <c r="M603" s="19" t="s">
        <v>1350</v>
      </c>
      <c r="N603" s="19">
        <v>1.0</v>
      </c>
      <c r="O603" s="19" t="s">
        <v>53</v>
      </c>
      <c r="P603" s="19" t="s">
        <v>41</v>
      </c>
      <c r="Q603" s="19" t="s">
        <v>43</v>
      </c>
      <c r="R603" s="19" t="s">
        <v>44</v>
      </c>
      <c r="S603" s="19" t="s">
        <v>63</v>
      </c>
      <c r="T603" s="19"/>
      <c r="U603" s="19"/>
      <c r="V603" s="19"/>
      <c r="W603" s="19"/>
      <c r="X603" s="19"/>
      <c r="Y603" s="19"/>
    </row>
    <row r="604" ht="56.25" customHeight="1">
      <c r="A604" s="13" t="s">
        <v>855</v>
      </c>
      <c r="B604" s="41" t="str">
        <f>image("https://i.imgur.com/5JeEY65.png")</f>
        <v/>
      </c>
      <c r="C604" s="22" t="str">
        <f>HYPERLINK("https://imgur.com/a/0jAmAaM","Yes")</f>
        <v>Yes</v>
      </c>
      <c r="D604" s="42" t="s">
        <v>28</v>
      </c>
      <c r="E604" s="42" t="s">
        <v>28</v>
      </c>
      <c r="F604" s="38" t="s">
        <v>51</v>
      </c>
      <c r="G604" s="38">
        <v>88.0</v>
      </c>
      <c r="H604" s="19">
        <v>7139.0</v>
      </c>
      <c r="I604" s="19" t="s">
        <v>60</v>
      </c>
      <c r="J604" s="19" t="s">
        <v>36</v>
      </c>
      <c r="K604" s="19"/>
      <c r="L604" s="19"/>
      <c r="M604" s="19" t="s">
        <v>1340</v>
      </c>
      <c r="N604" s="19">
        <v>1.0</v>
      </c>
      <c r="O604" s="19" t="s">
        <v>40</v>
      </c>
      <c r="P604" s="19" t="s">
        <v>41</v>
      </c>
      <c r="Q604" s="19" t="s">
        <v>54</v>
      </c>
      <c r="R604" s="19" t="s">
        <v>859</v>
      </c>
      <c r="S604" s="19"/>
      <c r="T604" s="19"/>
      <c r="U604" s="19"/>
      <c r="V604" s="19"/>
      <c r="W604" s="19"/>
      <c r="X604" s="19"/>
      <c r="Y604" s="19"/>
    </row>
    <row r="605" ht="56.25" customHeight="1">
      <c r="A605" s="13" t="s">
        <v>881</v>
      </c>
      <c r="B605" s="41" t="str">
        <f>image("https://i.imgur.com/IgJc6CB.png")</f>
        <v/>
      </c>
      <c r="C605" s="25" t="s">
        <v>40</v>
      </c>
      <c r="D605" s="42" t="s">
        <v>28</v>
      </c>
      <c r="E605" s="42" t="s">
        <v>28</v>
      </c>
      <c r="F605" s="38" t="s">
        <v>51</v>
      </c>
      <c r="G605" s="38">
        <v>88.0</v>
      </c>
      <c r="H605" s="19">
        <v>7145.0</v>
      </c>
      <c r="I605" s="19" t="s">
        <v>60</v>
      </c>
      <c r="J605" s="19" t="s">
        <v>36</v>
      </c>
      <c r="K605" s="19" t="s">
        <v>859</v>
      </c>
      <c r="L605" s="19"/>
      <c r="M605" s="19" t="s">
        <v>1340</v>
      </c>
      <c r="N605" s="19">
        <v>1.0</v>
      </c>
      <c r="O605" s="19" t="s">
        <v>40</v>
      </c>
      <c r="P605" s="19" t="s">
        <v>41</v>
      </c>
      <c r="Q605" s="19" t="s">
        <v>54</v>
      </c>
      <c r="R605" s="19" t="s">
        <v>859</v>
      </c>
      <c r="S605" s="19"/>
      <c r="T605" s="19"/>
      <c r="U605" s="19"/>
      <c r="V605" s="19"/>
      <c r="W605" s="19"/>
      <c r="X605" s="19"/>
      <c r="Y605" s="19"/>
    </row>
    <row r="606" ht="56.25" customHeight="1">
      <c r="A606" s="13" t="s">
        <v>899</v>
      </c>
      <c r="B606" s="41" t="str">
        <f>image("https://i.imgur.com/wH5KSNM.png")</f>
        <v/>
      </c>
      <c r="C606" s="25" t="s">
        <v>40</v>
      </c>
      <c r="D606" s="44" t="s">
        <v>28</v>
      </c>
      <c r="E606" s="44" t="s">
        <v>28</v>
      </c>
      <c r="F606" s="38">
        <v>1300.0</v>
      </c>
      <c r="G606" s="43">
        <v>325.0</v>
      </c>
      <c r="H606" s="19">
        <v>11127.0</v>
      </c>
      <c r="I606" s="19" t="s">
        <v>84</v>
      </c>
      <c r="J606" s="19" t="s">
        <v>90</v>
      </c>
      <c r="K606" s="19"/>
      <c r="L606" s="19"/>
      <c r="M606" s="19" t="s">
        <v>1488</v>
      </c>
      <c r="N606" s="19"/>
      <c r="O606" s="19" t="s">
        <v>40</v>
      </c>
      <c r="P606" s="19" t="s">
        <v>41</v>
      </c>
      <c r="Q606" s="19" t="s">
        <v>43</v>
      </c>
      <c r="R606" s="19" t="s">
        <v>44</v>
      </c>
      <c r="S606" s="19" t="s">
        <v>68</v>
      </c>
      <c r="T606" s="19"/>
      <c r="U606" s="19"/>
      <c r="V606" s="19"/>
      <c r="W606" s="19"/>
      <c r="X606" s="19"/>
      <c r="Y606" s="19"/>
    </row>
    <row r="607" ht="56.25" customHeight="1">
      <c r="A607" s="13" t="s">
        <v>902</v>
      </c>
      <c r="B607" s="41" t="str">
        <f>image("https://i.imgur.com/rpTmGaP.png")</f>
        <v/>
      </c>
      <c r="C607" s="25" t="s">
        <v>40</v>
      </c>
      <c r="D607" s="44" t="s">
        <v>28</v>
      </c>
      <c r="E607" s="44" t="s">
        <v>28</v>
      </c>
      <c r="F607" s="38">
        <v>5000.0</v>
      </c>
      <c r="G607" s="38">
        <v>1250.0</v>
      </c>
      <c r="H607" s="19">
        <v>11128.0</v>
      </c>
      <c r="I607" s="19" t="s">
        <v>84</v>
      </c>
      <c r="J607" s="19" t="s">
        <v>90</v>
      </c>
      <c r="K607" s="19"/>
      <c r="L607" s="19"/>
      <c r="M607" s="19" t="s">
        <v>1384</v>
      </c>
      <c r="N607" s="19"/>
      <c r="O607" s="19" t="s">
        <v>40</v>
      </c>
      <c r="P607" s="19" t="s">
        <v>41</v>
      </c>
      <c r="Q607" s="19" t="s">
        <v>43</v>
      </c>
      <c r="R607" s="19" t="s">
        <v>44</v>
      </c>
      <c r="S607" s="19" t="s">
        <v>68</v>
      </c>
      <c r="T607" s="19"/>
      <c r="U607" s="19"/>
      <c r="V607" s="19"/>
      <c r="W607" s="19"/>
      <c r="X607" s="19"/>
      <c r="Y607" s="19"/>
    </row>
    <row r="608" ht="56.25" customHeight="1">
      <c r="A608" s="13" t="s">
        <v>905</v>
      </c>
      <c r="B608" s="41" t="str">
        <f>image("https://i.imgur.com/SzPytI9.png")</f>
        <v/>
      </c>
      <c r="C608" s="25" t="s">
        <v>40</v>
      </c>
      <c r="D608" s="42" t="s">
        <v>50</v>
      </c>
      <c r="E608" s="42" t="s">
        <v>28</v>
      </c>
      <c r="F608" s="38" t="s">
        <v>51</v>
      </c>
      <c r="G608" s="38">
        <v>720.0</v>
      </c>
      <c r="H608" s="19">
        <v>5467.0</v>
      </c>
      <c r="I608" s="19" t="s">
        <v>36</v>
      </c>
      <c r="J608" s="19"/>
      <c r="K608" s="19"/>
      <c r="L608" s="19"/>
      <c r="M608" s="19" t="s">
        <v>1340</v>
      </c>
      <c r="N608" s="19"/>
      <c r="O608" s="19" t="s">
        <v>40</v>
      </c>
      <c r="P608" s="19" t="s">
        <v>41</v>
      </c>
      <c r="Q608" s="19" t="s">
        <v>54</v>
      </c>
      <c r="R608" s="19" t="s">
        <v>55</v>
      </c>
      <c r="S608" s="19"/>
      <c r="T608" s="19"/>
      <c r="U608" s="19"/>
      <c r="V608" s="19"/>
      <c r="W608" s="19"/>
      <c r="X608" s="19"/>
      <c r="Y608" s="19"/>
    </row>
    <row r="609" ht="56.25" customHeight="1">
      <c r="A609" s="13" t="s">
        <v>1710</v>
      </c>
      <c r="B609" s="41" t="str">
        <f>image("https://i.imgur.com/Yu30mlZ.png")</f>
        <v/>
      </c>
      <c r="C609" s="22" t="str">
        <f>HYPERLINK("https://imgur.com/a/nvrsUWk","Yes")</f>
        <v>Yes</v>
      </c>
      <c r="D609" s="42" t="s">
        <v>50</v>
      </c>
      <c r="E609" s="42" t="s">
        <v>28</v>
      </c>
      <c r="F609" s="38" t="s">
        <v>51</v>
      </c>
      <c r="G609" s="38">
        <v>1500.0</v>
      </c>
      <c r="H609" s="19">
        <v>4726.0</v>
      </c>
      <c r="I609" s="19" t="s">
        <v>95</v>
      </c>
      <c r="J609" s="19"/>
      <c r="K609" s="19"/>
      <c r="L609" s="19"/>
      <c r="M609" s="19" t="s">
        <v>1340</v>
      </c>
      <c r="N609" s="19"/>
      <c r="O609" s="19" t="s">
        <v>40</v>
      </c>
      <c r="P609" s="19" t="s">
        <v>41</v>
      </c>
      <c r="Q609" s="19" t="s">
        <v>54</v>
      </c>
      <c r="R609" s="19" t="s">
        <v>55</v>
      </c>
      <c r="S609" s="19" t="s">
        <v>1544</v>
      </c>
      <c r="T609" s="19"/>
      <c r="U609" s="19"/>
      <c r="V609" s="19"/>
      <c r="W609" s="19"/>
      <c r="X609" s="19"/>
      <c r="Y609" s="19"/>
    </row>
    <row r="610" ht="56.25" customHeight="1">
      <c r="A610" s="13" t="s">
        <v>908</v>
      </c>
      <c r="B610" s="41" t="str">
        <f>image("https://i.imgur.com/x0uCMzw.png")</f>
        <v/>
      </c>
      <c r="C610" s="25" t="s">
        <v>40</v>
      </c>
      <c r="D610" s="42" t="s">
        <v>50</v>
      </c>
      <c r="E610" s="42" t="s">
        <v>28</v>
      </c>
      <c r="F610" s="38" t="s">
        <v>51</v>
      </c>
      <c r="G610" s="38">
        <v>4800.0</v>
      </c>
      <c r="H610" s="19">
        <v>5768.0</v>
      </c>
      <c r="I610" s="19" t="s">
        <v>36</v>
      </c>
      <c r="J610" s="19"/>
      <c r="K610" s="19"/>
      <c r="L610" s="19"/>
      <c r="M610" s="19" t="s">
        <v>1340</v>
      </c>
      <c r="N610" s="19"/>
      <c r="O610" s="19" t="s">
        <v>40</v>
      </c>
      <c r="P610" s="19" t="s">
        <v>41</v>
      </c>
      <c r="Q610" s="19" t="s">
        <v>54</v>
      </c>
      <c r="R610" s="19" t="s">
        <v>55</v>
      </c>
      <c r="S610" s="19"/>
      <c r="T610" s="19"/>
      <c r="U610" s="19"/>
      <c r="V610" s="19"/>
      <c r="W610" s="19"/>
      <c r="X610" s="19"/>
      <c r="Y610" s="19"/>
    </row>
    <row r="611" ht="56.25" customHeight="1">
      <c r="A611" s="13" t="s">
        <v>910</v>
      </c>
      <c r="B611" s="41" t="str">
        <f>image("https://i.imgur.com/p5JRsf8.png")</f>
        <v/>
      </c>
      <c r="C611" s="22" t="str">
        <f>HYPERLINK("https://imgur.com/a/Vaw2wEF","Yes")</f>
        <v>Yes</v>
      </c>
      <c r="D611" s="42" t="s">
        <v>50</v>
      </c>
      <c r="E611" s="42" t="s">
        <v>50</v>
      </c>
      <c r="F611" s="38" t="s">
        <v>51</v>
      </c>
      <c r="G611" s="38">
        <v>2240.0</v>
      </c>
      <c r="H611" s="19">
        <v>3976.0</v>
      </c>
      <c r="I611" s="19" t="s">
        <v>36</v>
      </c>
      <c r="J611" s="19"/>
      <c r="K611" s="19"/>
      <c r="L611" s="19"/>
      <c r="M611" s="19" t="s">
        <v>1340</v>
      </c>
      <c r="N611" s="19">
        <v>3.0</v>
      </c>
      <c r="O611" s="19" t="s">
        <v>53</v>
      </c>
      <c r="P611" s="19" t="s">
        <v>41</v>
      </c>
      <c r="Q611" s="19" t="s">
        <v>54</v>
      </c>
      <c r="R611" s="19" t="s">
        <v>55</v>
      </c>
      <c r="S611" s="19"/>
      <c r="T611" s="19"/>
      <c r="U611" s="19"/>
      <c r="V611" s="19"/>
      <c r="W611" s="19"/>
      <c r="X611" s="19"/>
      <c r="Y611" s="19"/>
    </row>
    <row r="612" ht="56.25" customHeight="1">
      <c r="A612" s="13" t="s">
        <v>916</v>
      </c>
      <c r="B612" s="41" t="str">
        <f>image("https://i.imgur.com/EyMODgI.png")</f>
        <v/>
      </c>
      <c r="C612" s="22" t="str">
        <f>HYPERLINK("https://imgur.com/a/X9Tf7Vj","Yes")</f>
        <v>Yes</v>
      </c>
      <c r="D612" s="42" t="s">
        <v>50</v>
      </c>
      <c r="E612" s="42" t="s">
        <v>50</v>
      </c>
      <c r="F612" s="38" t="s">
        <v>51</v>
      </c>
      <c r="G612" s="38">
        <v>340.0</v>
      </c>
      <c r="H612" s="19">
        <v>6818.0</v>
      </c>
      <c r="I612" s="19" t="s">
        <v>212</v>
      </c>
      <c r="J612" s="19" t="s">
        <v>36</v>
      </c>
      <c r="K612" s="19"/>
      <c r="L612" s="19"/>
      <c r="M612" s="19" t="s">
        <v>1340</v>
      </c>
      <c r="N612" s="19">
        <v>1.0</v>
      </c>
      <c r="O612" s="19" t="s">
        <v>53</v>
      </c>
      <c r="P612" s="19" t="s">
        <v>41</v>
      </c>
      <c r="Q612" s="19" t="s">
        <v>54</v>
      </c>
      <c r="R612" s="19" t="s">
        <v>55</v>
      </c>
      <c r="S612" s="19" t="s">
        <v>418</v>
      </c>
      <c r="T612" s="19"/>
      <c r="U612" s="19"/>
      <c r="V612" s="19"/>
      <c r="W612" s="19"/>
      <c r="X612" s="19"/>
      <c r="Y612" s="19"/>
    </row>
    <row r="613" ht="56.25" customHeight="1">
      <c r="A613" s="13" t="s">
        <v>928</v>
      </c>
      <c r="B613" s="41" t="str">
        <f>image("https://i.imgur.com/RQTT00F.png")</f>
        <v/>
      </c>
      <c r="C613" s="22" t="str">
        <f>HYPERLINK("https://imgur.com/a/IcnCzAK","Yes")</f>
        <v>Yes</v>
      </c>
      <c r="D613" s="42" t="s">
        <v>50</v>
      </c>
      <c r="E613" s="42" t="s">
        <v>50</v>
      </c>
      <c r="F613" s="38" t="s">
        <v>51</v>
      </c>
      <c r="G613" s="38">
        <v>800.0</v>
      </c>
      <c r="H613" s="19">
        <v>4377.0</v>
      </c>
      <c r="I613" s="19" t="s">
        <v>36</v>
      </c>
      <c r="J613" s="19"/>
      <c r="K613" s="19"/>
      <c r="L613" s="19"/>
      <c r="M613" s="19" t="s">
        <v>1340</v>
      </c>
      <c r="N613" s="19">
        <v>1.0</v>
      </c>
      <c r="O613" s="19" t="s">
        <v>40</v>
      </c>
      <c r="P613" s="19" t="s">
        <v>41</v>
      </c>
      <c r="Q613" s="19" t="s">
        <v>54</v>
      </c>
      <c r="R613" s="19" t="s">
        <v>55</v>
      </c>
      <c r="S613" s="19" t="s">
        <v>418</v>
      </c>
      <c r="T613" s="19"/>
      <c r="U613" s="19"/>
      <c r="V613" s="19"/>
      <c r="W613" s="19"/>
      <c r="X613" s="19"/>
      <c r="Y613" s="19"/>
    </row>
    <row r="614" ht="56.25" customHeight="1">
      <c r="A614" s="13" t="s">
        <v>946</v>
      </c>
      <c r="B614" s="41" t="str">
        <f>image("https://i.imgur.com/OkdpgFl.png")</f>
        <v/>
      </c>
      <c r="C614" s="25" t="s">
        <v>40</v>
      </c>
      <c r="D614" s="42" t="s">
        <v>50</v>
      </c>
      <c r="E614" s="42" t="s">
        <v>28</v>
      </c>
      <c r="F614" s="38" t="s">
        <v>51</v>
      </c>
      <c r="G614" s="38">
        <v>720.0</v>
      </c>
      <c r="H614" s="19">
        <v>5466.0</v>
      </c>
      <c r="I614" s="19" t="s">
        <v>36</v>
      </c>
      <c r="J614" s="19"/>
      <c r="K614" s="19"/>
      <c r="L614" s="19"/>
      <c r="M614" s="19" t="s">
        <v>1340</v>
      </c>
      <c r="N614" s="19"/>
      <c r="O614" s="19" t="s">
        <v>40</v>
      </c>
      <c r="P614" s="19" t="s">
        <v>41</v>
      </c>
      <c r="Q614" s="19" t="s">
        <v>54</v>
      </c>
      <c r="R614" s="19" t="s">
        <v>55</v>
      </c>
      <c r="S614" s="19"/>
      <c r="T614" s="19"/>
      <c r="U614" s="19"/>
      <c r="V614" s="19"/>
      <c r="W614" s="19"/>
      <c r="X614" s="19"/>
      <c r="Y614" s="19"/>
    </row>
    <row r="615" ht="56.25" customHeight="1">
      <c r="A615" s="13" t="s">
        <v>948</v>
      </c>
      <c r="B615" s="41" t="str">
        <f>image("https://i.imgur.com/NdkA143.png")</f>
        <v/>
      </c>
      <c r="C615" s="22" t="str">
        <f>HYPERLINK("https://imgur.com/a/TpyH2Du","Yes")</f>
        <v>Yes</v>
      </c>
      <c r="D615" s="42" t="s">
        <v>28</v>
      </c>
      <c r="E615" s="42" t="s">
        <v>28</v>
      </c>
      <c r="F615" s="38">
        <v>650.0</v>
      </c>
      <c r="G615" s="43">
        <v>162.0</v>
      </c>
      <c r="H615" s="19">
        <v>4077.0</v>
      </c>
      <c r="I615" s="19" t="s">
        <v>212</v>
      </c>
      <c r="J615" s="19" t="s">
        <v>36</v>
      </c>
      <c r="K615" s="19"/>
      <c r="L615" s="19"/>
      <c r="M615" s="19" t="s">
        <v>1384</v>
      </c>
      <c r="N615" s="19">
        <v>1.0</v>
      </c>
      <c r="O615" s="19" t="s">
        <v>40</v>
      </c>
      <c r="P615" s="19" t="s">
        <v>41</v>
      </c>
      <c r="Q615" s="19" t="s">
        <v>43</v>
      </c>
      <c r="R615" s="19" t="s">
        <v>44</v>
      </c>
      <c r="S615" s="19" t="s">
        <v>63</v>
      </c>
      <c r="T615" s="19"/>
      <c r="U615" s="19"/>
      <c r="V615" s="19"/>
      <c r="W615" s="19"/>
      <c r="X615" s="19"/>
      <c r="Y615" s="19"/>
    </row>
    <row r="616" ht="56.25" customHeight="1">
      <c r="A616" s="13" t="s">
        <v>966</v>
      </c>
      <c r="B616" s="41" t="str">
        <f>image("https://i.imgur.com/syOY88p.png")</f>
        <v/>
      </c>
      <c r="C616" s="22" t="str">
        <f>HYPERLINK("https://imgur.com/a/HxXCMvB","Yes")</f>
        <v>Yes</v>
      </c>
      <c r="D616" s="42" t="s">
        <v>50</v>
      </c>
      <c r="E616" s="42" t="s">
        <v>50</v>
      </c>
      <c r="F616" s="38" t="s">
        <v>51</v>
      </c>
      <c r="G616" s="38">
        <v>360.0</v>
      </c>
      <c r="H616" s="19">
        <v>5716.0</v>
      </c>
      <c r="I616" s="19" t="s">
        <v>60</v>
      </c>
      <c r="J616" s="19" t="s">
        <v>36</v>
      </c>
      <c r="K616" s="19"/>
      <c r="L616" s="19"/>
      <c r="M616" s="19" t="s">
        <v>1340</v>
      </c>
      <c r="N616" s="19">
        <v>1.0</v>
      </c>
      <c r="O616" s="19" t="s">
        <v>40</v>
      </c>
      <c r="P616" s="19" t="s">
        <v>41</v>
      </c>
      <c r="Q616" s="19" t="s">
        <v>54</v>
      </c>
      <c r="R616" s="19" t="s">
        <v>55</v>
      </c>
      <c r="S616" s="19"/>
      <c r="T616" s="19"/>
      <c r="U616" s="19"/>
      <c r="V616" s="19"/>
      <c r="W616" s="19"/>
      <c r="X616" s="19"/>
      <c r="Y616" s="19"/>
    </row>
    <row r="617" ht="56.25" customHeight="1">
      <c r="A617" s="13" t="s">
        <v>985</v>
      </c>
      <c r="B617" s="41" t="str">
        <f>image("https://i.imgur.com/wBvkcFR.png")</f>
        <v/>
      </c>
      <c r="C617" s="25" t="s">
        <v>40</v>
      </c>
      <c r="D617" s="42" t="s">
        <v>28</v>
      </c>
      <c r="E617" s="42" t="s">
        <v>28</v>
      </c>
      <c r="F617" s="38">
        <v>1900.0</v>
      </c>
      <c r="G617" s="38">
        <v>475.0</v>
      </c>
      <c r="H617" s="19">
        <v>4106.0</v>
      </c>
      <c r="I617" s="19" t="s">
        <v>60</v>
      </c>
      <c r="J617" s="19"/>
      <c r="K617" s="19"/>
      <c r="L617" s="19"/>
      <c r="M617" s="19" t="s">
        <v>1340</v>
      </c>
      <c r="N617" s="19"/>
      <c r="O617" s="19" t="s">
        <v>53</v>
      </c>
      <c r="P617" s="19" t="s">
        <v>41</v>
      </c>
      <c r="Q617" s="19" t="s">
        <v>43</v>
      </c>
      <c r="R617" s="19" t="s">
        <v>44</v>
      </c>
      <c r="S617" s="19" t="s">
        <v>63</v>
      </c>
      <c r="T617" s="19"/>
      <c r="U617" s="19"/>
      <c r="V617" s="19"/>
      <c r="W617" s="19"/>
      <c r="X617" s="19"/>
      <c r="Y617" s="19"/>
    </row>
    <row r="618" ht="56.25" customHeight="1">
      <c r="A618" s="38" t="s">
        <v>988</v>
      </c>
      <c r="B618" s="41" t="str">
        <f>image("https://i.imgur.com/uw0wmsC.png")</f>
        <v/>
      </c>
      <c r="C618" s="22" t="str">
        <f>HYPERLINK("https://imgur.com/a/AL03LVH","Yes")</f>
        <v>Yes</v>
      </c>
      <c r="D618" s="42" t="s">
        <v>28</v>
      </c>
      <c r="E618" s="42" t="s">
        <v>28</v>
      </c>
      <c r="F618" s="38">
        <v>1300.0</v>
      </c>
      <c r="G618" s="43">
        <v>325.0</v>
      </c>
      <c r="H618" s="19">
        <v>3818.0</v>
      </c>
      <c r="I618" s="19" t="s">
        <v>37</v>
      </c>
      <c r="J618" s="19" t="s">
        <v>113</v>
      </c>
      <c r="K618" s="19"/>
      <c r="L618" s="19"/>
      <c r="M618" s="19" t="s">
        <v>1384</v>
      </c>
      <c r="N618" s="19">
        <v>1.0</v>
      </c>
      <c r="O618" s="19" t="s">
        <v>40</v>
      </c>
      <c r="P618" s="19" t="s">
        <v>41</v>
      </c>
      <c r="Q618" s="19" t="s">
        <v>43</v>
      </c>
      <c r="R618" s="19" t="s">
        <v>44</v>
      </c>
      <c r="S618" s="19" t="s">
        <v>68</v>
      </c>
      <c r="T618" s="19"/>
      <c r="U618" s="19"/>
      <c r="V618" s="19"/>
      <c r="W618" s="19"/>
      <c r="X618" s="19"/>
      <c r="Y618" s="19"/>
    </row>
    <row r="619" ht="56.25" customHeight="1">
      <c r="A619" s="13" t="s">
        <v>1004</v>
      </c>
      <c r="B619" s="41" t="str">
        <f>image("https://i.imgur.com/2Vk4NqL.png")</f>
        <v/>
      </c>
      <c r="C619" s="22" t="str">
        <f>HYPERLINK("https://imgur.com/a/vs9NN0S","Yes")</f>
        <v>Yes</v>
      </c>
      <c r="D619" s="42" t="s">
        <v>28</v>
      </c>
      <c r="E619" s="42" t="s">
        <v>28</v>
      </c>
      <c r="F619" s="38">
        <v>3000.0</v>
      </c>
      <c r="G619" s="38">
        <v>750.0</v>
      </c>
      <c r="H619" s="19">
        <v>928.0</v>
      </c>
      <c r="I619" s="19" t="s">
        <v>86</v>
      </c>
      <c r="J619" s="19" t="s">
        <v>37</v>
      </c>
      <c r="K619" s="19"/>
      <c r="L619" s="19"/>
      <c r="M619" s="19" t="s">
        <v>1384</v>
      </c>
      <c r="N619" s="19">
        <v>1.0</v>
      </c>
      <c r="O619" s="19" t="s">
        <v>40</v>
      </c>
      <c r="P619" s="19" t="s">
        <v>41</v>
      </c>
      <c r="Q619" s="19" t="s">
        <v>43</v>
      </c>
      <c r="R619" s="19" t="s">
        <v>44</v>
      </c>
      <c r="S619" s="19" t="s">
        <v>63</v>
      </c>
      <c r="T619" s="19"/>
      <c r="U619" s="19"/>
      <c r="V619" s="19"/>
      <c r="W619" s="19"/>
      <c r="X619" s="19"/>
      <c r="Y619" s="19"/>
    </row>
    <row r="620" ht="56.25" customHeight="1">
      <c r="A620" s="13" t="s">
        <v>1010</v>
      </c>
      <c r="B620" s="41" t="str">
        <f>image("https://i.imgur.com/Zasetkt.png")</f>
        <v/>
      </c>
      <c r="C620" s="22" t="str">
        <f>HYPERLINK("https://imgur.com/a/ededqG4","Yes")</f>
        <v>Yes</v>
      </c>
      <c r="D620" s="42" t="s">
        <v>50</v>
      </c>
      <c r="E620" s="42" t="s">
        <v>50</v>
      </c>
      <c r="F620" s="38" t="s">
        <v>51</v>
      </c>
      <c r="G620" s="38">
        <v>1100.0</v>
      </c>
      <c r="H620" s="19">
        <v>3785.0</v>
      </c>
      <c r="I620" s="19" t="s">
        <v>60</v>
      </c>
      <c r="J620" s="19"/>
      <c r="K620" s="19"/>
      <c r="L620" s="19"/>
      <c r="M620" s="19" t="s">
        <v>1340</v>
      </c>
      <c r="N620" s="19">
        <v>2.0</v>
      </c>
      <c r="O620" s="19" t="s">
        <v>40</v>
      </c>
      <c r="P620" s="19" t="s">
        <v>41</v>
      </c>
      <c r="Q620" s="19" t="s">
        <v>54</v>
      </c>
      <c r="R620" s="19" t="s">
        <v>55</v>
      </c>
      <c r="S620" s="19"/>
      <c r="T620" s="19"/>
      <c r="U620" s="19"/>
      <c r="V620" s="19"/>
      <c r="W620" s="19"/>
      <c r="X620" s="19"/>
      <c r="Y620" s="19"/>
    </row>
    <row r="621" ht="56.25" customHeight="1">
      <c r="A621" s="13" t="s">
        <v>1019</v>
      </c>
      <c r="B621" s="41" t="str">
        <f>image("https://i.imgur.com/KNrz8KL.png")</f>
        <v/>
      </c>
      <c r="C621" s="25" t="s">
        <v>40</v>
      </c>
      <c r="D621" s="42" t="s">
        <v>50</v>
      </c>
      <c r="E621" s="42" t="s">
        <v>28</v>
      </c>
      <c r="F621" s="38" t="s">
        <v>51</v>
      </c>
      <c r="G621" s="38">
        <v>1200.0</v>
      </c>
      <c r="H621" s="19">
        <v>5745.0</v>
      </c>
      <c r="I621" s="19" t="s">
        <v>36</v>
      </c>
      <c r="J621" s="19"/>
      <c r="K621" s="19"/>
      <c r="L621" s="19"/>
      <c r="M621" s="19" t="s">
        <v>1340</v>
      </c>
      <c r="N621" s="19"/>
      <c r="O621" s="19" t="s">
        <v>40</v>
      </c>
      <c r="P621" s="19" t="s">
        <v>41</v>
      </c>
      <c r="Q621" s="19" t="s">
        <v>54</v>
      </c>
      <c r="R621" s="19" t="s">
        <v>55</v>
      </c>
      <c r="S621" s="19"/>
      <c r="T621" s="19"/>
      <c r="U621" s="19"/>
      <c r="V621" s="19"/>
      <c r="W621" s="19"/>
      <c r="X621" s="19"/>
      <c r="Y621" s="19"/>
    </row>
    <row r="622" ht="56.25" customHeight="1">
      <c r="A622" s="13" t="s">
        <v>1022</v>
      </c>
      <c r="B622" s="41" t="str">
        <f>image("https://i.imgur.com/WCr3ysV.png")</f>
        <v/>
      </c>
      <c r="C622" s="25" t="s">
        <v>40</v>
      </c>
      <c r="D622" s="42" t="s">
        <v>50</v>
      </c>
      <c r="E622" s="42" t="s">
        <v>28</v>
      </c>
      <c r="F622" s="38" t="s">
        <v>51</v>
      </c>
      <c r="G622" s="38">
        <v>2400.0</v>
      </c>
      <c r="H622" s="19">
        <v>5751.0</v>
      </c>
      <c r="I622" s="19" t="s">
        <v>36</v>
      </c>
      <c r="J622" s="19"/>
      <c r="K622" s="19"/>
      <c r="L622" s="19"/>
      <c r="M622" s="19" t="s">
        <v>1340</v>
      </c>
      <c r="N622" s="19"/>
      <c r="O622" s="19" t="s">
        <v>40</v>
      </c>
      <c r="P622" s="19" t="s">
        <v>41</v>
      </c>
      <c r="Q622" s="19" t="s">
        <v>54</v>
      </c>
      <c r="R622" s="19" t="s">
        <v>55</v>
      </c>
      <c r="S622" s="19"/>
      <c r="T622" s="19"/>
      <c r="U622" s="19"/>
      <c r="V622" s="19"/>
      <c r="W622" s="19"/>
      <c r="X622" s="19"/>
      <c r="Y622" s="19"/>
    </row>
    <row r="623" ht="56.25" customHeight="1">
      <c r="A623" s="13" t="s">
        <v>1025</v>
      </c>
      <c r="B623" s="41" t="str">
        <f>image("https://i.imgur.com/jBhEeue.png")</f>
        <v/>
      </c>
      <c r="C623" s="25" t="s">
        <v>40</v>
      </c>
      <c r="D623" s="42" t="s">
        <v>50</v>
      </c>
      <c r="E623" s="42" t="s">
        <v>28</v>
      </c>
      <c r="F623" s="38" t="s">
        <v>51</v>
      </c>
      <c r="G623" s="38">
        <v>4800.0</v>
      </c>
      <c r="H623" s="19">
        <v>5769.0</v>
      </c>
      <c r="I623" s="19" t="s">
        <v>36</v>
      </c>
      <c r="J623" s="19"/>
      <c r="K623" s="19"/>
      <c r="L623" s="19"/>
      <c r="M623" s="19" t="s">
        <v>1340</v>
      </c>
      <c r="N623" s="19"/>
      <c r="O623" s="19" t="s">
        <v>40</v>
      </c>
      <c r="P623" s="19" t="s">
        <v>41</v>
      </c>
      <c r="Q623" s="19" t="s">
        <v>54</v>
      </c>
      <c r="R623" s="19" t="s">
        <v>55</v>
      </c>
      <c r="S623" s="19"/>
      <c r="T623" s="19"/>
      <c r="U623" s="19"/>
      <c r="V623" s="19"/>
      <c r="W623" s="19"/>
      <c r="X623" s="19"/>
      <c r="Y623" s="19"/>
    </row>
    <row r="624" ht="56.25" customHeight="1">
      <c r="A624" s="13" t="s">
        <v>1028</v>
      </c>
      <c r="B624" s="41" t="str">
        <f>image("https://i.imgur.com/ZrYbhLd.png")</f>
        <v/>
      </c>
      <c r="C624" s="25" t="s">
        <v>40</v>
      </c>
      <c r="D624" s="15" t="s">
        <v>28</v>
      </c>
      <c r="E624" s="19" t="s">
        <v>28</v>
      </c>
      <c r="F624" s="13">
        <v>1300.0</v>
      </c>
      <c r="G624" s="13">
        <v>325.0</v>
      </c>
      <c r="H624" s="19">
        <v>4028.0</v>
      </c>
      <c r="I624" s="19" t="s">
        <v>60</v>
      </c>
      <c r="J624" s="19" t="s">
        <v>80</v>
      </c>
      <c r="K624" s="19"/>
      <c r="L624" s="19"/>
      <c r="M624" s="19" t="s">
        <v>1340</v>
      </c>
      <c r="N624" s="19"/>
      <c r="O624" s="19" t="s">
        <v>40</v>
      </c>
      <c r="P624" s="19" t="s">
        <v>41</v>
      </c>
      <c r="Q624" s="19" t="s">
        <v>43</v>
      </c>
      <c r="R624" s="19" t="s">
        <v>44</v>
      </c>
      <c r="S624" s="19" t="s">
        <v>68</v>
      </c>
      <c r="T624" s="19"/>
      <c r="U624" s="19"/>
      <c r="V624" s="19"/>
      <c r="W624" s="19"/>
      <c r="X624" s="19"/>
      <c r="Y624" s="19"/>
    </row>
    <row r="625" ht="56.25" customHeight="1">
      <c r="A625" s="13" t="s">
        <v>1030</v>
      </c>
      <c r="B625" s="41" t="str">
        <f>image("https://i.imgur.com/9cC5mIu.png")</f>
        <v/>
      </c>
      <c r="C625" s="25" t="s">
        <v>40</v>
      </c>
      <c r="D625" s="42" t="s">
        <v>50</v>
      </c>
      <c r="E625" s="42" t="s">
        <v>28</v>
      </c>
      <c r="F625" s="38" t="s">
        <v>51</v>
      </c>
      <c r="G625" s="38">
        <v>720.0</v>
      </c>
      <c r="H625" s="19">
        <v>5437.0</v>
      </c>
      <c r="I625" s="19" t="s">
        <v>36</v>
      </c>
      <c r="J625" s="19"/>
      <c r="K625" s="19"/>
      <c r="L625" s="19"/>
      <c r="M625" s="19" t="s">
        <v>1340</v>
      </c>
      <c r="N625" s="19"/>
      <c r="O625" s="19" t="s">
        <v>40</v>
      </c>
      <c r="P625" s="19" t="s">
        <v>41</v>
      </c>
      <c r="Q625" s="19" t="s">
        <v>54</v>
      </c>
      <c r="R625" s="19" t="s">
        <v>55</v>
      </c>
      <c r="S625" s="19"/>
      <c r="T625" s="19"/>
      <c r="U625" s="19"/>
      <c r="V625" s="19"/>
      <c r="W625" s="19"/>
      <c r="X625" s="19"/>
      <c r="Y625" s="19"/>
    </row>
    <row r="626" ht="56.25" customHeight="1">
      <c r="A626" s="13" t="s">
        <v>1033</v>
      </c>
      <c r="B626" s="41" t="str">
        <f>image("https://i.imgur.com/kOeFaAt.png")</f>
        <v/>
      </c>
      <c r="C626" s="25" t="s">
        <v>40</v>
      </c>
      <c r="D626" s="42" t="s">
        <v>50</v>
      </c>
      <c r="E626" s="42" t="s">
        <v>28</v>
      </c>
      <c r="F626" s="38" t="s">
        <v>51</v>
      </c>
      <c r="G626" s="38">
        <v>21750.0</v>
      </c>
      <c r="H626" s="19">
        <v>5958.0</v>
      </c>
      <c r="I626" s="19" t="s">
        <v>62</v>
      </c>
      <c r="J626" s="19"/>
      <c r="K626" s="19"/>
      <c r="L626" s="19"/>
      <c r="M626" s="19" t="s">
        <v>1340</v>
      </c>
      <c r="N626" s="19"/>
      <c r="O626" s="19" t="s">
        <v>40</v>
      </c>
      <c r="P626" s="19" t="s">
        <v>41</v>
      </c>
      <c r="Q626" s="19" t="s">
        <v>54</v>
      </c>
      <c r="R626" s="19" t="s">
        <v>55</v>
      </c>
      <c r="S626" s="19"/>
      <c r="T626" s="19"/>
      <c r="U626" s="19"/>
      <c r="V626" s="19"/>
      <c r="W626" s="19"/>
      <c r="X626" s="19"/>
      <c r="Y626" s="19"/>
    </row>
    <row r="627" ht="56.25" customHeight="1">
      <c r="A627" s="13" t="s">
        <v>1036</v>
      </c>
      <c r="B627" s="41" t="str">
        <f>image("https://i.imgur.com/qQMgq4A.png")</f>
        <v/>
      </c>
      <c r="C627" s="25" t="s">
        <v>40</v>
      </c>
      <c r="D627" s="42" t="s">
        <v>50</v>
      </c>
      <c r="E627" s="42" t="s">
        <v>28</v>
      </c>
      <c r="F627" s="38" t="s">
        <v>51</v>
      </c>
      <c r="G627" s="38">
        <v>4720.0</v>
      </c>
      <c r="H627" s="19">
        <v>4376.0</v>
      </c>
      <c r="I627" s="19" t="s">
        <v>84</v>
      </c>
      <c r="J627" s="19"/>
      <c r="K627" s="19"/>
      <c r="L627" s="19"/>
      <c r="M627" s="19" t="s">
        <v>1340</v>
      </c>
      <c r="N627" s="19"/>
      <c r="O627" s="19" t="s">
        <v>40</v>
      </c>
      <c r="P627" s="19" t="s">
        <v>41</v>
      </c>
      <c r="Q627" s="19" t="s">
        <v>54</v>
      </c>
      <c r="R627" s="19" t="s">
        <v>55</v>
      </c>
      <c r="S627" s="19"/>
      <c r="T627" s="19"/>
      <c r="U627" s="19"/>
      <c r="V627" s="19"/>
      <c r="W627" s="19"/>
      <c r="X627" s="19"/>
      <c r="Y627" s="19"/>
    </row>
    <row r="628" ht="56.25" customHeight="1">
      <c r="A628" s="13" t="s">
        <v>1039</v>
      </c>
      <c r="B628" s="41" t="str">
        <f>image("https://i.imgur.com/Ywi0W8S.png")</f>
        <v/>
      </c>
      <c r="C628" s="22" t="str">
        <f>HYPERLINK("https://imgur.com/a/efocZnB","Yes")</f>
        <v>Yes</v>
      </c>
      <c r="D628" s="42" t="s">
        <v>28</v>
      </c>
      <c r="E628" s="42" t="s">
        <v>28</v>
      </c>
      <c r="F628" s="38">
        <v>1800.0</v>
      </c>
      <c r="G628" s="38">
        <v>450.0</v>
      </c>
      <c r="H628" s="19">
        <v>4017.0</v>
      </c>
      <c r="I628" s="19" t="s">
        <v>183</v>
      </c>
      <c r="J628" s="19"/>
      <c r="K628" s="19"/>
      <c r="L628" s="19" t="s">
        <v>184</v>
      </c>
      <c r="M628" s="19" t="s">
        <v>1350</v>
      </c>
      <c r="N628" s="19">
        <v>1.0</v>
      </c>
      <c r="O628" s="19" t="s">
        <v>53</v>
      </c>
      <c r="P628" s="19" t="s">
        <v>41</v>
      </c>
      <c r="Q628" s="19" t="s">
        <v>43</v>
      </c>
      <c r="R628" s="19" t="s">
        <v>44</v>
      </c>
      <c r="S628" s="19" t="s">
        <v>68</v>
      </c>
      <c r="T628" s="19"/>
      <c r="U628" s="19"/>
      <c r="V628" s="19"/>
      <c r="W628" s="19"/>
      <c r="X628" s="19"/>
      <c r="Y628" s="19"/>
    </row>
    <row r="629" ht="56.25" customHeight="1">
      <c r="A629" s="13" t="s">
        <v>1046</v>
      </c>
      <c r="B629" s="41" t="str">
        <f>image("https://i.imgur.com/zjE03I1.png")</f>
        <v/>
      </c>
      <c r="C629" s="25" t="s">
        <v>40</v>
      </c>
      <c r="D629" s="42" t="s">
        <v>28</v>
      </c>
      <c r="E629" s="42" t="s">
        <v>28</v>
      </c>
      <c r="F629" s="43" t="s">
        <v>51</v>
      </c>
      <c r="G629" s="38">
        <v>425.0</v>
      </c>
      <c r="H629" s="19">
        <v>7036.0</v>
      </c>
      <c r="I629" s="19" t="s">
        <v>60</v>
      </c>
      <c r="J629" s="19" t="s">
        <v>62</v>
      </c>
      <c r="K629" s="19"/>
      <c r="L629" s="19"/>
      <c r="M629" s="19" t="s">
        <v>1340</v>
      </c>
      <c r="N629" s="19"/>
      <c r="O629" s="19" t="s">
        <v>40</v>
      </c>
      <c r="P629" s="19" t="s">
        <v>41</v>
      </c>
      <c r="Q629" s="19" t="s">
        <v>54</v>
      </c>
      <c r="R629" s="19" t="s">
        <v>247</v>
      </c>
      <c r="S629" s="19"/>
      <c r="T629" s="19"/>
      <c r="U629" s="19"/>
      <c r="V629" s="19"/>
      <c r="W629" s="19"/>
      <c r="X629" s="19"/>
      <c r="Y629" s="19"/>
    </row>
    <row r="630" ht="56.25" customHeight="1">
      <c r="A630" s="13" t="s">
        <v>1048</v>
      </c>
      <c r="B630" s="41" t="str">
        <f>image("https://i.imgur.com/X7zjZ3B.png")</f>
        <v/>
      </c>
      <c r="C630" s="22" t="str">
        <f>HYPERLINK("https://imgur.com/a/PQiDOuZ","Yes")</f>
        <v>Yes</v>
      </c>
      <c r="D630" s="42" t="s">
        <v>28</v>
      </c>
      <c r="E630" s="42" t="s">
        <v>28</v>
      </c>
      <c r="F630" s="38">
        <v>540.0</v>
      </c>
      <c r="G630" s="38">
        <v>135.0</v>
      </c>
      <c r="H630" s="19">
        <v>4738.0</v>
      </c>
      <c r="I630" s="19" t="s">
        <v>346</v>
      </c>
      <c r="J630" s="19"/>
      <c r="K630" s="19"/>
      <c r="L630" s="19"/>
      <c r="M630" s="19" t="s">
        <v>1340</v>
      </c>
      <c r="N630" s="19">
        <v>1.0</v>
      </c>
      <c r="O630" s="19" t="s">
        <v>40</v>
      </c>
      <c r="P630" s="19" t="s">
        <v>41</v>
      </c>
      <c r="Q630" s="19" t="s">
        <v>43</v>
      </c>
      <c r="R630" s="19" t="s">
        <v>44</v>
      </c>
      <c r="S630" s="19" t="s">
        <v>63</v>
      </c>
      <c r="T630" s="19"/>
      <c r="U630" s="19"/>
      <c r="V630" s="19"/>
      <c r="W630" s="19"/>
      <c r="X630" s="19"/>
      <c r="Y630" s="19"/>
    </row>
    <row r="631" ht="56.25" customHeight="1">
      <c r="A631" s="13" t="s">
        <v>1052</v>
      </c>
      <c r="B631" s="41" t="str">
        <f>image("https://i.imgur.com/kCrrmhC.png")</f>
        <v/>
      </c>
      <c r="C631" s="25" t="s">
        <v>40</v>
      </c>
      <c r="D631" s="42" t="s">
        <v>50</v>
      </c>
      <c r="E631" s="42" t="s">
        <v>28</v>
      </c>
      <c r="F631" s="38" t="s">
        <v>51</v>
      </c>
      <c r="G631" s="38">
        <v>1200.0</v>
      </c>
      <c r="H631" s="19">
        <v>5748.0</v>
      </c>
      <c r="I631" s="19" t="s">
        <v>36</v>
      </c>
      <c r="J631" s="19"/>
      <c r="K631" s="19"/>
      <c r="L631" s="19"/>
      <c r="M631" s="19" t="s">
        <v>1340</v>
      </c>
      <c r="N631" s="19"/>
      <c r="O631" s="19" t="s">
        <v>40</v>
      </c>
      <c r="P631" s="19" t="s">
        <v>41</v>
      </c>
      <c r="Q631" s="19" t="s">
        <v>54</v>
      </c>
      <c r="R631" s="19" t="s">
        <v>55</v>
      </c>
      <c r="S631" s="19"/>
      <c r="T631" s="19"/>
      <c r="U631" s="19"/>
      <c r="V631" s="19"/>
      <c r="W631" s="19"/>
      <c r="X631" s="19"/>
      <c r="Y631" s="19"/>
    </row>
    <row r="632" ht="56.25" customHeight="1">
      <c r="A632" s="13" t="s">
        <v>1055</v>
      </c>
      <c r="B632" s="41" t="str">
        <f>image("https://i.imgur.com/Qc5ysxt.png")</f>
        <v/>
      </c>
      <c r="C632" s="25" t="s">
        <v>40</v>
      </c>
      <c r="D632" s="42" t="s">
        <v>50</v>
      </c>
      <c r="E632" s="42" t="s">
        <v>28</v>
      </c>
      <c r="F632" s="38" t="s">
        <v>51</v>
      </c>
      <c r="G632" s="38">
        <v>1600.0</v>
      </c>
      <c r="H632" s="19">
        <v>4375.0</v>
      </c>
      <c r="I632" s="19" t="s">
        <v>745</v>
      </c>
      <c r="J632" s="19" t="s">
        <v>36</v>
      </c>
      <c r="K632" s="19"/>
      <c r="L632" s="19"/>
      <c r="M632" s="19" t="s">
        <v>1340</v>
      </c>
      <c r="N632" s="19"/>
      <c r="O632" s="19" t="s">
        <v>40</v>
      </c>
      <c r="P632" s="19" t="s">
        <v>41</v>
      </c>
      <c r="Q632" s="19" t="s">
        <v>54</v>
      </c>
      <c r="R632" s="19" t="s">
        <v>55</v>
      </c>
      <c r="S632" s="19" t="s">
        <v>1057</v>
      </c>
      <c r="T632" s="19"/>
      <c r="U632" s="19"/>
      <c r="V632" s="19"/>
      <c r="W632" s="19"/>
      <c r="X632" s="19"/>
      <c r="Y632" s="19"/>
    </row>
    <row r="633" ht="56.25" customHeight="1">
      <c r="A633" s="13" t="s">
        <v>1059</v>
      </c>
      <c r="B633" s="41" t="str">
        <f>image("https://i.imgur.com/OVQVjrn.png")</f>
        <v/>
      </c>
      <c r="C633" s="22" t="str">
        <f>HYPERLINK("https://imgur.com/a/Jh4Dkc2","Yes")</f>
        <v>Yes</v>
      </c>
      <c r="D633" s="44" t="s">
        <v>28</v>
      </c>
      <c r="E633" s="44" t="s">
        <v>28</v>
      </c>
      <c r="F633" s="38">
        <v>360.0</v>
      </c>
      <c r="G633" s="38">
        <v>90.0</v>
      </c>
      <c r="H633" s="19">
        <v>5310.0</v>
      </c>
      <c r="I633" s="19" t="s">
        <v>113</v>
      </c>
      <c r="J633" s="19" t="s">
        <v>346</v>
      </c>
      <c r="K633" s="19"/>
      <c r="L633" s="19"/>
      <c r="M633" s="19" t="s">
        <v>1340</v>
      </c>
      <c r="N633" s="19">
        <v>1.0</v>
      </c>
      <c r="O633" s="19" t="s">
        <v>40</v>
      </c>
      <c r="P633" s="19" t="s">
        <v>41</v>
      </c>
      <c r="Q633" s="19" t="s">
        <v>54</v>
      </c>
      <c r="R633" s="19" t="s">
        <v>264</v>
      </c>
      <c r="S633" s="19"/>
      <c r="T633" s="19"/>
      <c r="U633" s="19"/>
      <c r="V633" s="19"/>
      <c r="W633" s="19"/>
      <c r="X633" s="19"/>
      <c r="Y633" s="19"/>
    </row>
    <row r="634" ht="56.25" customHeight="1">
      <c r="A634" s="13" t="s">
        <v>1074</v>
      </c>
      <c r="B634" s="41" t="str">
        <f>image("https://i.imgur.com/7N0CLYF.png")</f>
        <v/>
      </c>
      <c r="C634" s="25" t="s">
        <v>40</v>
      </c>
      <c r="D634" s="44" t="s">
        <v>28</v>
      </c>
      <c r="E634" s="44" t="s">
        <v>28</v>
      </c>
      <c r="F634" s="38" t="s">
        <v>51</v>
      </c>
      <c r="G634" s="38">
        <v>25.0</v>
      </c>
      <c r="H634" s="19">
        <v>3817.0</v>
      </c>
      <c r="I634" s="19" t="s">
        <v>90</v>
      </c>
      <c r="J634" s="19" t="s">
        <v>346</v>
      </c>
      <c r="K634" s="19"/>
      <c r="L634" s="19"/>
      <c r="M634" s="19" t="s">
        <v>1384</v>
      </c>
      <c r="N634" s="19"/>
      <c r="O634" s="19" t="s">
        <v>40</v>
      </c>
      <c r="P634" s="19" t="s">
        <v>41</v>
      </c>
      <c r="Q634" s="19" t="s">
        <v>54</v>
      </c>
      <c r="R634" s="19" t="s">
        <v>264</v>
      </c>
      <c r="S634" s="19"/>
      <c r="T634" s="19"/>
      <c r="U634" s="19"/>
      <c r="V634" s="19"/>
      <c r="W634" s="19"/>
      <c r="X634" s="19"/>
      <c r="Y634" s="19"/>
    </row>
    <row r="635" ht="56.25" customHeight="1">
      <c r="A635" s="13" t="s">
        <v>1076</v>
      </c>
      <c r="B635" s="41" t="str">
        <f>image("https://i.imgur.com/y6nVkjr.png")</f>
        <v/>
      </c>
      <c r="C635" s="22" t="str">
        <f>HYPERLINK("https://imgur.com/a/7OgY3B0","Yes")</f>
        <v>Yes</v>
      </c>
      <c r="D635" s="42" t="s">
        <v>50</v>
      </c>
      <c r="E635" s="42" t="s">
        <v>50</v>
      </c>
      <c r="F635" s="38" t="s">
        <v>51</v>
      </c>
      <c r="G635" s="38">
        <v>5000.0</v>
      </c>
      <c r="H635" s="19">
        <v>6827.0</v>
      </c>
      <c r="I635" s="19" t="s">
        <v>269</v>
      </c>
      <c r="J635" s="19" t="s">
        <v>36</v>
      </c>
      <c r="K635" s="19"/>
      <c r="L635" s="19"/>
      <c r="M635" s="19" t="s">
        <v>1384</v>
      </c>
      <c r="N635" s="19">
        <v>7.0</v>
      </c>
      <c r="O635" s="19" t="s">
        <v>53</v>
      </c>
      <c r="P635" s="19" t="s">
        <v>365</v>
      </c>
      <c r="Q635" s="19" t="s">
        <v>54</v>
      </c>
      <c r="R635" s="19" t="s">
        <v>55</v>
      </c>
      <c r="S635" s="19"/>
      <c r="T635" s="19"/>
      <c r="U635" s="19"/>
      <c r="V635" s="19"/>
      <c r="W635" s="19"/>
      <c r="X635" s="19"/>
      <c r="Y635" s="19"/>
    </row>
    <row r="636" ht="56.25" customHeight="1">
      <c r="A636" s="13" t="s">
        <v>1091</v>
      </c>
      <c r="B636" s="41" t="str">
        <f>image("https://i.imgur.com/j0aiTyY.png")</f>
        <v/>
      </c>
      <c r="C636" s="22" t="str">
        <f>HYPERLINK("https://imgur.com/a/HVus0ea","Yes")</f>
        <v>Yes</v>
      </c>
      <c r="D636" s="42" t="s">
        <v>28</v>
      </c>
      <c r="E636" s="42" t="s">
        <v>28</v>
      </c>
      <c r="F636" s="38">
        <v>2300.0</v>
      </c>
      <c r="G636" s="38">
        <v>575.0</v>
      </c>
      <c r="H636" s="19">
        <v>7190.0</v>
      </c>
      <c r="I636" s="19" t="s">
        <v>90</v>
      </c>
      <c r="J636" s="19" t="s">
        <v>67</v>
      </c>
      <c r="K636" s="19"/>
      <c r="L636" s="19"/>
      <c r="M636" s="19" t="s">
        <v>1340</v>
      </c>
      <c r="N636" s="19">
        <v>1.0</v>
      </c>
      <c r="O636" s="19" t="s">
        <v>53</v>
      </c>
      <c r="P636" s="19" t="s">
        <v>689</v>
      </c>
      <c r="Q636" s="19" t="s">
        <v>43</v>
      </c>
      <c r="R636" s="19" t="s">
        <v>44</v>
      </c>
      <c r="S636" s="19" t="s">
        <v>68</v>
      </c>
      <c r="T636" s="19"/>
      <c r="U636" s="19"/>
      <c r="V636" s="19"/>
      <c r="W636" s="19"/>
      <c r="X636" s="19"/>
      <c r="Y636" s="19"/>
    </row>
    <row r="637" ht="56.25" customHeight="1">
      <c r="A637" s="13" t="s">
        <v>1106</v>
      </c>
      <c r="B637" s="41" t="str">
        <f>image("https://i.imgur.com/qhfxYc2.png")</f>
        <v/>
      </c>
      <c r="C637" s="25" t="s">
        <v>40</v>
      </c>
      <c r="D637" s="42" t="s">
        <v>28</v>
      </c>
      <c r="E637" s="42" t="s">
        <v>28</v>
      </c>
      <c r="F637" s="38">
        <v>1000.0</v>
      </c>
      <c r="G637" s="38">
        <v>250.0</v>
      </c>
      <c r="H637" s="19">
        <v>1165.0</v>
      </c>
      <c r="I637" s="19" t="s">
        <v>90</v>
      </c>
      <c r="J637" s="19"/>
      <c r="K637" s="19"/>
      <c r="L637" s="19"/>
      <c r="M637" s="19" t="s">
        <v>1340</v>
      </c>
      <c r="N637" s="19"/>
      <c r="O637" s="19" t="s">
        <v>53</v>
      </c>
      <c r="P637" s="19" t="s">
        <v>41</v>
      </c>
      <c r="Q637" s="19" t="s">
        <v>43</v>
      </c>
      <c r="R637" s="19" t="s">
        <v>44</v>
      </c>
      <c r="S637" s="19" t="s">
        <v>68</v>
      </c>
      <c r="T637" s="19"/>
      <c r="U637" s="19"/>
      <c r="V637" s="19"/>
      <c r="W637" s="19"/>
      <c r="X637" s="19"/>
      <c r="Y637" s="19"/>
    </row>
    <row r="638" ht="56.25" customHeight="1">
      <c r="A638" s="13" t="s">
        <v>1109</v>
      </c>
      <c r="B638" s="41" t="str">
        <f>image("https://i.imgur.com/CpSwJ4x.png")</f>
        <v/>
      </c>
      <c r="C638" s="22" t="str">
        <f>HYPERLINK("https://imgur.com/a/8vtvLzR","Yes")</f>
        <v>Yes</v>
      </c>
      <c r="D638" s="42" t="s">
        <v>28</v>
      </c>
      <c r="E638" s="42" t="s">
        <v>28</v>
      </c>
      <c r="F638" s="38">
        <v>340.0</v>
      </c>
      <c r="G638" s="38">
        <v>85.0</v>
      </c>
      <c r="H638" s="19">
        <v>3471.0</v>
      </c>
      <c r="I638" s="19" t="s">
        <v>60</v>
      </c>
      <c r="J638" s="19" t="s">
        <v>90</v>
      </c>
      <c r="K638" s="19"/>
      <c r="L638" s="19"/>
      <c r="M638" s="19" t="s">
        <v>1340</v>
      </c>
      <c r="N638" s="19">
        <v>1.0</v>
      </c>
      <c r="O638" s="19" t="s">
        <v>53</v>
      </c>
      <c r="P638" s="19" t="s">
        <v>41</v>
      </c>
      <c r="Q638" s="19" t="s">
        <v>43</v>
      </c>
      <c r="R638" s="19" t="s">
        <v>44</v>
      </c>
      <c r="S638" s="19" t="s">
        <v>68</v>
      </c>
      <c r="T638" s="19"/>
      <c r="U638" s="19"/>
      <c r="V638" s="19"/>
      <c r="W638" s="19"/>
      <c r="X638" s="19"/>
      <c r="Y638" s="19"/>
    </row>
    <row r="639" ht="56.25" customHeight="1">
      <c r="A639" s="13" t="s">
        <v>1119</v>
      </c>
      <c r="B639" s="41" t="str">
        <f>image("https://i.imgur.com/PNiJ5UP.png")</f>
        <v/>
      </c>
      <c r="C639" s="22" t="str">
        <f>HYPERLINK("https://imgur.com/a/esQ7OPw","Yes")</f>
        <v>Yes</v>
      </c>
      <c r="D639" s="42" t="s">
        <v>28</v>
      </c>
      <c r="E639" s="42" t="s">
        <v>28</v>
      </c>
      <c r="F639" s="38">
        <v>880.0</v>
      </c>
      <c r="G639" s="38">
        <v>220.0</v>
      </c>
      <c r="H639" s="19">
        <v>704.0</v>
      </c>
      <c r="I639" s="19" t="s">
        <v>60</v>
      </c>
      <c r="J639" s="19"/>
      <c r="K639" s="19"/>
      <c r="L639" s="19"/>
      <c r="M639" s="19" t="s">
        <v>1350</v>
      </c>
      <c r="N639" s="19">
        <v>1.0</v>
      </c>
      <c r="O639" s="19" t="s">
        <v>40</v>
      </c>
      <c r="P639" s="19" t="s">
        <v>41</v>
      </c>
      <c r="Q639" s="19" t="s">
        <v>43</v>
      </c>
      <c r="R639" s="19" t="s">
        <v>44</v>
      </c>
      <c r="S639" s="19" t="s">
        <v>63</v>
      </c>
      <c r="T639" s="19"/>
      <c r="U639" s="19"/>
      <c r="V639" s="19"/>
      <c r="W639" s="19"/>
      <c r="X639" s="19"/>
      <c r="Y639" s="19"/>
    </row>
    <row r="640" ht="56.25" customHeight="1">
      <c r="A640" s="13" t="s">
        <v>1139</v>
      </c>
      <c r="B640" s="41" t="str">
        <f>image("https://i.imgur.com/CNnE98g.png")</f>
        <v/>
      </c>
      <c r="C640" s="22" t="str">
        <f>HYPERLINK("https://imgur.com/a/3ZtGAEH","Yes")</f>
        <v>Yes</v>
      </c>
      <c r="D640" s="42" t="s">
        <v>28</v>
      </c>
      <c r="E640" s="42" t="s">
        <v>28</v>
      </c>
      <c r="F640" s="38">
        <v>4200.0</v>
      </c>
      <c r="G640" s="38">
        <v>1050.0</v>
      </c>
      <c r="H640" s="19">
        <v>4756.0</v>
      </c>
      <c r="I640" s="19" t="s">
        <v>113</v>
      </c>
      <c r="J640" s="19"/>
      <c r="K640" s="19"/>
      <c r="L640" s="19" t="s">
        <v>1140</v>
      </c>
      <c r="M640" s="19" t="s">
        <v>1355</v>
      </c>
      <c r="N640" s="19">
        <v>2.0</v>
      </c>
      <c r="O640" s="19" t="s">
        <v>53</v>
      </c>
      <c r="P640" s="19" t="s">
        <v>41</v>
      </c>
      <c r="Q640" s="19" t="s">
        <v>43</v>
      </c>
      <c r="R640" s="19" t="s">
        <v>44</v>
      </c>
      <c r="S640" s="19" t="s">
        <v>68</v>
      </c>
      <c r="T640" s="19"/>
      <c r="U640" s="19"/>
      <c r="V640" s="19"/>
      <c r="W640" s="19"/>
      <c r="X640" s="19"/>
      <c r="Y640" s="19"/>
    </row>
    <row r="641" ht="56.25" customHeight="1">
      <c r="A641" s="13" t="s">
        <v>1154</v>
      </c>
      <c r="B641" s="41" t="str">
        <f>image("https://i.imgur.com/qrGNDkg.png")</f>
        <v/>
      </c>
      <c r="C641" s="22" t="str">
        <f>HYPERLINK("https://imgur.com/a/UElYZQs","Yes")</f>
        <v>Yes</v>
      </c>
      <c r="D641" s="42" t="s">
        <v>50</v>
      </c>
      <c r="E641" s="42" t="s">
        <v>50</v>
      </c>
      <c r="F641" s="38" t="s">
        <v>51</v>
      </c>
      <c r="G641" s="38">
        <v>400.0</v>
      </c>
      <c r="H641" s="19">
        <v>5718.0</v>
      </c>
      <c r="I641" s="19" t="s">
        <v>60</v>
      </c>
      <c r="J641" s="19" t="s">
        <v>113</v>
      </c>
      <c r="K641" s="19"/>
      <c r="L641" s="19"/>
      <c r="M641" s="19" t="s">
        <v>1340</v>
      </c>
      <c r="N641" s="19">
        <v>1.0</v>
      </c>
      <c r="O641" s="19" t="s">
        <v>40</v>
      </c>
      <c r="P641" s="19" t="s">
        <v>41</v>
      </c>
      <c r="Q641" s="19" t="s">
        <v>54</v>
      </c>
      <c r="R641" s="19" t="s">
        <v>55</v>
      </c>
      <c r="S641" s="19"/>
      <c r="T641" s="19"/>
      <c r="U641" s="19"/>
      <c r="V641" s="19"/>
      <c r="W641" s="19"/>
      <c r="X641" s="19"/>
      <c r="Y641" s="19"/>
    </row>
    <row r="642" ht="56.25" customHeight="1">
      <c r="A642" s="13" t="s">
        <v>1174</v>
      </c>
      <c r="B642" s="41" t="str">
        <f>image("https://i.imgur.com/a9YMndm.png")</f>
        <v/>
      </c>
      <c r="C642" s="25" t="s">
        <v>40</v>
      </c>
      <c r="D642" s="42" t="s">
        <v>50</v>
      </c>
      <c r="E642" s="42" t="s">
        <v>28</v>
      </c>
      <c r="F642" s="38" t="s">
        <v>51</v>
      </c>
      <c r="G642" s="38">
        <v>100.0</v>
      </c>
      <c r="H642" s="19">
        <v>4727.0</v>
      </c>
      <c r="I642" s="19" t="s">
        <v>60</v>
      </c>
      <c r="J642" s="19"/>
      <c r="K642" s="19"/>
      <c r="L642" s="19"/>
      <c r="M642" s="19" t="s">
        <v>1340</v>
      </c>
      <c r="N642" s="19"/>
      <c r="O642" s="19" t="s">
        <v>40</v>
      </c>
      <c r="P642" s="19" t="s">
        <v>41</v>
      </c>
      <c r="Q642" s="19" t="s">
        <v>54</v>
      </c>
      <c r="R642" s="19" t="s">
        <v>55</v>
      </c>
      <c r="S642" s="19"/>
      <c r="T642" s="19"/>
      <c r="U642" s="19"/>
      <c r="V642" s="19"/>
      <c r="W642" s="19"/>
      <c r="X642" s="19"/>
      <c r="Y642" s="19"/>
    </row>
    <row r="643" ht="56.25" customHeight="1">
      <c r="A643" s="13" t="s">
        <v>1177</v>
      </c>
      <c r="B643" s="41" t="str">
        <f>image("https://i.imgur.com/DIx7qBc.png")</f>
        <v/>
      </c>
      <c r="C643" s="22" t="str">
        <f>HYPERLINK("https://imgur.com/a/Ru7ZOsI","Yes")</f>
        <v>Yes</v>
      </c>
      <c r="D643" s="42" t="s">
        <v>50</v>
      </c>
      <c r="E643" s="42" t="s">
        <v>50</v>
      </c>
      <c r="F643" s="38" t="s">
        <v>51</v>
      </c>
      <c r="G643" s="38">
        <v>2030.0</v>
      </c>
      <c r="H643" s="19">
        <v>6075.0</v>
      </c>
      <c r="I643" s="19" t="s">
        <v>36</v>
      </c>
      <c r="J643" s="19"/>
      <c r="K643" s="19"/>
      <c r="L643" s="19"/>
      <c r="M643" s="19" t="s">
        <v>1350</v>
      </c>
      <c r="N643" s="19">
        <v>3.0</v>
      </c>
      <c r="O643" s="19" t="s">
        <v>53</v>
      </c>
      <c r="P643" s="19" t="s">
        <v>41</v>
      </c>
      <c r="Q643" s="19" t="s">
        <v>54</v>
      </c>
      <c r="R643" s="19" t="s">
        <v>55</v>
      </c>
      <c r="S643" s="19" t="s">
        <v>1181</v>
      </c>
      <c r="T643" s="19"/>
      <c r="U643" s="19"/>
      <c r="V643" s="19"/>
      <c r="W643" s="19"/>
      <c r="X643" s="19"/>
      <c r="Y643" s="19"/>
    </row>
    <row r="644" ht="56.25" customHeight="1">
      <c r="A644" s="13" t="s">
        <v>1186</v>
      </c>
      <c r="B644" s="41" t="str">
        <f>image("https://i.imgur.com/6aaX8Aw.png")</f>
        <v/>
      </c>
      <c r="C644" s="25" t="s">
        <v>40</v>
      </c>
      <c r="D644" s="42" t="s">
        <v>50</v>
      </c>
      <c r="E644" s="42" t="s">
        <v>28</v>
      </c>
      <c r="F644" s="38" t="s">
        <v>51</v>
      </c>
      <c r="G644" s="38">
        <v>720.0</v>
      </c>
      <c r="H644" s="19">
        <v>5670.0</v>
      </c>
      <c r="I644" s="19" t="s">
        <v>36</v>
      </c>
      <c r="J644" s="19"/>
      <c r="K644" s="19"/>
      <c r="L644" s="19"/>
      <c r="M644" s="19" t="s">
        <v>1340</v>
      </c>
      <c r="N644" s="19"/>
      <c r="O644" s="19" t="s">
        <v>40</v>
      </c>
      <c r="P644" s="19" t="s">
        <v>41</v>
      </c>
      <c r="Q644" s="19" t="s">
        <v>54</v>
      </c>
      <c r="R644" s="19" t="s">
        <v>55</v>
      </c>
      <c r="S644" s="19"/>
      <c r="T644" s="19"/>
      <c r="U644" s="19"/>
      <c r="V644" s="19"/>
      <c r="W644" s="19"/>
      <c r="X644" s="19"/>
      <c r="Y644" s="19"/>
    </row>
    <row r="645" ht="56.25" customHeight="1">
      <c r="A645" s="13" t="s">
        <v>1188</v>
      </c>
      <c r="B645" s="41" t="str">
        <f>image("https://i.imgur.com/6zeWQyY.png")</f>
        <v/>
      </c>
      <c r="C645" s="22" t="str">
        <f>HYPERLINK("https://imgur.com/a/qCgn3N5","Yes")</f>
        <v>Yes</v>
      </c>
      <c r="D645" s="42" t="s">
        <v>28</v>
      </c>
      <c r="E645" s="42" t="s">
        <v>28</v>
      </c>
      <c r="F645" s="38">
        <v>1200.0</v>
      </c>
      <c r="G645" s="38">
        <v>300.0</v>
      </c>
      <c r="H645" s="19">
        <v>957.0</v>
      </c>
      <c r="I645" s="19" t="s">
        <v>86</v>
      </c>
      <c r="J645" s="19" t="s">
        <v>37</v>
      </c>
      <c r="K645" s="19"/>
      <c r="L645" s="19"/>
      <c r="M645" s="19" t="s">
        <v>1340</v>
      </c>
      <c r="N645" s="19">
        <v>1.0</v>
      </c>
      <c r="O645" s="19" t="s">
        <v>53</v>
      </c>
      <c r="P645" s="19" t="s">
        <v>41</v>
      </c>
      <c r="Q645" s="19" t="s">
        <v>43</v>
      </c>
      <c r="R645" s="19" t="s">
        <v>44</v>
      </c>
      <c r="S645" s="19" t="s">
        <v>63</v>
      </c>
      <c r="T645" s="19"/>
      <c r="U645" s="19"/>
      <c r="V645" s="19"/>
      <c r="W645" s="19"/>
      <c r="X645" s="19"/>
      <c r="Y645" s="19"/>
    </row>
    <row r="646" ht="56.25" customHeight="1">
      <c r="A646" s="13" t="s">
        <v>1199</v>
      </c>
      <c r="B646" s="41" t="str">
        <f>image("https://i.imgur.com/Le2PFTe.png")</f>
        <v/>
      </c>
      <c r="C646" s="22" t="str">
        <f>HYPERLINK("https://imgur.com/a/6rppfuA","Yes")</f>
        <v>Yes</v>
      </c>
      <c r="D646" s="42" t="s">
        <v>28</v>
      </c>
      <c r="E646" s="42" t="s">
        <v>28</v>
      </c>
      <c r="F646" s="38">
        <v>690.0</v>
      </c>
      <c r="G646" s="43">
        <v>172.0</v>
      </c>
      <c r="H646" s="19">
        <v>1744.0</v>
      </c>
      <c r="I646" s="19" t="s">
        <v>61</v>
      </c>
      <c r="J646" s="19" t="s">
        <v>80</v>
      </c>
      <c r="K646" s="19"/>
      <c r="L646" s="19"/>
      <c r="M646" s="19" t="s">
        <v>1340</v>
      </c>
      <c r="N646" s="19">
        <v>1.0</v>
      </c>
      <c r="O646" s="19" t="s">
        <v>53</v>
      </c>
      <c r="P646" s="19" t="s">
        <v>41</v>
      </c>
      <c r="Q646" s="19" t="s">
        <v>43</v>
      </c>
      <c r="R646" s="19" t="s">
        <v>44</v>
      </c>
      <c r="S646" s="19" t="s">
        <v>63</v>
      </c>
      <c r="T646" s="19"/>
      <c r="U646" s="19"/>
      <c r="V646" s="19"/>
      <c r="W646" s="19"/>
      <c r="X646" s="19"/>
      <c r="Y646" s="19"/>
    </row>
    <row r="647" ht="56.25" customHeight="1">
      <c r="A647" s="13" t="s">
        <v>1210</v>
      </c>
      <c r="B647" s="41" t="str">
        <f>image("https://i.imgur.com/g70dUrG.png")</f>
        <v/>
      </c>
      <c r="C647" s="22" t="str">
        <f>HYPERLINK("https://imgur.com/a/FqgWjIt","Yes")</f>
        <v>Yes</v>
      </c>
      <c r="D647" s="42" t="s">
        <v>28</v>
      </c>
      <c r="E647" s="42" t="s">
        <v>28</v>
      </c>
      <c r="F647" s="38">
        <v>1400.0</v>
      </c>
      <c r="G647" s="38">
        <v>350.0</v>
      </c>
      <c r="H647" s="19">
        <v>3431.0</v>
      </c>
      <c r="I647" s="19" t="s">
        <v>61</v>
      </c>
      <c r="J647" s="19" t="s">
        <v>80</v>
      </c>
      <c r="K647" s="19"/>
      <c r="L647" s="19"/>
      <c r="M647" s="19" t="s">
        <v>1340</v>
      </c>
      <c r="N647" s="19">
        <v>1.0</v>
      </c>
      <c r="O647" s="19" t="s">
        <v>53</v>
      </c>
      <c r="P647" s="19" t="s">
        <v>41</v>
      </c>
      <c r="Q647" s="19" t="s">
        <v>43</v>
      </c>
      <c r="R647" s="19" t="s">
        <v>44</v>
      </c>
      <c r="S647" s="19" t="s">
        <v>68</v>
      </c>
      <c r="T647" s="19"/>
      <c r="U647" s="19"/>
      <c r="V647" s="19"/>
      <c r="W647" s="19"/>
      <c r="X647" s="19"/>
      <c r="Y647" s="19"/>
    </row>
    <row r="648" ht="56.25" customHeight="1">
      <c r="A648" s="13" t="s">
        <v>1227</v>
      </c>
      <c r="B648" s="41" t="str">
        <f>image("https://i.imgur.com/xjgKxAg.png")</f>
        <v/>
      </c>
      <c r="C648" s="22" t="str">
        <f>HYPERLINK("https://imgur.com/a/ASeaJED","Yes")</f>
        <v>Yes</v>
      </c>
      <c r="D648" s="44" t="s">
        <v>28</v>
      </c>
      <c r="E648" s="44" t="s">
        <v>28</v>
      </c>
      <c r="F648" s="38">
        <v>800.0</v>
      </c>
      <c r="G648" s="38">
        <v>200.0</v>
      </c>
      <c r="H648" s="19">
        <v>5165.0</v>
      </c>
      <c r="I648" s="19" t="s">
        <v>346</v>
      </c>
      <c r="J648" s="19"/>
      <c r="K648" s="19"/>
      <c r="L648" s="19"/>
      <c r="M648" s="19" t="s">
        <v>1340</v>
      </c>
      <c r="N648" s="19">
        <v>1.0</v>
      </c>
      <c r="O648" s="19" t="s">
        <v>53</v>
      </c>
      <c r="P648" s="19" t="s">
        <v>164</v>
      </c>
      <c r="Q648" s="19" t="s">
        <v>43</v>
      </c>
      <c r="R648" s="19" t="s">
        <v>44</v>
      </c>
      <c r="S648" s="19" t="s">
        <v>63</v>
      </c>
      <c r="T648" s="19"/>
      <c r="U648" s="19"/>
      <c r="V648" s="19"/>
      <c r="W648" s="19"/>
      <c r="X648" s="19"/>
      <c r="Y648" s="19"/>
    </row>
    <row r="649" ht="56.25" customHeight="1">
      <c r="A649" s="13" t="s">
        <v>1239</v>
      </c>
      <c r="B649" s="41" t="str">
        <f>image("https://i.imgur.com/3AFGXN9.png")</f>
        <v/>
      </c>
      <c r="C649" s="22" t="str">
        <f>HYPERLINK("https://imgur.com/a/21wT0df","Yes")</f>
        <v>Yes</v>
      </c>
      <c r="D649" s="44" t="s">
        <v>28</v>
      </c>
      <c r="E649" s="44" t="s">
        <v>28</v>
      </c>
      <c r="F649" s="38">
        <v>1300.0</v>
      </c>
      <c r="G649" s="38">
        <v>325.0</v>
      </c>
      <c r="H649" s="19">
        <v>3987.0</v>
      </c>
      <c r="I649" s="19" t="s">
        <v>60</v>
      </c>
      <c r="J649" s="19"/>
      <c r="K649" s="19"/>
      <c r="L649" s="19"/>
      <c r="M649" s="19" t="s">
        <v>1340</v>
      </c>
      <c r="N649" s="19">
        <v>1.0</v>
      </c>
      <c r="O649" s="19" t="s">
        <v>53</v>
      </c>
      <c r="P649" s="19" t="s">
        <v>41</v>
      </c>
      <c r="Q649" s="19" t="s">
        <v>43</v>
      </c>
      <c r="R649" s="19" t="s">
        <v>44</v>
      </c>
      <c r="S649" s="19" t="s">
        <v>68</v>
      </c>
      <c r="T649" s="19"/>
      <c r="U649" s="19"/>
      <c r="V649" s="19"/>
      <c r="W649" s="19"/>
      <c r="X649" s="19"/>
      <c r="Y649" s="19"/>
    </row>
    <row r="650" ht="56.25" customHeight="1">
      <c r="A650" s="13" t="s">
        <v>1251</v>
      </c>
      <c r="B650" s="41" t="str">
        <f>image("https://i.imgur.com/YADhZjA.png")</f>
        <v/>
      </c>
      <c r="C650" s="22" t="str">
        <f>HYPERLINK("https://imgur.com/a/KLTJtOF","Yes")</f>
        <v>Yes</v>
      </c>
      <c r="D650" s="44" t="s">
        <v>28</v>
      </c>
      <c r="E650" s="44" t="s">
        <v>28</v>
      </c>
      <c r="F650" s="38">
        <v>1500.0</v>
      </c>
      <c r="G650" s="38">
        <v>375.0</v>
      </c>
      <c r="H650" s="19">
        <v>8417.0</v>
      </c>
      <c r="I650" s="19" t="s">
        <v>243</v>
      </c>
      <c r="J650" s="19"/>
      <c r="K650" s="19"/>
      <c r="L650" s="19"/>
      <c r="M650" s="19" t="s">
        <v>1384</v>
      </c>
      <c r="N650" s="19">
        <v>1.0</v>
      </c>
      <c r="O650" s="19" t="s">
        <v>40</v>
      </c>
      <c r="P650" s="19" t="s">
        <v>41</v>
      </c>
      <c r="Q650" s="19" t="s">
        <v>43</v>
      </c>
      <c r="R650" s="19" t="s">
        <v>44</v>
      </c>
      <c r="S650" s="19" t="s">
        <v>63</v>
      </c>
      <c r="T650" s="19"/>
      <c r="U650" s="19"/>
      <c r="V650" s="19"/>
      <c r="W650" s="19"/>
      <c r="X650" s="19"/>
      <c r="Y650" s="19"/>
    </row>
    <row r="651" ht="56.25" customHeight="1">
      <c r="A651" s="13" t="s">
        <v>1265</v>
      </c>
      <c r="B651" s="41" t="str">
        <f>image("https://i.imgur.com/HnI99Gm.png")</f>
        <v/>
      </c>
      <c r="C651" s="22" t="str">
        <f>HYPERLINK("https://imgur.com/a/eewIGID","Yes")</f>
        <v>Yes</v>
      </c>
      <c r="D651" s="42" t="s">
        <v>28</v>
      </c>
      <c r="E651" s="42" t="s">
        <v>28</v>
      </c>
      <c r="F651" s="38">
        <v>8900.0</v>
      </c>
      <c r="G651" s="38">
        <v>2225.0</v>
      </c>
      <c r="H651" s="19">
        <v>3986.0</v>
      </c>
      <c r="I651" s="19" t="s">
        <v>60</v>
      </c>
      <c r="J651" s="19"/>
      <c r="K651" s="19"/>
      <c r="L651" s="19"/>
      <c r="M651" s="19" t="s">
        <v>1340</v>
      </c>
      <c r="N651" s="19">
        <v>3.0</v>
      </c>
      <c r="O651" s="19" t="s">
        <v>53</v>
      </c>
      <c r="P651" s="19" t="s">
        <v>215</v>
      </c>
      <c r="Q651" s="19" t="s">
        <v>43</v>
      </c>
      <c r="R651" s="19" t="s">
        <v>44</v>
      </c>
      <c r="S651" s="19" t="s">
        <v>65</v>
      </c>
      <c r="T651" s="19"/>
      <c r="U651" s="19"/>
      <c r="V651" s="19"/>
      <c r="W651" s="19"/>
      <c r="X651" s="19"/>
      <c r="Y651" s="19"/>
    </row>
    <row r="652" ht="56.25" customHeight="1">
      <c r="A652" s="13" t="s">
        <v>1280</v>
      </c>
      <c r="B652" s="41" t="str">
        <f>image("https://i.imgur.com/4dBaXkk.png")</f>
        <v/>
      </c>
      <c r="C652" s="22" t="str">
        <f>HYPERLINK("https://imgur.com/a/C0kFKx9","Yes")</f>
        <v>Yes</v>
      </c>
      <c r="D652" s="42" t="s">
        <v>28</v>
      </c>
      <c r="E652" s="42" t="s">
        <v>28</v>
      </c>
      <c r="F652" s="38">
        <v>22000.0</v>
      </c>
      <c r="G652" s="38">
        <v>5500.0</v>
      </c>
      <c r="H652" s="19">
        <v>3428.0</v>
      </c>
      <c r="I652" s="19" t="s">
        <v>60</v>
      </c>
      <c r="J652" s="19"/>
      <c r="K652" s="19"/>
      <c r="L652" s="19"/>
      <c r="M652" s="19" t="s">
        <v>1384</v>
      </c>
      <c r="N652" s="19">
        <v>7.0</v>
      </c>
      <c r="O652" s="19" t="s">
        <v>53</v>
      </c>
      <c r="P652" s="19" t="s">
        <v>215</v>
      </c>
      <c r="Q652" s="19" t="s">
        <v>43</v>
      </c>
      <c r="R652" s="19" t="s">
        <v>44</v>
      </c>
      <c r="S652" s="19" t="s">
        <v>65</v>
      </c>
      <c r="T652" s="19"/>
      <c r="U652" s="19"/>
      <c r="V652" s="19"/>
      <c r="W652" s="19"/>
      <c r="X652" s="19"/>
      <c r="Y652" s="19"/>
    </row>
    <row r="653" ht="56.25" customHeight="1">
      <c r="A653" s="13" t="s">
        <v>1290</v>
      </c>
      <c r="B653" s="41" t="str">
        <f>image("https://i.imgur.com/Ka1fwPz.png")</f>
        <v/>
      </c>
      <c r="C653" s="25" t="s">
        <v>40</v>
      </c>
      <c r="D653" s="44" t="s">
        <v>28</v>
      </c>
      <c r="E653" s="44" t="s">
        <v>28</v>
      </c>
      <c r="F653" s="38">
        <v>2500.0</v>
      </c>
      <c r="G653" s="38">
        <v>625.0</v>
      </c>
      <c r="H653" s="19">
        <v>11100.0</v>
      </c>
      <c r="I653" s="19" t="s">
        <v>90</v>
      </c>
      <c r="J653" s="19"/>
      <c r="K653" s="19"/>
      <c r="L653" s="19"/>
      <c r="M653" s="19" t="s">
        <v>1340</v>
      </c>
      <c r="N653" s="19"/>
      <c r="O653" s="19" t="s">
        <v>40</v>
      </c>
      <c r="P653" s="19" t="s">
        <v>41</v>
      </c>
      <c r="Q653" s="19" t="s">
        <v>43</v>
      </c>
      <c r="R653" s="19" t="s">
        <v>44</v>
      </c>
      <c r="S653" s="19" t="s">
        <v>68</v>
      </c>
      <c r="T653" s="19"/>
      <c r="U653" s="19"/>
      <c r="V653" s="19"/>
      <c r="W653" s="19"/>
      <c r="X653" s="19"/>
      <c r="Y653" s="19"/>
    </row>
    <row r="654" ht="56.25" customHeight="1">
      <c r="A654" s="13" t="s">
        <v>1295</v>
      </c>
      <c r="B654" s="41" t="str">
        <f>image("https://i.imgur.com/5ODvkTv.png")</f>
        <v/>
      </c>
      <c r="C654" s="25" t="s">
        <v>40</v>
      </c>
      <c r="D654" s="42" t="s">
        <v>50</v>
      </c>
      <c r="E654" s="42" t="s">
        <v>28</v>
      </c>
      <c r="F654" s="38" t="s">
        <v>51</v>
      </c>
      <c r="G654" s="38">
        <v>720.0</v>
      </c>
      <c r="H654" s="19">
        <v>5436.0</v>
      </c>
      <c r="I654" s="19" t="s">
        <v>36</v>
      </c>
      <c r="J654" s="19"/>
      <c r="K654" s="19"/>
      <c r="L654" s="19"/>
      <c r="M654" s="19" t="s">
        <v>1340</v>
      </c>
      <c r="N654" s="19"/>
      <c r="O654" s="19" t="s">
        <v>40</v>
      </c>
      <c r="P654" s="19" t="s">
        <v>41</v>
      </c>
      <c r="Q654" s="19" t="s">
        <v>54</v>
      </c>
      <c r="R654" s="19" t="s">
        <v>55</v>
      </c>
      <c r="S654" s="19"/>
      <c r="T654" s="19"/>
      <c r="U654" s="19"/>
      <c r="V654" s="19"/>
      <c r="W654" s="19"/>
      <c r="X654" s="19"/>
      <c r="Y654" s="19"/>
    </row>
    <row r="655" ht="56.25" customHeight="1">
      <c r="A655" s="13" t="s">
        <v>1298</v>
      </c>
      <c r="B655" s="41" t="str">
        <f>image("https://i.imgur.com/27qECu1.png")</f>
        <v/>
      </c>
      <c r="C655" s="22" t="str">
        <f>HYPERLINK("https://imgur.com/a/IWiywdP","Yes")</f>
        <v>Yes</v>
      </c>
      <c r="D655" s="42" t="s">
        <v>50</v>
      </c>
      <c r="E655" s="42" t="s">
        <v>50</v>
      </c>
      <c r="F655" s="38" t="s">
        <v>51</v>
      </c>
      <c r="G655" s="38">
        <v>1350.0</v>
      </c>
      <c r="H655" s="19">
        <v>3208.0</v>
      </c>
      <c r="I655" s="19" t="s">
        <v>113</v>
      </c>
      <c r="J655" s="19"/>
      <c r="K655" s="19"/>
      <c r="L655" s="19"/>
      <c r="M655" s="19" t="s">
        <v>1340</v>
      </c>
      <c r="N655" s="19">
        <v>2.0</v>
      </c>
      <c r="O655" s="19" t="s">
        <v>53</v>
      </c>
      <c r="P655" s="19" t="s">
        <v>41</v>
      </c>
      <c r="Q655" s="19" t="s">
        <v>54</v>
      </c>
      <c r="R655" s="19" t="s">
        <v>55</v>
      </c>
      <c r="S655" s="19"/>
      <c r="T655" s="19"/>
      <c r="U655" s="19"/>
      <c r="V655" s="19"/>
      <c r="W655" s="19"/>
      <c r="X655" s="19"/>
      <c r="Y655" s="19"/>
    </row>
    <row r="656" ht="56.25" customHeight="1">
      <c r="A656" s="13" t="s">
        <v>1313</v>
      </c>
      <c r="B656" s="41" t="str">
        <f>image("https://i.imgur.com/HxUmcq3.png")</f>
        <v/>
      </c>
      <c r="C656" s="22" t="str">
        <f>HYPERLINK("https://imgur.com/a/PrTAQuW","Yes")</f>
        <v>Yes</v>
      </c>
      <c r="D656" s="42" t="s">
        <v>50</v>
      </c>
      <c r="E656" s="42" t="s">
        <v>50</v>
      </c>
      <c r="F656" s="38" t="s">
        <v>51</v>
      </c>
      <c r="G656" s="38">
        <v>600.0</v>
      </c>
      <c r="H656" s="19">
        <v>5636.0</v>
      </c>
      <c r="I656" s="19" t="s">
        <v>161</v>
      </c>
      <c r="J656" s="19"/>
      <c r="K656" s="19"/>
      <c r="L656" s="19"/>
      <c r="M656" s="19" t="s">
        <v>1384</v>
      </c>
      <c r="N656" s="19">
        <v>1.0</v>
      </c>
      <c r="O656" s="19" t="s">
        <v>40</v>
      </c>
      <c r="P656" s="19" t="s">
        <v>41</v>
      </c>
      <c r="Q656" s="19" t="s">
        <v>54</v>
      </c>
      <c r="R656" s="19" t="s">
        <v>55</v>
      </c>
      <c r="S656" s="19"/>
      <c r="T656" s="19"/>
      <c r="U656" s="19"/>
      <c r="V656" s="19"/>
      <c r="W656" s="19"/>
      <c r="X656" s="19"/>
      <c r="Y656" s="19"/>
    </row>
    <row r="657" ht="56.25" customHeight="1">
      <c r="A657" s="13" t="s">
        <v>1322</v>
      </c>
      <c r="B657" s="41" t="str">
        <f>image("https://i.imgur.com/OikQ6Oi.png")</f>
        <v/>
      </c>
      <c r="C657" s="22" t="str">
        <f>HYPERLINK("https://imgur.com/a/NCXqckh","Yes")</f>
        <v>Yes</v>
      </c>
      <c r="D657" s="42" t="s">
        <v>28</v>
      </c>
      <c r="E657" s="42" t="s">
        <v>28</v>
      </c>
      <c r="F657" s="38">
        <v>400.0</v>
      </c>
      <c r="G657" s="38">
        <v>160.0</v>
      </c>
      <c r="H657" s="19">
        <v>3584.0</v>
      </c>
      <c r="I657" s="19" t="s">
        <v>113</v>
      </c>
      <c r="J657" s="19" t="s">
        <v>80</v>
      </c>
      <c r="K657" s="19"/>
      <c r="L657" s="19"/>
      <c r="M657" s="19" t="s">
        <v>1384</v>
      </c>
      <c r="N657" s="19">
        <v>1.0</v>
      </c>
      <c r="O657" s="19" t="s">
        <v>40</v>
      </c>
      <c r="P657" s="19" t="s">
        <v>41</v>
      </c>
      <c r="Q657" s="19" t="s">
        <v>43</v>
      </c>
      <c r="R657" s="19" t="s">
        <v>44</v>
      </c>
      <c r="S657" s="19" t="s">
        <v>68</v>
      </c>
      <c r="T657" s="19"/>
      <c r="U657" s="19"/>
      <c r="V657" s="19"/>
      <c r="W657" s="19"/>
      <c r="X657" s="19"/>
      <c r="Y657" s="19"/>
    </row>
    <row r="658" ht="30.0" customHeight="1">
      <c r="A658" s="1" t="s">
        <v>0</v>
      </c>
      <c r="B658" s="3" t="s">
        <v>1</v>
      </c>
      <c r="C658" s="45" t="s">
        <v>3</v>
      </c>
      <c r="D658" s="3" t="s">
        <v>4</v>
      </c>
      <c r="E658" s="7" t="s">
        <v>5</v>
      </c>
      <c r="F658" s="1" t="s">
        <v>6</v>
      </c>
      <c r="G658" s="1" t="s">
        <v>7</v>
      </c>
      <c r="H658" s="7" t="s">
        <v>8</v>
      </c>
      <c r="I658" s="7" t="s">
        <v>9</v>
      </c>
      <c r="J658" s="7" t="s">
        <v>10</v>
      </c>
      <c r="K658" s="7" t="s">
        <v>11</v>
      </c>
      <c r="L658" s="7" t="s">
        <v>29</v>
      </c>
      <c r="M658" s="7" t="s">
        <v>12</v>
      </c>
      <c r="N658" s="7" t="s">
        <v>13</v>
      </c>
      <c r="O658" s="7" t="s">
        <v>16</v>
      </c>
      <c r="P658" s="7" t="s">
        <v>1406</v>
      </c>
      <c r="Q658" s="7" t="s">
        <v>18</v>
      </c>
      <c r="R658" s="7" t="s">
        <v>19</v>
      </c>
      <c r="S658" s="7" t="s">
        <v>20</v>
      </c>
      <c r="T658" s="7"/>
      <c r="U658" s="7"/>
      <c r="V658" s="7"/>
      <c r="W658" s="7"/>
      <c r="X658" s="7"/>
      <c r="Y658" s="7"/>
    </row>
    <row r="659" ht="56.25" customHeight="1">
      <c r="A659" s="13" t="s">
        <v>78</v>
      </c>
      <c r="B659" s="15" t="str">
        <f>image("https://storage.googleapis.com/acdb/wall-mounted/FtrAirconditioner_Remake_0_0.png")</f>
        <v/>
      </c>
      <c r="C659" s="19" t="s">
        <v>82</v>
      </c>
      <c r="D659" s="42" t="s">
        <v>28</v>
      </c>
      <c r="E659" s="42" t="s">
        <v>28</v>
      </c>
      <c r="F659" s="38">
        <v>63000.0</v>
      </c>
      <c r="G659" s="38">
        <v>15750.0</v>
      </c>
      <c r="H659" s="19">
        <v>929.0</v>
      </c>
      <c r="I659" s="19" t="s">
        <v>61</v>
      </c>
      <c r="J659" s="19" t="s">
        <v>90</v>
      </c>
      <c r="K659" s="19"/>
      <c r="L659" s="19"/>
      <c r="M659" s="19" t="s">
        <v>1384</v>
      </c>
      <c r="N659" s="19">
        <v>7.0</v>
      </c>
      <c r="O659" s="19" t="s">
        <v>53</v>
      </c>
      <c r="P659" s="19" t="s">
        <v>41</v>
      </c>
      <c r="Q659" s="19" t="s">
        <v>43</v>
      </c>
      <c r="R659" s="19" t="s">
        <v>44</v>
      </c>
      <c r="S659" s="19" t="s">
        <v>65</v>
      </c>
      <c r="T659" s="19"/>
      <c r="U659" s="19"/>
      <c r="V659" s="19"/>
      <c r="W659" s="19"/>
      <c r="X659" s="19"/>
      <c r="Y659" s="19"/>
    </row>
    <row r="660" ht="56.25" customHeight="1">
      <c r="A660" s="13" t="s">
        <v>78</v>
      </c>
      <c r="B660" s="15" t="str">
        <f>image("https://storage.googleapis.com/acdb/wall-mounted/FtrAirconditioner_Remake_1_0.png")</f>
        <v/>
      </c>
      <c r="C660" s="19" t="s">
        <v>94</v>
      </c>
      <c r="D660" s="42" t="s">
        <v>28</v>
      </c>
      <c r="E660" s="42" t="s">
        <v>28</v>
      </c>
      <c r="F660" s="38">
        <v>63000.0</v>
      </c>
      <c r="G660" s="38">
        <v>15750.0</v>
      </c>
      <c r="H660" s="19">
        <v>929.0</v>
      </c>
      <c r="I660" s="19" t="s">
        <v>61</v>
      </c>
      <c r="J660" s="19" t="s">
        <v>90</v>
      </c>
      <c r="K660" s="19"/>
      <c r="L660" s="19"/>
      <c r="M660" s="19" t="s">
        <v>1384</v>
      </c>
      <c r="N660" s="19">
        <v>7.0</v>
      </c>
      <c r="O660" s="19" t="s">
        <v>53</v>
      </c>
      <c r="P660" s="19" t="s">
        <v>41</v>
      </c>
      <c r="Q660" s="19" t="s">
        <v>43</v>
      </c>
      <c r="R660" s="19" t="s">
        <v>44</v>
      </c>
      <c r="S660" s="19" t="s">
        <v>65</v>
      </c>
      <c r="T660" s="19"/>
      <c r="U660" s="19"/>
      <c r="V660" s="19"/>
      <c r="W660" s="19"/>
      <c r="X660" s="19"/>
      <c r="Y660" s="19"/>
    </row>
    <row r="661" ht="56.25" customHeight="1">
      <c r="A661" s="13" t="s">
        <v>78</v>
      </c>
      <c r="B661" s="15" t="str">
        <f>image("https://storage.googleapis.com/acdb/wall-mounted/FtrAirconditioner_Remake_2_0.png")</f>
        <v/>
      </c>
      <c r="C661" s="19" t="s">
        <v>99</v>
      </c>
      <c r="D661" s="42" t="s">
        <v>28</v>
      </c>
      <c r="E661" s="42" t="s">
        <v>28</v>
      </c>
      <c r="F661" s="38">
        <v>63000.0</v>
      </c>
      <c r="G661" s="38">
        <v>15750.0</v>
      </c>
      <c r="H661" s="19">
        <v>929.0</v>
      </c>
      <c r="I661" s="19" t="s">
        <v>61</v>
      </c>
      <c r="J661" s="19" t="s">
        <v>90</v>
      </c>
      <c r="K661" s="19"/>
      <c r="L661" s="19"/>
      <c r="M661" s="19" t="s">
        <v>1384</v>
      </c>
      <c r="N661" s="19">
        <v>7.0</v>
      </c>
      <c r="O661" s="19" t="s">
        <v>53</v>
      </c>
      <c r="P661" s="19" t="s">
        <v>41</v>
      </c>
      <c r="Q661" s="19" t="s">
        <v>43</v>
      </c>
      <c r="R661" s="19" t="s">
        <v>44</v>
      </c>
      <c r="S661" s="19" t="s">
        <v>65</v>
      </c>
      <c r="T661" s="19"/>
      <c r="U661" s="19"/>
      <c r="V661" s="19"/>
      <c r="W661" s="19"/>
      <c r="X661" s="19"/>
      <c r="Y661" s="19"/>
    </row>
    <row r="662" ht="56.25" customHeight="1">
      <c r="A662" s="13" t="s">
        <v>78</v>
      </c>
      <c r="B662" s="15" t="str">
        <f>image("https://storage.googleapis.com/acdb/wall-mounted/FtrAirconditioner_Remake_3_0.png")</f>
        <v/>
      </c>
      <c r="C662" s="19" t="s">
        <v>107</v>
      </c>
      <c r="D662" s="42" t="s">
        <v>28</v>
      </c>
      <c r="E662" s="42" t="s">
        <v>28</v>
      </c>
      <c r="F662" s="38">
        <v>63000.0</v>
      </c>
      <c r="G662" s="38">
        <v>15750.0</v>
      </c>
      <c r="H662" s="19">
        <v>929.0</v>
      </c>
      <c r="I662" s="19" t="s">
        <v>61</v>
      </c>
      <c r="J662" s="19" t="s">
        <v>90</v>
      </c>
      <c r="K662" s="19"/>
      <c r="L662" s="19"/>
      <c r="M662" s="19" t="s">
        <v>1384</v>
      </c>
      <c r="N662" s="19">
        <v>7.0</v>
      </c>
      <c r="O662" s="19" t="s">
        <v>53</v>
      </c>
      <c r="P662" s="19" t="s">
        <v>41</v>
      </c>
      <c r="Q662" s="19" t="s">
        <v>43</v>
      </c>
      <c r="R662" s="19" t="s">
        <v>44</v>
      </c>
      <c r="S662" s="19" t="s">
        <v>65</v>
      </c>
      <c r="T662" s="19"/>
      <c r="U662" s="19"/>
      <c r="V662" s="19"/>
      <c r="W662" s="19"/>
      <c r="X662" s="19"/>
      <c r="Y662" s="19"/>
    </row>
    <row r="663" ht="56.25" customHeight="1">
      <c r="A663" s="13" t="s">
        <v>78</v>
      </c>
      <c r="B663" s="15" t="str">
        <f>image("https://storage.googleapis.com/acdb/wall-mounted/FtrAirconditioner_Remake_4_0.png")</f>
        <v/>
      </c>
      <c r="C663" s="19" t="s">
        <v>112</v>
      </c>
      <c r="D663" s="42" t="s">
        <v>28</v>
      </c>
      <c r="E663" s="42" t="s">
        <v>28</v>
      </c>
      <c r="F663" s="38">
        <v>63000.0</v>
      </c>
      <c r="G663" s="38">
        <v>15750.0</v>
      </c>
      <c r="H663" s="19">
        <v>929.0</v>
      </c>
      <c r="I663" s="19" t="s">
        <v>61</v>
      </c>
      <c r="J663" s="19" t="s">
        <v>90</v>
      </c>
      <c r="K663" s="19"/>
      <c r="L663" s="19"/>
      <c r="M663" s="19" t="s">
        <v>1384</v>
      </c>
      <c r="N663" s="19">
        <v>7.0</v>
      </c>
      <c r="O663" s="19" t="s">
        <v>53</v>
      </c>
      <c r="P663" s="19" t="s">
        <v>41</v>
      </c>
      <c r="Q663" s="19" t="s">
        <v>43</v>
      </c>
      <c r="R663" s="19" t="s">
        <v>44</v>
      </c>
      <c r="S663" s="19" t="s">
        <v>65</v>
      </c>
      <c r="T663" s="19"/>
      <c r="U663" s="19"/>
      <c r="V663" s="19"/>
      <c r="W663" s="19"/>
      <c r="X663" s="19"/>
      <c r="Y663" s="19"/>
    </row>
    <row r="664" ht="56.25" customHeight="1">
      <c r="A664" s="13" t="s">
        <v>78</v>
      </c>
      <c r="B664" s="15" t="str">
        <f>image("https://storage.googleapis.com/acdb/wall-mounted/FtrAirconditioner_Remake_5_0.png")</f>
        <v/>
      </c>
      <c r="C664" s="19" t="s">
        <v>118</v>
      </c>
      <c r="D664" s="42" t="s">
        <v>28</v>
      </c>
      <c r="E664" s="42" t="s">
        <v>28</v>
      </c>
      <c r="F664" s="38">
        <v>63000.0</v>
      </c>
      <c r="G664" s="38">
        <v>15750.0</v>
      </c>
      <c r="H664" s="19">
        <v>929.0</v>
      </c>
      <c r="I664" s="19" t="s">
        <v>61</v>
      </c>
      <c r="J664" s="19" t="s">
        <v>90</v>
      </c>
      <c r="K664" s="19"/>
      <c r="L664" s="19"/>
      <c r="M664" s="19" t="s">
        <v>1384</v>
      </c>
      <c r="N664" s="19">
        <v>7.0</v>
      </c>
      <c r="O664" s="19" t="s">
        <v>53</v>
      </c>
      <c r="P664" s="19" t="s">
        <v>41</v>
      </c>
      <c r="Q664" s="19" t="s">
        <v>43</v>
      </c>
      <c r="R664" s="19" t="s">
        <v>44</v>
      </c>
      <c r="S664" s="19" t="s">
        <v>65</v>
      </c>
      <c r="T664" s="19"/>
      <c r="U664" s="19"/>
      <c r="V664" s="19"/>
      <c r="W664" s="19"/>
      <c r="X664" s="19"/>
      <c r="Y664" s="19"/>
    </row>
    <row r="665" ht="56.25" customHeight="1">
      <c r="A665" s="13" t="s">
        <v>121</v>
      </c>
      <c r="B665" s="15" t="str">
        <f>image("https://storage.googleapis.com/acdb/wall-mounted/FtrAntiquePhoneW_Remake_0_0.png")</f>
        <v/>
      </c>
      <c r="C665" s="19" t="s">
        <v>118</v>
      </c>
      <c r="D665" s="42" t="s">
        <v>28</v>
      </c>
      <c r="E665" s="42" t="s">
        <v>28</v>
      </c>
      <c r="F665" s="13">
        <v>16000.0</v>
      </c>
      <c r="G665" s="13">
        <v>4000.0</v>
      </c>
      <c r="H665" s="19">
        <v>3953.0</v>
      </c>
      <c r="I665" s="19" t="s">
        <v>60</v>
      </c>
      <c r="J665" s="19" t="s">
        <v>62</v>
      </c>
      <c r="K665" s="19" t="s">
        <v>104</v>
      </c>
      <c r="L665" s="19"/>
      <c r="M665" s="19" t="s">
        <v>1340</v>
      </c>
      <c r="N665" s="19">
        <v>6.0</v>
      </c>
      <c r="O665" s="19" t="s">
        <v>40</v>
      </c>
      <c r="P665" s="19" t="s">
        <v>41</v>
      </c>
      <c r="Q665" s="19" t="s">
        <v>43</v>
      </c>
      <c r="R665" s="19" t="s">
        <v>44</v>
      </c>
      <c r="S665" s="19" t="s">
        <v>65</v>
      </c>
      <c r="T665" s="19"/>
      <c r="U665" s="19"/>
      <c r="V665" s="19"/>
      <c r="W665" s="19"/>
      <c r="X665" s="19"/>
      <c r="Y665" s="19"/>
    </row>
    <row r="666" ht="56.25" customHeight="1">
      <c r="A666" s="13" t="s">
        <v>121</v>
      </c>
      <c r="B666" s="15" t="str">
        <f>image("https://storage.googleapis.com/acdb/wall-mounted/FtrAntiquePhoneW_Remake_1_0.png")</f>
        <v/>
      </c>
      <c r="C666" s="19" t="s">
        <v>126</v>
      </c>
      <c r="D666" s="42" t="s">
        <v>28</v>
      </c>
      <c r="E666" s="42" t="s">
        <v>28</v>
      </c>
      <c r="F666" s="13">
        <v>16000.0</v>
      </c>
      <c r="G666" s="13">
        <v>4000.0</v>
      </c>
      <c r="H666" s="19">
        <v>3953.0</v>
      </c>
      <c r="I666" s="19" t="s">
        <v>60</v>
      </c>
      <c r="J666" s="19" t="s">
        <v>62</v>
      </c>
      <c r="K666" s="19" t="s">
        <v>104</v>
      </c>
      <c r="L666" s="19"/>
      <c r="M666" s="19" t="s">
        <v>1340</v>
      </c>
      <c r="N666" s="19">
        <v>6.0</v>
      </c>
      <c r="O666" s="19" t="s">
        <v>40</v>
      </c>
      <c r="P666" s="19" t="s">
        <v>41</v>
      </c>
      <c r="Q666" s="19" t="s">
        <v>43</v>
      </c>
      <c r="R666" s="19" t="s">
        <v>44</v>
      </c>
      <c r="S666" s="19" t="s">
        <v>65</v>
      </c>
      <c r="T666" s="19"/>
      <c r="U666" s="19"/>
      <c r="V666" s="19"/>
      <c r="W666" s="19"/>
      <c r="X666" s="19"/>
      <c r="Y666" s="19"/>
    </row>
    <row r="667" ht="56.25" customHeight="1">
      <c r="A667" s="13" t="s">
        <v>121</v>
      </c>
      <c r="B667" s="15" t="str">
        <f>image("https://storage.googleapis.com/acdb/wall-mounted/FtrAntiquePhoneW_Remake_2_0.png")</f>
        <v/>
      </c>
      <c r="C667" s="19" t="s">
        <v>99</v>
      </c>
      <c r="D667" s="42" t="s">
        <v>28</v>
      </c>
      <c r="E667" s="42" t="s">
        <v>28</v>
      </c>
      <c r="F667" s="13">
        <v>16000.0</v>
      </c>
      <c r="G667" s="13">
        <v>4000.0</v>
      </c>
      <c r="H667" s="19">
        <v>3953.0</v>
      </c>
      <c r="I667" s="19" t="s">
        <v>60</v>
      </c>
      <c r="J667" s="19" t="s">
        <v>62</v>
      </c>
      <c r="K667" s="19" t="s">
        <v>104</v>
      </c>
      <c r="L667" s="19"/>
      <c r="M667" s="19" t="s">
        <v>1340</v>
      </c>
      <c r="N667" s="19">
        <v>6.0</v>
      </c>
      <c r="O667" s="19" t="s">
        <v>40</v>
      </c>
      <c r="P667" s="19" t="s">
        <v>41</v>
      </c>
      <c r="Q667" s="19" t="s">
        <v>43</v>
      </c>
      <c r="R667" s="19" t="s">
        <v>44</v>
      </c>
      <c r="S667" s="19" t="s">
        <v>65</v>
      </c>
      <c r="T667" s="19"/>
      <c r="U667" s="19"/>
      <c r="V667" s="19"/>
      <c r="W667" s="19"/>
      <c r="X667" s="19"/>
      <c r="Y667" s="19"/>
    </row>
    <row r="668" ht="69.0" customHeight="1">
      <c r="A668" s="13" t="s">
        <v>133</v>
      </c>
      <c r="B668" s="15" t="str">
        <f>image("https://storage.googleapis.com/acdb/wall-mounted/FtrAutograph_Remake_0_0.png")</f>
        <v/>
      </c>
      <c r="C668" s="19" t="s">
        <v>134</v>
      </c>
      <c r="D668" s="42" t="s">
        <v>28</v>
      </c>
      <c r="E668" s="42" t="s">
        <v>28</v>
      </c>
      <c r="F668" s="38">
        <v>1400.0</v>
      </c>
      <c r="G668" s="38">
        <v>350.0</v>
      </c>
      <c r="H668" s="19">
        <v>1899.0</v>
      </c>
      <c r="I668" s="19" t="s">
        <v>80</v>
      </c>
      <c r="J668" s="19" t="s">
        <v>136</v>
      </c>
      <c r="K668" s="19"/>
      <c r="L668" s="19"/>
      <c r="M668" s="19" t="s">
        <v>1384</v>
      </c>
      <c r="N668" s="19">
        <v>1.0</v>
      </c>
      <c r="O668" s="19" t="s">
        <v>40</v>
      </c>
      <c r="P668" s="19" t="s">
        <v>41</v>
      </c>
      <c r="Q668" s="19" t="s">
        <v>43</v>
      </c>
      <c r="R668" s="19" t="s">
        <v>44</v>
      </c>
      <c r="S668" s="19" t="s">
        <v>68</v>
      </c>
      <c r="T668" s="19"/>
      <c r="U668" s="19"/>
      <c r="V668" s="19"/>
      <c r="W668" s="19"/>
      <c r="X668" s="19"/>
      <c r="Y668" s="19"/>
    </row>
    <row r="669" ht="69.0" customHeight="1">
      <c r="A669" s="13" t="s">
        <v>133</v>
      </c>
      <c r="B669" s="15" t="str">
        <f>image("https://storage.googleapis.com/acdb/wall-mounted/FtrAutograph_Remake_0_1.png")</f>
        <v/>
      </c>
      <c r="C669" s="19" t="s">
        <v>134</v>
      </c>
      <c r="D669" s="42" t="s">
        <v>28</v>
      </c>
      <c r="E669" s="42" t="s">
        <v>28</v>
      </c>
      <c r="F669" s="38">
        <v>1400.0</v>
      </c>
      <c r="G669" s="38">
        <v>350.0</v>
      </c>
      <c r="H669" s="19">
        <v>1899.0</v>
      </c>
      <c r="I669" s="19" t="s">
        <v>80</v>
      </c>
      <c r="J669" s="19" t="s">
        <v>136</v>
      </c>
      <c r="K669" s="19"/>
      <c r="L669" s="19"/>
      <c r="M669" s="19" t="s">
        <v>1384</v>
      </c>
      <c r="N669" s="19">
        <v>1.0</v>
      </c>
      <c r="O669" s="19" t="s">
        <v>40</v>
      </c>
      <c r="P669" s="19" t="s">
        <v>41</v>
      </c>
      <c r="Q669" s="19" t="s">
        <v>43</v>
      </c>
      <c r="R669" s="19" t="s">
        <v>44</v>
      </c>
      <c r="S669" s="19" t="s">
        <v>68</v>
      </c>
      <c r="T669" s="19"/>
      <c r="U669" s="19"/>
      <c r="V669" s="19"/>
      <c r="W669" s="19"/>
      <c r="X669" s="19"/>
      <c r="Y669" s="19"/>
    </row>
    <row r="670" ht="69.0" customHeight="1">
      <c r="A670" s="13" t="s">
        <v>133</v>
      </c>
      <c r="B670" s="15" t="str">
        <f>image("https://storage.googleapis.com/acdb/wall-mounted/FtrAutograph_Remake_1_0.png")</f>
        <v/>
      </c>
      <c r="C670" s="19" t="s">
        <v>143</v>
      </c>
      <c r="D670" s="42" t="s">
        <v>28</v>
      </c>
      <c r="E670" s="42" t="s">
        <v>28</v>
      </c>
      <c r="F670" s="38">
        <v>1400.0</v>
      </c>
      <c r="G670" s="38">
        <v>350.0</v>
      </c>
      <c r="H670" s="19">
        <v>1899.0</v>
      </c>
      <c r="I670" s="19" t="s">
        <v>80</v>
      </c>
      <c r="J670" s="19" t="s">
        <v>136</v>
      </c>
      <c r="K670" s="19"/>
      <c r="L670" s="19"/>
      <c r="M670" s="19" t="s">
        <v>1384</v>
      </c>
      <c r="N670" s="19">
        <v>1.0</v>
      </c>
      <c r="O670" s="19" t="s">
        <v>40</v>
      </c>
      <c r="P670" s="19" t="s">
        <v>41</v>
      </c>
      <c r="Q670" s="19" t="s">
        <v>43</v>
      </c>
      <c r="R670" s="19" t="s">
        <v>44</v>
      </c>
      <c r="S670" s="19" t="s">
        <v>68</v>
      </c>
      <c r="T670" s="19"/>
      <c r="U670" s="19"/>
      <c r="V670" s="19"/>
      <c r="W670" s="19"/>
      <c r="X670" s="19"/>
      <c r="Y670" s="19"/>
    </row>
    <row r="671" ht="69.0" customHeight="1">
      <c r="A671" s="13" t="s">
        <v>133</v>
      </c>
      <c r="B671" s="15" t="str">
        <f>image("https://storage.googleapis.com/acdb/wall-mounted/FtrAutograph_Remake_1_1.png")</f>
        <v/>
      </c>
      <c r="C671" s="19" t="s">
        <v>143</v>
      </c>
      <c r="D671" s="42" t="s">
        <v>28</v>
      </c>
      <c r="E671" s="42" t="s">
        <v>28</v>
      </c>
      <c r="F671" s="38">
        <v>1400.0</v>
      </c>
      <c r="G671" s="38">
        <v>350.0</v>
      </c>
      <c r="H671" s="19">
        <v>1899.0</v>
      </c>
      <c r="I671" s="19" t="s">
        <v>80</v>
      </c>
      <c r="J671" s="19" t="s">
        <v>136</v>
      </c>
      <c r="K671" s="19"/>
      <c r="L671" s="19"/>
      <c r="M671" s="19" t="s">
        <v>1384</v>
      </c>
      <c r="N671" s="19">
        <v>1.0</v>
      </c>
      <c r="O671" s="19" t="s">
        <v>40</v>
      </c>
      <c r="P671" s="19" t="s">
        <v>41</v>
      </c>
      <c r="Q671" s="19" t="s">
        <v>43</v>
      </c>
      <c r="R671" s="19" t="s">
        <v>44</v>
      </c>
      <c r="S671" s="19" t="s">
        <v>68</v>
      </c>
      <c r="T671" s="19"/>
      <c r="U671" s="19"/>
      <c r="V671" s="19"/>
      <c r="W671" s="19"/>
      <c r="X671" s="19"/>
      <c r="Y671" s="19"/>
    </row>
    <row r="672" ht="69.0" customHeight="1">
      <c r="A672" s="13" t="s">
        <v>133</v>
      </c>
      <c r="B672" s="15" t="str">
        <f>image("https://storage.googleapis.com/acdb/wall-mounted/FtrAutograph_Remake_2_0.png")</f>
        <v/>
      </c>
      <c r="C672" s="19" t="s">
        <v>151</v>
      </c>
      <c r="D672" s="42" t="s">
        <v>28</v>
      </c>
      <c r="E672" s="42" t="s">
        <v>28</v>
      </c>
      <c r="F672" s="38">
        <v>1400.0</v>
      </c>
      <c r="G672" s="38">
        <v>350.0</v>
      </c>
      <c r="H672" s="19">
        <v>1899.0</v>
      </c>
      <c r="I672" s="19" t="s">
        <v>80</v>
      </c>
      <c r="J672" s="19" t="s">
        <v>136</v>
      </c>
      <c r="K672" s="19"/>
      <c r="L672" s="19"/>
      <c r="M672" s="19" t="s">
        <v>1384</v>
      </c>
      <c r="N672" s="19">
        <v>1.0</v>
      </c>
      <c r="O672" s="19" t="s">
        <v>40</v>
      </c>
      <c r="P672" s="19" t="s">
        <v>41</v>
      </c>
      <c r="Q672" s="19" t="s">
        <v>43</v>
      </c>
      <c r="R672" s="19" t="s">
        <v>44</v>
      </c>
      <c r="S672" s="19" t="s">
        <v>68</v>
      </c>
      <c r="T672" s="19"/>
      <c r="U672" s="19"/>
      <c r="V672" s="19"/>
      <c r="W672" s="19"/>
      <c r="X672" s="19"/>
      <c r="Y672" s="19"/>
    </row>
    <row r="673" ht="69.0" customHeight="1">
      <c r="A673" s="13" t="s">
        <v>133</v>
      </c>
      <c r="B673" s="15" t="str">
        <f>image("https://storage.googleapis.com/acdb/wall-mounted/FtrAutograph_Remake_2_1.png")</f>
        <v/>
      </c>
      <c r="C673" s="19" t="s">
        <v>151</v>
      </c>
      <c r="D673" s="42" t="s">
        <v>28</v>
      </c>
      <c r="E673" s="42" t="s">
        <v>28</v>
      </c>
      <c r="F673" s="38">
        <v>1400.0</v>
      </c>
      <c r="G673" s="38">
        <v>350.0</v>
      </c>
      <c r="H673" s="19">
        <v>1899.0</v>
      </c>
      <c r="I673" s="19" t="s">
        <v>80</v>
      </c>
      <c r="J673" s="19" t="s">
        <v>136</v>
      </c>
      <c r="K673" s="19"/>
      <c r="L673" s="19"/>
      <c r="M673" s="19" t="s">
        <v>1384</v>
      </c>
      <c r="N673" s="19">
        <v>1.0</v>
      </c>
      <c r="O673" s="19" t="s">
        <v>40</v>
      </c>
      <c r="P673" s="19" t="s">
        <v>41</v>
      </c>
      <c r="Q673" s="19" t="s">
        <v>43</v>
      </c>
      <c r="R673" s="19" t="s">
        <v>44</v>
      </c>
      <c r="S673" s="19" t="s">
        <v>68</v>
      </c>
      <c r="T673" s="19"/>
      <c r="U673" s="19"/>
      <c r="V673" s="19"/>
      <c r="W673" s="19"/>
      <c r="X673" s="19"/>
      <c r="Y673" s="19"/>
    </row>
    <row r="674" ht="69.0" customHeight="1">
      <c r="A674" s="13" t="s">
        <v>133</v>
      </c>
      <c r="B674" s="15" t="str">
        <f>image("https://storage.googleapis.com/acdb/wall-mounted/FtrAutograph_Remake_3_0.png")</f>
        <v/>
      </c>
      <c r="C674" s="19" t="s">
        <v>157</v>
      </c>
      <c r="D674" s="42" t="s">
        <v>28</v>
      </c>
      <c r="E674" s="42" t="s">
        <v>28</v>
      </c>
      <c r="F674" s="38">
        <v>1400.0</v>
      </c>
      <c r="G674" s="38">
        <v>350.0</v>
      </c>
      <c r="H674" s="19">
        <v>1899.0</v>
      </c>
      <c r="I674" s="19" t="s">
        <v>80</v>
      </c>
      <c r="J674" s="19" t="s">
        <v>136</v>
      </c>
      <c r="K674" s="19"/>
      <c r="L674" s="19"/>
      <c r="M674" s="19" t="s">
        <v>1384</v>
      </c>
      <c r="N674" s="19">
        <v>1.0</v>
      </c>
      <c r="O674" s="19" t="s">
        <v>40</v>
      </c>
      <c r="P674" s="19" t="s">
        <v>41</v>
      </c>
      <c r="Q674" s="19" t="s">
        <v>43</v>
      </c>
      <c r="R674" s="19" t="s">
        <v>44</v>
      </c>
      <c r="S674" s="19" t="s">
        <v>68</v>
      </c>
      <c r="T674" s="19"/>
      <c r="U674" s="19"/>
      <c r="V674" s="19"/>
      <c r="W674" s="19"/>
      <c r="X674" s="19"/>
      <c r="Y674" s="19"/>
    </row>
    <row r="675" ht="69.0" customHeight="1">
      <c r="A675" s="13" t="s">
        <v>133</v>
      </c>
      <c r="B675" s="15" t="str">
        <f>image("https://storage.googleapis.com/acdb/wall-mounted/FtrAutograph_Remake_3_1.png")</f>
        <v/>
      </c>
      <c r="C675" s="19" t="s">
        <v>157</v>
      </c>
      <c r="D675" s="42" t="s">
        <v>28</v>
      </c>
      <c r="E675" s="42" t="s">
        <v>28</v>
      </c>
      <c r="F675" s="38">
        <v>1400.0</v>
      </c>
      <c r="G675" s="38">
        <v>350.0</v>
      </c>
      <c r="H675" s="19">
        <v>1899.0</v>
      </c>
      <c r="I675" s="19" t="s">
        <v>80</v>
      </c>
      <c r="J675" s="19" t="s">
        <v>136</v>
      </c>
      <c r="K675" s="19"/>
      <c r="L675" s="19"/>
      <c r="M675" s="19" t="s">
        <v>1384</v>
      </c>
      <c r="N675" s="19">
        <v>1.0</v>
      </c>
      <c r="O675" s="19" t="s">
        <v>40</v>
      </c>
      <c r="P675" s="19" t="s">
        <v>41</v>
      </c>
      <c r="Q675" s="19" t="s">
        <v>43</v>
      </c>
      <c r="R675" s="19" t="s">
        <v>44</v>
      </c>
      <c r="S675" s="19" t="s">
        <v>68</v>
      </c>
      <c r="T675" s="19"/>
      <c r="U675" s="19"/>
      <c r="V675" s="19"/>
      <c r="W675" s="19"/>
      <c r="X675" s="19"/>
      <c r="Y675" s="19"/>
    </row>
    <row r="676" ht="56.25" customHeight="1">
      <c r="A676" s="13" t="s">
        <v>168</v>
      </c>
      <c r="B676" s="15" t="str">
        <f>image("https://storage.googleapis.com/acdb/wall-mounted/FtrBambooFlowerwall_Remake_0_0.png")</f>
        <v/>
      </c>
      <c r="C676" s="19" t="s">
        <v>169</v>
      </c>
      <c r="D676" s="42" t="s">
        <v>50</v>
      </c>
      <c r="E676" s="44" t="s">
        <v>50</v>
      </c>
      <c r="F676" s="38" t="s">
        <v>51</v>
      </c>
      <c r="G676" s="38">
        <v>160.0</v>
      </c>
      <c r="H676" s="19">
        <v>3558.0</v>
      </c>
      <c r="I676" s="19" t="s">
        <v>161</v>
      </c>
      <c r="J676" s="19"/>
      <c r="K676" s="19"/>
      <c r="L676" s="19"/>
      <c r="M676" s="19" t="s">
        <v>1451</v>
      </c>
      <c r="N676" s="19">
        <v>1.0</v>
      </c>
      <c r="O676" s="19" t="s">
        <v>40</v>
      </c>
      <c r="P676" s="19" t="s">
        <v>41</v>
      </c>
      <c r="Q676" s="19" t="s">
        <v>54</v>
      </c>
      <c r="R676" s="19" t="s">
        <v>55</v>
      </c>
      <c r="S676" s="19" t="s">
        <v>172</v>
      </c>
      <c r="T676" s="19"/>
      <c r="U676" s="19"/>
      <c r="V676" s="19"/>
      <c r="W676" s="19"/>
      <c r="X676" s="19"/>
      <c r="Y676" s="19"/>
    </row>
    <row r="677" ht="56.25" customHeight="1">
      <c r="A677" s="13" t="s">
        <v>168</v>
      </c>
      <c r="B677" s="15" t="str">
        <f>image("https://storage.googleapis.com/acdb/wall-mounted/FtrBambooFlowerwall_Remake_1_0.png")</f>
        <v/>
      </c>
      <c r="C677" s="19" t="s">
        <v>175</v>
      </c>
      <c r="D677" s="42" t="s">
        <v>50</v>
      </c>
      <c r="E677" s="44" t="s">
        <v>50</v>
      </c>
      <c r="F677" s="38" t="s">
        <v>51</v>
      </c>
      <c r="G677" s="38">
        <v>160.0</v>
      </c>
      <c r="H677" s="19">
        <v>3558.0</v>
      </c>
      <c r="I677" s="19" t="s">
        <v>161</v>
      </c>
      <c r="J677" s="19"/>
      <c r="K677" s="19"/>
      <c r="L677" s="19"/>
      <c r="M677" s="19" t="s">
        <v>1451</v>
      </c>
      <c r="N677" s="19">
        <v>1.0</v>
      </c>
      <c r="O677" s="19" t="s">
        <v>40</v>
      </c>
      <c r="P677" s="19" t="s">
        <v>41</v>
      </c>
      <c r="Q677" s="19" t="s">
        <v>54</v>
      </c>
      <c r="R677" s="19" t="s">
        <v>55</v>
      </c>
      <c r="S677" s="19" t="s">
        <v>172</v>
      </c>
      <c r="T677" s="19"/>
      <c r="U677" s="19"/>
      <c r="V677" s="19"/>
      <c r="W677" s="19"/>
      <c r="X677" s="19"/>
      <c r="Y677" s="19"/>
    </row>
    <row r="678" ht="56.25" customHeight="1">
      <c r="A678" s="13" t="s">
        <v>168</v>
      </c>
      <c r="B678" s="15" t="str">
        <f>image("https://storage.googleapis.com/acdb/wall-mounted/FtrBambooFlowerwall_Remake_2_0.png")</f>
        <v/>
      </c>
      <c r="C678" s="19" t="s">
        <v>178</v>
      </c>
      <c r="D678" s="42" t="s">
        <v>50</v>
      </c>
      <c r="E678" s="44" t="s">
        <v>50</v>
      </c>
      <c r="F678" s="38" t="s">
        <v>51</v>
      </c>
      <c r="G678" s="38">
        <v>160.0</v>
      </c>
      <c r="H678" s="19">
        <v>3558.0</v>
      </c>
      <c r="I678" s="19" t="s">
        <v>161</v>
      </c>
      <c r="J678" s="19"/>
      <c r="K678" s="19"/>
      <c r="L678" s="19"/>
      <c r="M678" s="19" t="s">
        <v>1451</v>
      </c>
      <c r="N678" s="19">
        <v>1.0</v>
      </c>
      <c r="O678" s="19" t="s">
        <v>40</v>
      </c>
      <c r="P678" s="19" t="s">
        <v>41</v>
      </c>
      <c r="Q678" s="19" t="s">
        <v>54</v>
      </c>
      <c r="R678" s="19" t="s">
        <v>55</v>
      </c>
      <c r="S678" s="19" t="s">
        <v>172</v>
      </c>
      <c r="T678" s="19"/>
      <c r="U678" s="19"/>
      <c r="V678" s="19"/>
      <c r="W678" s="19"/>
      <c r="X678" s="19"/>
      <c r="Y678" s="19"/>
    </row>
    <row r="679" ht="56.25" customHeight="1">
      <c r="A679" s="13" t="s">
        <v>180</v>
      </c>
      <c r="B679" s="15" t="str">
        <f>image("https://storage.googleapis.com/acdb/wall-mounted/FtrTowelrackWall_Remake_0_0.png")</f>
        <v/>
      </c>
      <c r="C679" s="15" t="s">
        <v>182</v>
      </c>
      <c r="D679" s="42" t="s">
        <v>28</v>
      </c>
      <c r="E679" s="42" t="s">
        <v>28</v>
      </c>
      <c r="F679" s="38">
        <v>1400.0</v>
      </c>
      <c r="G679" s="38">
        <v>350.0</v>
      </c>
      <c r="H679" s="19">
        <v>4030.0</v>
      </c>
      <c r="I679" s="19" t="s">
        <v>183</v>
      </c>
      <c r="J679" s="19"/>
      <c r="K679" s="19"/>
      <c r="L679" s="19" t="s">
        <v>184</v>
      </c>
      <c r="M679" s="19" t="s">
        <v>1340</v>
      </c>
      <c r="N679" s="19">
        <v>1.0</v>
      </c>
      <c r="O679" s="19" t="s">
        <v>40</v>
      </c>
      <c r="P679" s="19" t="s">
        <v>41</v>
      </c>
      <c r="Q679" s="19" t="s">
        <v>43</v>
      </c>
      <c r="R679" s="19" t="s">
        <v>44</v>
      </c>
      <c r="S679" s="19" t="s">
        <v>63</v>
      </c>
      <c r="T679" s="19"/>
      <c r="U679" s="19"/>
      <c r="V679" s="19"/>
      <c r="W679" s="19"/>
      <c r="X679" s="19"/>
      <c r="Y679" s="19"/>
    </row>
    <row r="680" ht="56.25" customHeight="1">
      <c r="A680" s="13" t="s">
        <v>180</v>
      </c>
      <c r="B680" s="15" t="str">
        <f>image("https://storage.googleapis.com/acdb/wall-mounted/FtrTowelrackWall_Remake_1_0.png")</f>
        <v/>
      </c>
      <c r="C680" s="15" t="s">
        <v>187</v>
      </c>
      <c r="D680" s="42" t="s">
        <v>28</v>
      </c>
      <c r="E680" s="42" t="s">
        <v>28</v>
      </c>
      <c r="F680" s="38">
        <v>1400.0</v>
      </c>
      <c r="G680" s="38">
        <v>350.0</v>
      </c>
      <c r="H680" s="19">
        <v>4030.0</v>
      </c>
      <c r="I680" s="19" t="s">
        <v>183</v>
      </c>
      <c r="J680" s="19"/>
      <c r="K680" s="19"/>
      <c r="L680" s="19" t="s">
        <v>184</v>
      </c>
      <c r="M680" s="19" t="s">
        <v>1340</v>
      </c>
      <c r="N680" s="19">
        <v>1.0</v>
      </c>
      <c r="O680" s="19" t="s">
        <v>40</v>
      </c>
      <c r="P680" s="19" t="s">
        <v>41</v>
      </c>
      <c r="Q680" s="19" t="s">
        <v>43</v>
      </c>
      <c r="R680" s="19" t="s">
        <v>44</v>
      </c>
      <c r="S680" s="19" t="s">
        <v>63</v>
      </c>
      <c r="T680" s="19"/>
      <c r="U680" s="19"/>
      <c r="V680" s="19"/>
      <c r="W680" s="19"/>
      <c r="X680" s="19"/>
      <c r="Y680" s="19"/>
    </row>
    <row r="681" ht="56.25" customHeight="1">
      <c r="A681" s="13" t="s">
        <v>180</v>
      </c>
      <c r="B681" s="15" t="str">
        <f>image("https://storage.googleapis.com/acdb/wall-mounted/FtrTowelrackWall_Remake_2_0.png")</f>
        <v/>
      </c>
      <c r="C681" s="15" t="s">
        <v>190</v>
      </c>
      <c r="D681" s="42" t="s">
        <v>28</v>
      </c>
      <c r="E681" s="42" t="s">
        <v>28</v>
      </c>
      <c r="F681" s="38">
        <v>1400.0</v>
      </c>
      <c r="G681" s="38">
        <v>350.0</v>
      </c>
      <c r="H681" s="19">
        <v>4030.0</v>
      </c>
      <c r="I681" s="19" t="s">
        <v>183</v>
      </c>
      <c r="J681" s="19"/>
      <c r="K681" s="19"/>
      <c r="L681" s="19" t="s">
        <v>184</v>
      </c>
      <c r="M681" s="19" t="s">
        <v>1340</v>
      </c>
      <c r="N681" s="19">
        <v>1.0</v>
      </c>
      <c r="O681" s="19" t="s">
        <v>40</v>
      </c>
      <c r="P681" s="19" t="s">
        <v>41</v>
      </c>
      <c r="Q681" s="19" t="s">
        <v>43</v>
      </c>
      <c r="R681" s="19" t="s">
        <v>44</v>
      </c>
      <c r="S681" s="19" t="s">
        <v>63</v>
      </c>
      <c r="T681" s="19"/>
      <c r="U681" s="19"/>
      <c r="V681" s="19"/>
      <c r="W681" s="19"/>
      <c r="X681" s="19"/>
      <c r="Y681" s="19"/>
    </row>
    <row r="682" ht="56.25" customHeight="1">
      <c r="A682" s="13" t="s">
        <v>180</v>
      </c>
      <c r="B682" s="15" t="str">
        <f>image("https://storage.googleapis.com/acdb/wall-mounted/FtrTowelrackWall_Remake_3_0.png")</f>
        <v/>
      </c>
      <c r="C682" s="15" t="s">
        <v>99</v>
      </c>
      <c r="D682" s="42" t="s">
        <v>28</v>
      </c>
      <c r="E682" s="42" t="s">
        <v>28</v>
      </c>
      <c r="F682" s="38">
        <v>1400.0</v>
      </c>
      <c r="G682" s="38">
        <v>350.0</v>
      </c>
      <c r="H682" s="19">
        <v>4030.0</v>
      </c>
      <c r="I682" s="19" t="s">
        <v>183</v>
      </c>
      <c r="J682" s="19"/>
      <c r="K682" s="19"/>
      <c r="L682" s="19" t="s">
        <v>184</v>
      </c>
      <c r="M682" s="19" t="s">
        <v>1340</v>
      </c>
      <c r="N682" s="19">
        <v>1.0</v>
      </c>
      <c r="O682" s="19" t="s">
        <v>40</v>
      </c>
      <c r="P682" s="19" t="s">
        <v>41</v>
      </c>
      <c r="Q682" s="19" t="s">
        <v>43</v>
      </c>
      <c r="R682" s="19" t="s">
        <v>44</v>
      </c>
      <c r="S682" s="19" t="s">
        <v>63</v>
      </c>
      <c r="T682" s="19"/>
      <c r="U682" s="19"/>
      <c r="V682" s="19"/>
      <c r="W682" s="19"/>
      <c r="X682" s="19"/>
      <c r="Y682" s="19"/>
    </row>
    <row r="683" ht="56.25" customHeight="1">
      <c r="A683" s="13" t="s">
        <v>194</v>
      </c>
      <c r="B683" s="15" t="str">
        <f>image("https://storage.googleapis.com/acdb/wall-mounted/FtrDoorOrnamentWreathRoseUrtraRare.png")</f>
        <v/>
      </c>
      <c r="C683" s="19" t="s">
        <v>1467</v>
      </c>
      <c r="D683" s="42" t="s">
        <v>50</v>
      </c>
      <c r="E683" s="42" t="s">
        <v>28</v>
      </c>
      <c r="F683" s="38" t="s">
        <v>51</v>
      </c>
      <c r="G683" s="38">
        <v>20000.0</v>
      </c>
      <c r="H683" s="19">
        <v>5772.0</v>
      </c>
      <c r="I683" s="19" t="s">
        <v>36</v>
      </c>
      <c r="J683" s="19"/>
      <c r="K683" s="19"/>
      <c r="L683" s="19"/>
      <c r="M683" s="19" t="s">
        <v>1340</v>
      </c>
      <c r="N683" s="19"/>
      <c r="O683" s="19" t="s">
        <v>40</v>
      </c>
      <c r="P683" s="19" t="s">
        <v>41</v>
      </c>
      <c r="Q683" s="19" t="s">
        <v>54</v>
      </c>
      <c r="R683" s="19" t="s">
        <v>55</v>
      </c>
      <c r="S683" s="19"/>
      <c r="T683" s="19"/>
      <c r="U683" s="19"/>
      <c r="V683" s="19"/>
      <c r="W683" s="19"/>
      <c r="X683" s="19"/>
      <c r="Y683" s="19"/>
    </row>
    <row r="684" ht="56.25" customHeight="1">
      <c r="A684" s="13" t="s">
        <v>197</v>
      </c>
      <c r="B684" s="15" t="str">
        <f>image("https://storage.googleapis.com/acdb/wall-mounted/FtrDoorPlateBone_Remake_0_0.png")</f>
        <v/>
      </c>
      <c r="C684" s="19"/>
      <c r="D684" s="42" t="s">
        <v>50</v>
      </c>
      <c r="E684" s="42" t="s">
        <v>50</v>
      </c>
      <c r="F684" s="38" t="s">
        <v>51</v>
      </c>
      <c r="G684" s="38">
        <v>360.0</v>
      </c>
      <c r="H684" s="19">
        <v>4751.0</v>
      </c>
      <c r="I684" s="19" t="s">
        <v>113</v>
      </c>
      <c r="J684" s="19" t="s">
        <v>60</v>
      </c>
      <c r="K684" s="19"/>
      <c r="L684" s="19"/>
      <c r="M684" s="19" t="s">
        <v>1340</v>
      </c>
      <c r="N684" s="19">
        <v>1.0</v>
      </c>
      <c r="O684" s="19" t="s">
        <v>40</v>
      </c>
      <c r="P684" s="19" t="s">
        <v>41</v>
      </c>
      <c r="Q684" s="19" t="s">
        <v>54</v>
      </c>
      <c r="R684" s="19" t="s">
        <v>55</v>
      </c>
      <c r="S684" s="19"/>
      <c r="T684" s="19"/>
      <c r="U684" s="19"/>
      <c r="V684" s="19"/>
      <c r="W684" s="19"/>
      <c r="X684" s="19"/>
      <c r="Y684" s="19"/>
    </row>
    <row r="685" ht="56.25" customHeight="1">
      <c r="A685" s="13" t="s">
        <v>197</v>
      </c>
      <c r="B685" s="15" t="str">
        <f>image("https://storage.googleapis.com/acdb/wall-mounted/FtrDoorPlateBone_Remake_1_0.png")</f>
        <v/>
      </c>
      <c r="C685" s="19"/>
      <c r="D685" s="42" t="s">
        <v>50</v>
      </c>
      <c r="E685" s="42" t="s">
        <v>50</v>
      </c>
      <c r="F685" s="38" t="s">
        <v>51</v>
      </c>
      <c r="G685" s="38">
        <v>360.0</v>
      </c>
      <c r="H685" s="19">
        <v>4751.0</v>
      </c>
      <c r="I685" s="19" t="s">
        <v>113</v>
      </c>
      <c r="J685" s="19" t="s">
        <v>60</v>
      </c>
      <c r="K685" s="19"/>
      <c r="L685" s="19"/>
      <c r="M685" s="19" t="s">
        <v>1340</v>
      </c>
      <c r="N685" s="19">
        <v>1.0</v>
      </c>
      <c r="O685" s="19" t="s">
        <v>40</v>
      </c>
      <c r="P685" s="19" t="s">
        <v>41</v>
      </c>
      <c r="Q685" s="19" t="s">
        <v>54</v>
      </c>
      <c r="R685" s="19" t="s">
        <v>55</v>
      </c>
      <c r="S685" s="19"/>
      <c r="T685" s="19"/>
      <c r="U685" s="19"/>
      <c r="V685" s="19"/>
      <c r="W685" s="19"/>
      <c r="X685" s="19"/>
      <c r="Y685" s="19"/>
    </row>
    <row r="686" ht="56.25" customHeight="1">
      <c r="A686" s="13" t="s">
        <v>197</v>
      </c>
      <c r="B686" s="15" t="str">
        <f>image("https://storage.googleapis.com/acdb/wall-mounted/FtrDoorPlateBone_Remake_2_0.png")</f>
        <v/>
      </c>
      <c r="C686" s="19"/>
      <c r="D686" s="42" t="s">
        <v>50</v>
      </c>
      <c r="E686" s="42" t="s">
        <v>50</v>
      </c>
      <c r="F686" s="38" t="s">
        <v>51</v>
      </c>
      <c r="G686" s="38">
        <v>360.0</v>
      </c>
      <c r="H686" s="19">
        <v>4751.0</v>
      </c>
      <c r="I686" s="19" t="s">
        <v>113</v>
      </c>
      <c r="J686" s="19" t="s">
        <v>60</v>
      </c>
      <c r="K686" s="19"/>
      <c r="L686" s="19"/>
      <c r="M686" s="19" t="s">
        <v>1340</v>
      </c>
      <c r="N686" s="19">
        <v>1.0</v>
      </c>
      <c r="O686" s="19" t="s">
        <v>40</v>
      </c>
      <c r="P686" s="19" t="s">
        <v>41</v>
      </c>
      <c r="Q686" s="19" t="s">
        <v>54</v>
      </c>
      <c r="R686" s="19" t="s">
        <v>55</v>
      </c>
      <c r="S686" s="19"/>
      <c r="T686" s="19"/>
      <c r="U686" s="19"/>
      <c r="V686" s="19"/>
      <c r="W686" s="19"/>
      <c r="X686" s="19"/>
      <c r="Y686" s="19"/>
    </row>
    <row r="687" ht="56.25" customHeight="1">
      <c r="A687" s="13" t="s">
        <v>197</v>
      </c>
      <c r="B687" s="15" t="str">
        <f>image("https://storage.googleapis.com/acdb/wall-mounted/FtrDoorPlateBone_Remake_3_0.png")</f>
        <v/>
      </c>
      <c r="C687" s="19"/>
      <c r="D687" s="42" t="s">
        <v>50</v>
      </c>
      <c r="E687" s="42" t="s">
        <v>50</v>
      </c>
      <c r="F687" s="38" t="s">
        <v>51</v>
      </c>
      <c r="G687" s="38">
        <v>360.0</v>
      </c>
      <c r="H687" s="19">
        <v>4751.0</v>
      </c>
      <c r="I687" s="19" t="s">
        <v>113</v>
      </c>
      <c r="J687" s="19" t="s">
        <v>60</v>
      </c>
      <c r="K687" s="19"/>
      <c r="L687" s="19"/>
      <c r="M687" s="19" t="s">
        <v>1340</v>
      </c>
      <c r="N687" s="19">
        <v>1.0</v>
      </c>
      <c r="O687" s="19" t="s">
        <v>40</v>
      </c>
      <c r="P687" s="19" t="s">
        <v>41</v>
      </c>
      <c r="Q687" s="19" t="s">
        <v>54</v>
      </c>
      <c r="R687" s="19" t="s">
        <v>55</v>
      </c>
      <c r="S687" s="19"/>
      <c r="T687" s="19"/>
      <c r="U687" s="19"/>
      <c r="V687" s="19"/>
      <c r="W687" s="19"/>
      <c r="X687" s="19"/>
      <c r="Y687" s="19"/>
    </row>
    <row r="688" ht="56.25" customHeight="1">
      <c r="A688" s="13" t="s">
        <v>197</v>
      </c>
      <c r="B688" s="15" t="str">
        <f>image("https://storage.googleapis.com/acdb/wall-mounted/FtrDoorPlateBone_Remake_4_0.png")</f>
        <v/>
      </c>
      <c r="C688" s="19"/>
      <c r="D688" s="42" t="s">
        <v>50</v>
      </c>
      <c r="E688" s="42" t="s">
        <v>50</v>
      </c>
      <c r="F688" s="38" t="s">
        <v>51</v>
      </c>
      <c r="G688" s="38">
        <v>360.0</v>
      </c>
      <c r="H688" s="19">
        <v>4751.0</v>
      </c>
      <c r="I688" s="19" t="s">
        <v>113</v>
      </c>
      <c r="J688" s="19" t="s">
        <v>60</v>
      </c>
      <c r="K688" s="19"/>
      <c r="L688" s="19"/>
      <c r="M688" s="19" t="s">
        <v>1340</v>
      </c>
      <c r="N688" s="19">
        <v>1.0</v>
      </c>
      <c r="O688" s="19" t="s">
        <v>40</v>
      </c>
      <c r="P688" s="19" t="s">
        <v>41</v>
      </c>
      <c r="Q688" s="19" t="s">
        <v>54</v>
      </c>
      <c r="R688" s="19" t="s">
        <v>55</v>
      </c>
      <c r="S688" s="19"/>
      <c r="T688" s="19"/>
      <c r="U688" s="19"/>
      <c r="V688" s="19"/>
      <c r="W688" s="19"/>
      <c r="X688" s="19"/>
      <c r="Y688" s="19"/>
    </row>
    <row r="689" ht="56.25" customHeight="1">
      <c r="A689" s="13" t="s">
        <v>197</v>
      </c>
      <c r="B689" s="15" t="str">
        <f>image("https://storage.googleapis.com/acdb/wall-mounted/FtrDoorPlateBone_Remake_5_0.png")</f>
        <v/>
      </c>
      <c r="C689" s="19"/>
      <c r="D689" s="42" t="s">
        <v>50</v>
      </c>
      <c r="E689" s="42" t="s">
        <v>50</v>
      </c>
      <c r="F689" s="38" t="s">
        <v>51</v>
      </c>
      <c r="G689" s="38">
        <v>360.0</v>
      </c>
      <c r="H689" s="19">
        <v>4751.0</v>
      </c>
      <c r="I689" s="19" t="s">
        <v>113</v>
      </c>
      <c r="J689" s="19" t="s">
        <v>60</v>
      </c>
      <c r="K689" s="19"/>
      <c r="L689" s="19"/>
      <c r="M689" s="19" t="s">
        <v>1340</v>
      </c>
      <c r="N689" s="19">
        <v>1.0</v>
      </c>
      <c r="O689" s="19" t="s">
        <v>40</v>
      </c>
      <c r="P689" s="19" t="s">
        <v>41</v>
      </c>
      <c r="Q689" s="19" t="s">
        <v>54</v>
      </c>
      <c r="R689" s="19" t="s">
        <v>55</v>
      </c>
      <c r="S689" s="19"/>
      <c r="T689" s="19"/>
      <c r="U689" s="19"/>
      <c r="V689" s="19"/>
      <c r="W689" s="19"/>
      <c r="X689" s="19"/>
      <c r="Y689" s="19"/>
    </row>
    <row r="690" ht="56.25" customHeight="1">
      <c r="A690" s="13" t="s">
        <v>197</v>
      </c>
      <c r="B690" s="15" t="str">
        <f>image("https://storage.googleapis.com/acdb/wall-mounted/FtrDoorPlateBone_Remake_6_0.png")</f>
        <v/>
      </c>
      <c r="C690" s="19"/>
      <c r="D690" s="42" t="s">
        <v>50</v>
      </c>
      <c r="E690" s="42" t="s">
        <v>50</v>
      </c>
      <c r="F690" s="38" t="s">
        <v>51</v>
      </c>
      <c r="G690" s="38">
        <v>360.0</v>
      </c>
      <c r="H690" s="19">
        <v>4751.0</v>
      </c>
      <c r="I690" s="19" t="s">
        <v>113</v>
      </c>
      <c r="J690" s="19" t="s">
        <v>60</v>
      </c>
      <c r="K690" s="19"/>
      <c r="L690" s="19"/>
      <c r="M690" s="19" t="s">
        <v>1340</v>
      </c>
      <c r="N690" s="19">
        <v>1.0</v>
      </c>
      <c r="O690" s="19" t="s">
        <v>40</v>
      </c>
      <c r="P690" s="19" t="s">
        <v>41</v>
      </c>
      <c r="Q690" s="19" t="s">
        <v>54</v>
      </c>
      <c r="R690" s="19" t="s">
        <v>55</v>
      </c>
      <c r="S690" s="19"/>
      <c r="T690" s="19"/>
      <c r="U690" s="19"/>
      <c r="V690" s="19"/>
      <c r="W690" s="19"/>
      <c r="X690" s="19"/>
      <c r="Y690" s="19"/>
    </row>
    <row r="691" ht="56.25" customHeight="1">
      <c r="A691" s="13" t="s">
        <v>197</v>
      </c>
      <c r="B691" s="15" t="str">
        <f>image("https://storage.googleapis.com/acdb/wall-mounted/FtrDoorPlateBone_Remake_7_0.png")</f>
        <v/>
      </c>
      <c r="C691" s="19"/>
      <c r="D691" s="42" t="s">
        <v>50</v>
      </c>
      <c r="E691" s="42" t="s">
        <v>50</v>
      </c>
      <c r="F691" s="38" t="s">
        <v>51</v>
      </c>
      <c r="G691" s="38">
        <v>360.0</v>
      </c>
      <c r="H691" s="19">
        <v>4751.0</v>
      </c>
      <c r="I691" s="19" t="s">
        <v>113</v>
      </c>
      <c r="J691" s="19" t="s">
        <v>60</v>
      </c>
      <c r="K691" s="19"/>
      <c r="L691" s="19"/>
      <c r="M691" s="19" t="s">
        <v>1340</v>
      </c>
      <c r="N691" s="19">
        <v>1.0</v>
      </c>
      <c r="O691" s="19" t="s">
        <v>40</v>
      </c>
      <c r="P691" s="19" t="s">
        <v>41</v>
      </c>
      <c r="Q691" s="19" t="s">
        <v>54</v>
      </c>
      <c r="R691" s="19" t="s">
        <v>55</v>
      </c>
      <c r="S691" s="19"/>
      <c r="T691" s="19"/>
      <c r="U691" s="19"/>
      <c r="V691" s="19"/>
      <c r="W691" s="19"/>
      <c r="X691" s="19"/>
      <c r="Y691" s="19"/>
    </row>
    <row r="692" ht="56.25" customHeight="1">
      <c r="A692" s="13" t="s">
        <v>224</v>
      </c>
      <c r="B692" s="41" t="str">
        <f>image("https://i.imgur.com/7HdHWWp.png")</f>
        <v/>
      </c>
      <c r="C692" s="22" t="str">
        <f>HYPERLINK("https://imgur.com/a/SSikaV8","Yes")</f>
        <v>Yes</v>
      </c>
      <c r="D692" s="42" t="s">
        <v>50</v>
      </c>
      <c r="E692" s="42" t="s">
        <v>50</v>
      </c>
      <c r="F692" s="38" t="s">
        <v>51</v>
      </c>
      <c r="G692" s="38">
        <v>360.0</v>
      </c>
      <c r="H692" s="19">
        <v>682.0</v>
      </c>
      <c r="I692" s="19" t="s">
        <v>113</v>
      </c>
      <c r="J692" s="19"/>
      <c r="K692" s="19"/>
      <c r="L692" s="19"/>
      <c r="M692" s="19" t="s">
        <v>1488</v>
      </c>
      <c r="N692" s="19">
        <v>1.0</v>
      </c>
      <c r="O692" s="19" t="s">
        <v>40</v>
      </c>
      <c r="P692" s="19" t="s">
        <v>41</v>
      </c>
      <c r="Q692" s="19" t="s">
        <v>54</v>
      </c>
      <c r="R692" s="19" t="s">
        <v>55</v>
      </c>
      <c r="S692" s="19"/>
      <c r="T692" s="19"/>
      <c r="U692" s="19"/>
      <c r="V692" s="19"/>
      <c r="W692" s="19"/>
      <c r="X692" s="19"/>
      <c r="Y692" s="19"/>
    </row>
    <row r="693" ht="56.25" customHeight="1">
      <c r="A693" s="13" t="s">
        <v>242</v>
      </c>
      <c r="B693" s="41" t="str">
        <f>image("https://i.imgur.com/P5vBTvl.png")</f>
        <v/>
      </c>
      <c r="C693" s="25" t="s">
        <v>40</v>
      </c>
      <c r="D693" s="42" t="s">
        <v>28</v>
      </c>
      <c r="E693" s="42" t="s">
        <v>28</v>
      </c>
      <c r="F693" s="38">
        <v>820.0</v>
      </c>
      <c r="G693" s="38">
        <v>205.0</v>
      </c>
      <c r="H693" s="19">
        <v>875.0</v>
      </c>
      <c r="I693" s="19" t="s">
        <v>243</v>
      </c>
      <c r="J693" s="19" t="s">
        <v>90</v>
      </c>
      <c r="K693" s="19"/>
      <c r="L693" s="19"/>
      <c r="M693" s="19" t="s">
        <v>1340</v>
      </c>
      <c r="N693" s="19"/>
      <c r="O693" s="19" t="s">
        <v>40</v>
      </c>
      <c r="P693" s="19" t="s">
        <v>41</v>
      </c>
      <c r="Q693" s="19" t="s">
        <v>43</v>
      </c>
      <c r="R693" s="19" t="s">
        <v>44</v>
      </c>
      <c r="S693" s="19" t="s">
        <v>68</v>
      </c>
      <c r="T693" s="19"/>
      <c r="U693" s="19"/>
      <c r="V693" s="19"/>
      <c r="W693" s="19"/>
      <c r="X693" s="19"/>
      <c r="Y693" s="19"/>
    </row>
    <row r="694" ht="56.25" customHeight="1">
      <c r="A694" s="13" t="s">
        <v>245</v>
      </c>
      <c r="B694" s="41" t="str">
        <f>image("https://i.imgur.com/d0mq6HV.png")</f>
        <v/>
      </c>
      <c r="C694" s="25" t="s">
        <v>40</v>
      </c>
      <c r="D694" s="42" t="s">
        <v>28</v>
      </c>
      <c r="E694" s="42" t="s">
        <v>28</v>
      </c>
      <c r="F694" s="38" t="s">
        <v>51</v>
      </c>
      <c r="G694" s="38">
        <v>400.0</v>
      </c>
      <c r="H694" s="19">
        <v>7037.0</v>
      </c>
      <c r="I694" s="19" t="s">
        <v>60</v>
      </c>
      <c r="J694" s="19" t="s">
        <v>62</v>
      </c>
      <c r="K694" s="19"/>
      <c r="L694" s="19"/>
      <c r="M694" s="19" t="s">
        <v>1340</v>
      </c>
      <c r="N694" s="19"/>
      <c r="O694" s="19" t="s">
        <v>40</v>
      </c>
      <c r="P694" s="19" t="s">
        <v>41</v>
      </c>
      <c r="Q694" s="19" t="s">
        <v>54</v>
      </c>
      <c r="R694" s="19" t="s">
        <v>247</v>
      </c>
      <c r="S694" s="19"/>
      <c r="T694" s="19"/>
      <c r="U694" s="19"/>
      <c r="V694" s="19"/>
      <c r="W694" s="19"/>
      <c r="X694" s="19"/>
      <c r="Y694" s="19"/>
    </row>
    <row r="695" ht="56.25" customHeight="1">
      <c r="A695" s="13" t="s">
        <v>249</v>
      </c>
      <c r="B695" s="41" t="str">
        <f>image("https://i.imgur.com/vpiJwVG.png")</f>
        <v/>
      </c>
      <c r="C695" s="22" t="str">
        <f>HYPERLINK("https://imgur.com/a/5f6rS4K","Yes")</f>
        <v>Yes</v>
      </c>
      <c r="D695" s="42" t="s">
        <v>28</v>
      </c>
      <c r="E695" s="42" t="s">
        <v>28</v>
      </c>
      <c r="F695" s="38">
        <v>910.0</v>
      </c>
      <c r="G695" s="43">
        <v>227.0</v>
      </c>
      <c r="H695" s="19">
        <v>3967.0</v>
      </c>
      <c r="I695" s="19" t="s">
        <v>80</v>
      </c>
      <c r="J695" s="19"/>
      <c r="K695" s="19"/>
      <c r="L695" s="19"/>
      <c r="M695" s="19" t="s">
        <v>1350</v>
      </c>
      <c r="N695" s="19">
        <v>1.0</v>
      </c>
      <c r="O695" s="19" t="s">
        <v>40</v>
      </c>
      <c r="P695" s="19" t="s">
        <v>41</v>
      </c>
      <c r="Q695" s="19" t="s">
        <v>43</v>
      </c>
      <c r="R695" s="19" t="s">
        <v>44</v>
      </c>
      <c r="S695" s="19" t="s">
        <v>63</v>
      </c>
      <c r="T695" s="19"/>
      <c r="U695" s="19"/>
      <c r="V695" s="19"/>
      <c r="W695" s="19"/>
      <c r="X695" s="19"/>
      <c r="Y695" s="19"/>
    </row>
    <row r="696" ht="56.25" customHeight="1">
      <c r="A696" s="13" t="s">
        <v>260</v>
      </c>
      <c r="B696" s="41" t="str">
        <f>image("https://i.imgur.com/yvTysIb.png")</f>
        <v/>
      </c>
      <c r="C696" s="25" t="s">
        <v>40</v>
      </c>
      <c r="D696" s="15" t="s">
        <v>50</v>
      </c>
      <c r="E696" s="19" t="s">
        <v>28</v>
      </c>
      <c r="F696" s="13" t="s">
        <v>51</v>
      </c>
      <c r="G696" s="24">
        <v>2400.0</v>
      </c>
      <c r="H696" s="19"/>
      <c r="I696" s="19"/>
      <c r="J696" s="19"/>
      <c r="K696" s="19"/>
      <c r="L696" s="19"/>
      <c r="M696" s="19"/>
      <c r="N696" s="19"/>
      <c r="O696" s="19"/>
      <c r="P696" s="19"/>
      <c r="Q696" s="19" t="s">
        <v>54</v>
      </c>
      <c r="R696" s="19" t="s">
        <v>55</v>
      </c>
      <c r="S696" s="19"/>
      <c r="T696" s="19"/>
      <c r="U696" s="19"/>
      <c r="V696" s="19"/>
      <c r="W696" s="19"/>
      <c r="X696" s="19"/>
      <c r="Y696" s="19"/>
    </row>
    <row r="697" ht="56.25" customHeight="1">
      <c r="A697" s="13" t="s">
        <v>263</v>
      </c>
      <c r="B697" s="41" t="str">
        <f>image("https://i.imgur.com/MBVvhWX.png")</f>
        <v/>
      </c>
      <c r="C697" s="25" t="s">
        <v>40</v>
      </c>
      <c r="D697" s="15" t="s">
        <v>50</v>
      </c>
      <c r="E697" s="19" t="s">
        <v>28</v>
      </c>
      <c r="F697" s="13" t="s">
        <v>51</v>
      </c>
      <c r="G697" s="24">
        <v>1200.0</v>
      </c>
      <c r="H697" s="19"/>
      <c r="I697" s="19"/>
      <c r="J697" s="19"/>
      <c r="K697" s="19"/>
      <c r="L697" s="19"/>
      <c r="M697" s="19"/>
      <c r="N697" s="19"/>
      <c r="O697" s="19"/>
      <c r="P697" s="19"/>
      <c r="Q697" s="19" t="s">
        <v>54</v>
      </c>
      <c r="R697" s="19" t="s">
        <v>55</v>
      </c>
      <c r="S697" s="19"/>
      <c r="T697" s="19"/>
      <c r="U697" s="19"/>
      <c r="V697" s="19"/>
      <c r="W697" s="19"/>
      <c r="X697" s="19"/>
      <c r="Y697" s="19"/>
    </row>
    <row r="698" ht="56.25" customHeight="1">
      <c r="A698" s="13" t="s">
        <v>266</v>
      </c>
      <c r="B698" s="41" t="str">
        <f>image("https://i.imgur.com/uLlQrmF.png")</f>
        <v/>
      </c>
      <c r="C698" s="25" t="s">
        <v>40</v>
      </c>
      <c r="D698" s="15" t="s">
        <v>50</v>
      </c>
      <c r="E698" s="19" t="s">
        <v>28</v>
      </c>
      <c r="F698" s="13" t="s">
        <v>51</v>
      </c>
      <c r="G698" s="24">
        <v>2400.0</v>
      </c>
      <c r="H698" s="19"/>
      <c r="I698" s="19"/>
      <c r="J698" s="19"/>
      <c r="K698" s="19"/>
      <c r="L698" s="19"/>
      <c r="M698" s="19"/>
      <c r="N698" s="19"/>
      <c r="O698" s="19"/>
      <c r="P698" s="19"/>
      <c r="Q698" s="19" t="s">
        <v>54</v>
      </c>
      <c r="R698" s="19" t="s">
        <v>55</v>
      </c>
      <c r="S698" s="19"/>
      <c r="T698" s="19"/>
      <c r="U698" s="19"/>
      <c r="V698" s="19"/>
      <c r="W698" s="19"/>
      <c r="X698" s="19"/>
      <c r="Y698" s="19"/>
    </row>
    <row r="699" ht="56.25" customHeight="1">
      <c r="A699" s="13" t="s">
        <v>268</v>
      </c>
      <c r="B699" s="41" t="str">
        <f>image("https://i.imgur.com/X7TIAmr.png")</f>
        <v/>
      </c>
      <c r="C699" s="25" t="s">
        <v>40</v>
      </c>
      <c r="D699" s="42" t="s">
        <v>28</v>
      </c>
      <c r="E699" s="42" t="s">
        <v>28</v>
      </c>
      <c r="F699" s="38">
        <v>1300.0</v>
      </c>
      <c r="G699" s="38">
        <v>325.0</v>
      </c>
      <c r="H699" s="19">
        <v>11182.0</v>
      </c>
      <c r="I699" s="19" t="s">
        <v>84</v>
      </c>
      <c r="J699" s="19" t="s">
        <v>90</v>
      </c>
      <c r="K699" s="19"/>
      <c r="L699" s="19"/>
      <c r="M699" s="19" t="s">
        <v>1340</v>
      </c>
      <c r="N699" s="19"/>
      <c r="O699" s="19" t="s">
        <v>40</v>
      </c>
      <c r="P699" s="19" t="s">
        <v>41</v>
      </c>
      <c r="Q699" s="19" t="s">
        <v>43</v>
      </c>
      <c r="R699" s="19" t="s">
        <v>44</v>
      </c>
      <c r="S699" s="19" t="s">
        <v>68</v>
      </c>
      <c r="T699" s="19"/>
      <c r="U699" s="19"/>
      <c r="V699" s="19"/>
      <c r="W699" s="19"/>
      <c r="X699" s="19"/>
      <c r="Y699" s="19"/>
    </row>
    <row r="700" ht="56.25" customHeight="1">
      <c r="A700" s="13" t="s">
        <v>271</v>
      </c>
      <c r="B700" s="41" t="str">
        <f>image("https://i.imgur.com/31xF0Ys.png")</f>
        <v/>
      </c>
      <c r="C700" s="22" t="str">
        <f>HYPERLINK("https://imgur.com/a/MH59474","Yes")</f>
        <v>Yes</v>
      </c>
      <c r="D700" s="42" t="s">
        <v>50</v>
      </c>
      <c r="E700" s="42" t="s">
        <v>50</v>
      </c>
      <c r="F700" s="38" t="s">
        <v>51</v>
      </c>
      <c r="G700" s="38">
        <v>2400.0</v>
      </c>
      <c r="H700" s="19">
        <v>4012.0</v>
      </c>
      <c r="I700" s="19" t="s">
        <v>36</v>
      </c>
      <c r="J700" s="19"/>
      <c r="K700" s="19"/>
      <c r="L700" s="19"/>
      <c r="M700" s="19" t="s">
        <v>1340</v>
      </c>
      <c r="N700" s="19">
        <v>4.0</v>
      </c>
      <c r="O700" s="19" t="s">
        <v>53</v>
      </c>
      <c r="P700" s="19" t="s">
        <v>186</v>
      </c>
      <c r="Q700" s="19" t="s">
        <v>54</v>
      </c>
      <c r="R700" s="19" t="s">
        <v>55</v>
      </c>
      <c r="S700" s="19"/>
      <c r="T700" s="19"/>
      <c r="U700" s="19"/>
      <c r="V700" s="19"/>
      <c r="W700" s="19"/>
      <c r="X700" s="19"/>
      <c r="Y700" s="19"/>
    </row>
    <row r="701" ht="56.25" customHeight="1">
      <c r="A701" s="13" t="s">
        <v>279</v>
      </c>
      <c r="B701" s="41" t="str">
        <f>image("https://i.imgur.com/2oX8Lnx.png")</f>
        <v/>
      </c>
      <c r="C701" s="22" t="str">
        <f>HYPERLINK("https://imgur.com/a/yEu6gf8","Yes")</f>
        <v>Yes</v>
      </c>
      <c r="D701" s="42" t="s">
        <v>50</v>
      </c>
      <c r="E701" s="42" t="s">
        <v>50</v>
      </c>
      <c r="F701" s="38" t="s">
        <v>51</v>
      </c>
      <c r="G701" s="38">
        <v>2750.0</v>
      </c>
      <c r="H701" s="19">
        <v>6832.0</v>
      </c>
      <c r="I701" s="19" t="s">
        <v>36</v>
      </c>
      <c r="J701" s="19"/>
      <c r="K701" s="19"/>
      <c r="L701" s="19"/>
      <c r="M701" s="19" t="s">
        <v>1340</v>
      </c>
      <c r="N701" s="19">
        <v>4.0</v>
      </c>
      <c r="O701" s="19" t="s">
        <v>53</v>
      </c>
      <c r="P701" s="19" t="s">
        <v>41</v>
      </c>
      <c r="Q701" s="19" t="s">
        <v>54</v>
      </c>
      <c r="R701" s="19" t="s">
        <v>55</v>
      </c>
      <c r="S701" s="19" t="s">
        <v>282</v>
      </c>
      <c r="T701" s="19"/>
      <c r="U701" s="19"/>
      <c r="V701" s="19"/>
      <c r="W701" s="19"/>
      <c r="X701" s="19"/>
      <c r="Y701" s="19"/>
    </row>
    <row r="702" ht="56.25" customHeight="1">
      <c r="A702" s="13" t="s">
        <v>289</v>
      </c>
      <c r="B702" s="41" t="str">
        <f>image("https://i.imgur.com/ewsrIq7.png")</f>
        <v/>
      </c>
      <c r="C702" s="25" t="s">
        <v>40</v>
      </c>
      <c r="D702" s="42" t="s">
        <v>50</v>
      </c>
      <c r="E702" s="42" t="s">
        <v>28</v>
      </c>
      <c r="F702" s="38" t="s">
        <v>51</v>
      </c>
      <c r="G702" s="38">
        <v>4800.0</v>
      </c>
      <c r="H702" s="19">
        <v>5764.0</v>
      </c>
      <c r="I702" s="19" t="s">
        <v>36</v>
      </c>
      <c r="J702" s="19"/>
      <c r="K702" s="19"/>
      <c r="L702" s="19"/>
      <c r="M702" s="19" t="s">
        <v>1340</v>
      </c>
      <c r="N702" s="19"/>
      <c r="O702" s="19" t="s">
        <v>40</v>
      </c>
      <c r="P702" s="19" t="s">
        <v>41</v>
      </c>
      <c r="Q702" s="19" t="s">
        <v>54</v>
      </c>
      <c r="R702" s="19" t="s">
        <v>55</v>
      </c>
      <c r="S702" s="19"/>
      <c r="T702" s="19"/>
      <c r="U702" s="19"/>
      <c r="V702" s="19"/>
      <c r="W702" s="19"/>
      <c r="X702" s="19"/>
      <c r="Y702" s="19"/>
    </row>
    <row r="703" ht="56.25" customHeight="1">
      <c r="A703" s="13" t="s">
        <v>291</v>
      </c>
      <c r="B703" s="41" t="str">
        <f>image("https://i.imgur.com/tzHCcCH.png")</f>
        <v/>
      </c>
      <c r="C703" s="25" t="s">
        <v>40</v>
      </c>
      <c r="D703" s="42" t="s">
        <v>50</v>
      </c>
      <c r="E703" s="42" t="s">
        <v>28</v>
      </c>
      <c r="F703" s="38" t="s">
        <v>51</v>
      </c>
      <c r="G703" s="38">
        <v>4800.0</v>
      </c>
      <c r="H703" s="19">
        <v>5765.0</v>
      </c>
      <c r="I703" s="19" t="s">
        <v>36</v>
      </c>
      <c r="J703" s="19"/>
      <c r="K703" s="19"/>
      <c r="L703" s="19"/>
      <c r="M703" s="19" t="s">
        <v>1340</v>
      </c>
      <c r="N703" s="19"/>
      <c r="O703" s="19" t="s">
        <v>40</v>
      </c>
      <c r="P703" s="19" t="s">
        <v>41</v>
      </c>
      <c r="Q703" s="19" t="s">
        <v>54</v>
      </c>
      <c r="R703" s="19" t="s">
        <v>55</v>
      </c>
      <c r="S703" s="19"/>
      <c r="T703" s="19"/>
      <c r="U703" s="19"/>
      <c r="V703" s="19"/>
      <c r="W703" s="19"/>
      <c r="X703" s="19"/>
      <c r="Y703" s="19"/>
    </row>
    <row r="704" ht="56.25" customHeight="1">
      <c r="A704" s="13" t="s">
        <v>294</v>
      </c>
      <c r="B704" s="41" t="str">
        <f>image("https://i.imgur.com/QbzOPtd.png")</f>
        <v/>
      </c>
      <c r="C704" s="25" t="s">
        <v>40</v>
      </c>
      <c r="D704" s="42" t="s">
        <v>50</v>
      </c>
      <c r="E704" s="42" t="s">
        <v>28</v>
      </c>
      <c r="F704" s="38" t="s">
        <v>51</v>
      </c>
      <c r="G704" s="38">
        <v>600.0</v>
      </c>
      <c r="H704" s="19">
        <v>4130.0</v>
      </c>
      <c r="I704" s="19" t="s">
        <v>84</v>
      </c>
      <c r="J704" s="19" t="s">
        <v>60</v>
      </c>
      <c r="K704" s="19"/>
      <c r="L704" s="19"/>
      <c r="M704" s="19" t="s">
        <v>1350</v>
      </c>
      <c r="N704" s="19"/>
      <c r="O704" s="19" t="s">
        <v>40</v>
      </c>
      <c r="P704" s="19" t="s">
        <v>41</v>
      </c>
      <c r="Q704" s="19" t="s">
        <v>54</v>
      </c>
      <c r="R704" s="19" t="s">
        <v>55</v>
      </c>
      <c r="S704" s="19"/>
      <c r="T704" s="19"/>
      <c r="U704" s="19"/>
      <c r="V704" s="19"/>
      <c r="W704" s="19"/>
      <c r="X704" s="19"/>
      <c r="Y704" s="19"/>
    </row>
    <row r="705" ht="56.25" customHeight="1">
      <c r="A705" s="13" t="s">
        <v>297</v>
      </c>
      <c r="B705" s="41" t="str">
        <f>image("https://i.imgur.com/TRPMBpw.png")</f>
        <v/>
      </c>
      <c r="C705" s="25" t="s">
        <v>40</v>
      </c>
      <c r="D705" s="42" t="s">
        <v>50</v>
      </c>
      <c r="E705" s="42" t="s">
        <v>28</v>
      </c>
      <c r="F705" s="38" t="s">
        <v>51</v>
      </c>
      <c r="G705" s="38">
        <v>1440.0</v>
      </c>
      <c r="H705" s="19">
        <v>5750.0</v>
      </c>
      <c r="I705" s="19" t="s">
        <v>36</v>
      </c>
      <c r="J705" s="19"/>
      <c r="K705" s="19"/>
      <c r="L705" s="19"/>
      <c r="M705" s="19" t="s">
        <v>1340</v>
      </c>
      <c r="N705" s="19"/>
      <c r="O705" s="19" t="s">
        <v>40</v>
      </c>
      <c r="P705" s="19" t="s">
        <v>41</v>
      </c>
      <c r="Q705" s="19" t="s">
        <v>54</v>
      </c>
      <c r="R705" s="19" t="s">
        <v>55</v>
      </c>
      <c r="S705" s="19"/>
      <c r="T705" s="19"/>
      <c r="U705" s="19"/>
      <c r="V705" s="19"/>
      <c r="W705" s="19"/>
      <c r="X705" s="19"/>
      <c r="Y705" s="19"/>
    </row>
    <row r="706" ht="56.25" customHeight="1">
      <c r="A706" s="13" t="s">
        <v>299</v>
      </c>
      <c r="B706" s="41" t="str">
        <f>image("https://i.imgur.com/D1wcmBz.png")</f>
        <v/>
      </c>
      <c r="C706" s="25" t="s">
        <v>40</v>
      </c>
      <c r="D706" s="42" t="s">
        <v>50</v>
      </c>
      <c r="E706" s="42" t="s">
        <v>28</v>
      </c>
      <c r="F706" s="38" t="s">
        <v>51</v>
      </c>
      <c r="G706" s="38">
        <v>4800.0</v>
      </c>
      <c r="H706" s="19">
        <v>5767.0</v>
      </c>
      <c r="I706" s="19" t="s">
        <v>36</v>
      </c>
      <c r="J706" s="19"/>
      <c r="K706" s="19"/>
      <c r="L706" s="19"/>
      <c r="M706" s="19" t="s">
        <v>1340</v>
      </c>
      <c r="N706" s="19"/>
      <c r="O706" s="19" t="s">
        <v>40</v>
      </c>
      <c r="P706" s="19" t="s">
        <v>41</v>
      </c>
      <c r="Q706" s="19" t="s">
        <v>54</v>
      </c>
      <c r="R706" s="19" t="s">
        <v>55</v>
      </c>
      <c r="S706" s="19"/>
      <c r="T706" s="19"/>
      <c r="U706" s="19"/>
      <c r="V706" s="19"/>
      <c r="W706" s="19"/>
      <c r="X706" s="19"/>
      <c r="Y706" s="19"/>
    </row>
    <row r="707" ht="56.25" customHeight="1">
      <c r="A707" s="13" t="s">
        <v>303</v>
      </c>
      <c r="B707" s="41" t="str">
        <f>image("https://i.imgur.com/Wdlk3fQ.png")</f>
        <v/>
      </c>
      <c r="C707" s="25" t="s">
        <v>40</v>
      </c>
      <c r="D707" s="42" t="s">
        <v>50</v>
      </c>
      <c r="E707" s="42" t="s">
        <v>28</v>
      </c>
      <c r="F707" s="38" t="s">
        <v>51</v>
      </c>
      <c r="G707" s="38">
        <v>1200.0</v>
      </c>
      <c r="H707" s="19">
        <v>5746.0</v>
      </c>
      <c r="I707" s="19" t="s">
        <v>36</v>
      </c>
      <c r="J707" s="19"/>
      <c r="K707" s="19"/>
      <c r="L707" s="19"/>
      <c r="M707" s="19" t="s">
        <v>1340</v>
      </c>
      <c r="N707" s="19"/>
      <c r="O707" s="19" t="s">
        <v>40</v>
      </c>
      <c r="P707" s="19" t="s">
        <v>41</v>
      </c>
      <c r="Q707" s="19" t="s">
        <v>54</v>
      </c>
      <c r="R707" s="19" t="s">
        <v>55</v>
      </c>
      <c r="S707" s="19"/>
      <c r="T707" s="19"/>
      <c r="U707" s="19"/>
      <c r="V707" s="19"/>
      <c r="W707" s="19"/>
      <c r="X707" s="19"/>
      <c r="Y707" s="19"/>
    </row>
    <row r="708" ht="56.25" customHeight="1">
      <c r="A708" s="13" t="s">
        <v>305</v>
      </c>
      <c r="B708" s="41" t="str">
        <f>image("https://i.imgur.com/iMPOV5S.png")</f>
        <v/>
      </c>
      <c r="C708" s="22" t="str">
        <f>HYPERLINK("https://imgur.com/a/65lmCFn","Yes")</f>
        <v>Yes</v>
      </c>
      <c r="D708" s="42" t="s">
        <v>28</v>
      </c>
      <c r="E708" s="44" t="s">
        <v>50</v>
      </c>
      <c r="F708" s="38">
        <v>1400.0</v>
      </c>
      <c r="G708" s="38">
        <v>350.0</v>
      </c>
      <c r="H708" s="19">
        <v>1783.0</v>
      </c>
      <c r="I708" s="19" t="s">
        <v>80</v>
      </c>
      <c r="J708" s="19" t="s">
        <v>61</v>
      </c>
      <c r="K708" s="19"/>
      <c r="L708" s="19"/>
      <c r="M708" s="19" t="s">
        <v>1384</v>
      </c>
      <c r="N708" s="19">
        <v>1.0</v>
      </c>
      <c r="O708" s="19" t="s">
        <v>40</v>
      </c>
      <c r="P708" s="19" t="s">
        <v>41</v>
      </c>
      <c r="Q708" s="19" t="s">
        <v>43</v>
      </c>
      <c r="R708" s="19" t="s">
        <v>44</v>
      </c>
      <c r="S708" s="19" t="s">
        <v>63</v>
      </c>
      <c r="T708" s="19"/>
      <c r="U708" s="19"/>
      <c r="V708" s="19"/>
      <c r="W708" s="19"/>
      <c r="X708" s="19"/>
      <c r="Y708" s="19"/>
    </row>
    <row r="709" ht="56.25" customHeight="1">
      <c r="A709" s="13" t="s">
        <v>342</v>
      </c>
      <c r="B709" s="41" t="str">
        <f>image("https://i.imgur.com/QvZJa6D.png")</f>
        <v/>
      </c>
      <c r="C709" s="25" t="s">
        <v>40</v>
      </c>
      <c r="D709" s="42" t="s">
        <v>50</v>
      </c>
      <c r="E709" s="42" t="s">
        <v>28</v>
      </c>
      <c r="F709" s="38" t="s">
        <v>51</v>
      </c>
      <c r="G709" s="38">
        <v>720.0</v>
      </c>
      <c r="H709" s="19">
        <v>4293.0</v>
      </c>
      <c r="I709" s="19" t="s">
        <v>36</v>
      </c>
      <c r="J709" s="19"/>
      <c r="K709" s="19"/>
      <c r="L709" s="19"/>
      <c r="M709" s="19" t="s">
        <v>1340</v>
      </c>
      <c r="N709" s="19"/>
      <c r="O709" s="19" t="s">
        <v>40</v>
      </c>
      <c r="P709" s="19" t="s">
        <v>41</v>
      </c>
      <c r="Q709" s="19" t="s">
        <v>54</v>
      </c>
      <c r="R709" s="19" t="s">
        <v>55</v>
      </c>
      <c r="S709" s="19"/>
      <c r="T709" s="19"/>
      <c r="U709" s="19"/>
      <c r="V709" s="19"/>
      <c r="W709" s="19"/>
      <c r="X709" s="19"/>
      <c r="Y709" s="19"/>
    </row>
    <row r="710" ht="56.25" customHeight="1">
      <c r="A710" s="13" t="s">
        <v>344</v>
      </c>
      <c r="B710" s="41" t="str">
        <f>image("https://i.imgur.com/HeIKMFY.png")</f>
        <v/>
      </c>
      <c r="C710" s="22" t="str">
        <f>HYPERLINK("https://imgur.com/a/l0kt9sY","Yes")</f>
        <v>Yes</v>
      </c>
      <c r="D710" s="42" t="s">
        <v>50</v>
      </c>
      <c r="E710" s="42" t="s">
        <v>50</v>
      </c>
      <c r="F710" s="38" t="s">
        <v>51</v>
      </c>
      <c r="G710" s="38">
        <v>3000.0</v>
      </c>
      <c r="H710" s="19">
        <v>5717.0</v>
      </c>
      <c r="I710" s="19" t="s">
        <v>62</v>
      </c>
      <c r="J710" s="19"/>
      <c r="K710" s="19"/>
      <c r="L710" s="19"/>
      <c r="M710" s="19" t="s">
        <v>1340</v>
      </c>
      <c r="N710" s="19">
        <v>1.0</v>
      </c>
      <c r="O710" s="19" t="s">
        <v>40</v>
      </c>
      <c r="P710" s="19" t="s">
        <v>41</v>
      </c>
      <c r="Q710" s="19" t="s">
        <v>54</v>
      </c>
      <c r="R710" s="19" t="s">
        <v>55</v>
      </c>
      <c r="S710" s="19"/>
      <c r="T710" s="19"/>
      <c r="U710" s="19"/>
      <c r="V710" s="19"/>
      <c r="W710" s="19"/>
      <c r="X710" s="19"/>
      <c r="Y710" s="19"/>
    </row>
    <row r="711" ht="56.25" customHeight="1">
      <c r="A711" s="13" t="s">
        <v>364</v>
      </c>
      <c r="B711" s="41" t="str">
        <f>image("https://i.imgur.com/gp6SjQK.png")</f>
        <v/>
      </c>
      <c r="C711" s="22" t="str">
        <f>HYPERLINK("https://imgur.com/a/JcPCi2c","Yes")</f>
        <v>Yes</v>
      </c>
      <c r="D711" s="42" t="s">
        <v>28</v>
      </c>
      <c r="E711" s="42" t="s">
        <v>28</v>
      </c>
      <c r="F711" s="38">
        <v>3200.0</v>
      </c>
      <c r="G711" s="38">
        <v>800.0</v>
      </c>
      <c r="H711" s="19">
        <v>915.0</v>
      </c>
      <c r="I711" s="19" t="s">
        <v>60</v>
      </c>
      <c r="J711" s="19" t="s">
        <v>113</v>
      </c>
      <c r="K711" s="19"/>
      <c r="L711" s="19"/>
      <c r="M711" s="19" t="s">
        <v>1350</v>
      </c>
      <c r="N711" s="19">
        <v>2.0</v>
      </c>
      <c r="O711" s="19" t="s">
        <v>53</v>
      </c>
      <c r="P711" s="19" t="s">
        <v>41</v>
      </c>
      <c r="Q711" s="19" t="s">
        <v>43</v>
      </c>
      <c r="R711" s="19" t="s">
        <v>44</v>
      </c>
      <c r="S711" s="19" t="s">
        <v>63</v>
      </c>
      <c r="T711" s="19"/>
      <c r="U711" s="19"/>
      <c r="V711" s="19"/>
      <c r="W711" s="19"/>
      <c r="X711" s="19"/>
      <c r="Y711" s="19"/>
    </row>
    <row r="712" ht="56.25" customHeight="1">
      <c r="A712" s="13" t="s">
        <v>382</v>
      </c>
      <c r="B712" s="41" t="str">
        <f>image("https://i.imgur.com/6My5vku.png")</f>
        <v/>
      </c>
      <c r="C712" s="22" t="str">
        <f>HYPERLINK("https://imgur.com/a/IZXlCwM","Yes")</f>
        <v>Yes</v>
      </c>
      <c r="D712" s="42" t="s">
        <v>28</v>
      </c>
      <c r="E712" s="42" t="s">
        <v>28</v>
      </c>
      <c r="F712" s="38">
        <v>1200.0</v>
      </c>
      <c r="G712" s="38">
        <v>300.0</v>
      </c>
      <c r="H712" s="19">
        <v>3996.0</v>
      </c>
      <c r="I712" s="19" t="s">
        <v>36</v>
      </c>
      <c r="J712" s="19"/>
      <c r="K712" s="19" t="s">
        <v>384</v>
      </c>
      <c r="L712" s="19"/>
      <c r="M712" s="19" t="s">
        <v>1340</v>
      </c>
      <c r="N712" s="19">
        <v>1.0</v>
      </c>
      <c r="O712" s="19" t="s">
        <v>53</v>
      </c>
      <c r="P712" s="19" t="s">
        <v>41</v>
      </c>
      <c r="Q712" s="19" t="s">
        <v>43</v>
      </c>
      <c r="R712" s="19" t="s">
        <v>44</v>
      </c>
      <c r="S712" s="19" t="s">
        <v>68</v>
      </c>
      <c r="T712" s="19"/>
      <c r="U712" s="19"/>
      <c r="V712" s="19"/>
      <c r="W712" s="19"/>
      <c r="X712" s="19"/>
      <c r="Y712" s="19"/>
    </row>
    <row r="713" ht="56.25" customHeight="1">
      <c r="A713" s="13" t="s">
        <v>396</v>
      </c>
      <c r="B713" s="41" t="str">
        <f>image("https://i.imgur.com/WXEXesa.png")</f>
        <v/>
      </c>
      <c r="C713" s="25" t="s">
        <v>40</v>
      </c>
      <c r="D713" s="42" t="s">
        <v>50</v>
      </c>
      <c r="E713" s="42" t="s">
        <v>28</v>
      </c>
      <c r="F713" s="38" t="s">
        <v>51</v>
      </c>
      <c r="G713" s="38">
        <v>1600.0</v>
      </c>
      <c r="H713" s="19">
        <v>5770.0</v>
      </c>
      <c r="I713" s="19" t="s">
        <v>36</v>
      </c>
      <c r="J713" s="19" t="s">
        <v>346</v>
      </c>
      <c r="K713" s="19"/>
      <c r="L713" s="19"/>
      <c r="M713" s="19" t="s">
        <v>1340</v>
      </c>
      <c r="N713" s="19"/>
      <c r="O713" s="19" t="s">
        <v>40</v>
      </c>
      <c r="P713" s="19" t="s">
        <v>41</v>
      </c>
      <c r="Q713" s="19" t="s">
        <v>54</v>
      </c>
      <c r="R713" s="19" t="s">
        <v>55</v>
      </c>
      <c r="S713" s="19"/>
      <c r="T713" s="19"/>
      <c r="U713" s="19"/>
      <c r="V713" s="19"/>
      <c r="W713" s="19"/>
      <c r="X713" s="19"/>
      <c r="Y713" s="19"/>
    </row>
    <row r="714" ht="56.25" customHeight="1">
      <c r="A714" s="13" t="s">
        <v>400</v>
      </c>
      <c r="B714" s="41" t="str">
        <f>image("https://i.imgur.com/AGQp9A1.png")</f>
        <v/>
      </c>
      <c r="C714" s="25" t="s">
        <v>40</v>
      </c>
      <c r="D714" s="42" t="s">
        <v>50</v>
      </c>
      <c r="E714" s="42" t="s">
        <v>28</v>
      </c>
      <c r="F714" s="38" t="s">
        <v>51</v>
      </c>
      <c r="G714" s="38">
        <v>4320.0</v>
      </c>
      <c r="H714" s="19">
        <v>5766.0</v>
      </c>
      <c r="I714" s="19" t="s">
        <v>36</v>
      </c>
      <c r="J714" s="19" t="s">
        <v>346</v>
      </c>
      <c r="K714" s="19"/>
      <c r="L714" s="19"/>
      <c r="M714" s="19" t="s">
        <v>1340</v>
      </c>
      <c r="N714" s="19"/>
      <c r="O714" s="19" t="s">
        <v>40</v>
      </c>
      <c r="P714" s="19" t="s">
        <v>41</v>
      </c>
      <c r="Q714" s="19" t="s">
        <v>54</v>
      </c>
      <c r="R714" s="19" t="s">
        <v>55</v>
      </c>
      <c r="S714" s="19"/>
      <c r="T714" s="19"/>
      <c r="U714" s="19"/>
      <c r="V714" s="19"/>
      <c r="W714" s="19"/>
      <c r="X714" s="19"/>
      <c r="Y714" s="19"/>
    </row>
    <row r="715" ht="56.25" customHeight="1">
      <c r="A715" s="13" t="s">
        <v>402</v>
      </c>
      <c r="B715" s="41" t="str">
        <f>image("https://i.imgur.com/LptinD2.png")</f>
        <v/>
      </c>
      <c r="C715" s="25" t="s">
        <v>40</v>
      </c>
      <c r="D715" s="42" t="s">
        <v>50</v>
      </c>
      <c r="E715" s="42" t="s">
        <v>28</v>
      </c>
      <c r="F715" s="38" t="s">
        <v>51</v>
      </c>
      <c r="G715" s="38">
        <v>1600.0</v>
      </c>
      <c r="H715" s="19">
        <v>5771.0</v>
      </c>
      <c r="I715" s="19" t="s">
        <v>36</v>
      </c>
      <c r="J715" s="19" t="s">
        <v>346</v>
      </c>
      <c r="K715" s="19"/>
      <c r="L715" s="19"/>
      <c r="M715" s="19" t="s">
        <v>1340</v>
      </c>
      <c r="N715" s="19"/>
      <c r="O715" s="19" t="s">
        <v>40</v>
      </c>
      <c r="P715" s="19" t="s">
        <v>41</v>
      </c>
      <c r="Q715" s="19" t="s">
        <v>54</v>
      </c>
      <c r="R715" s="19" t="s">
        <v>55</v>
      </c>
      <c r="S715" s="19"/>
      <c r="T715" s="19"/>
      <c r="U715" s="19"/>
      <c r="V715" s="19"/>
      <c r="W715" s="19"/>
      <c r="X715" s="19"/>
      <c r="Y715" s="19"/>
    </row>
    <row r="716" ht="56.25" customHeight="1">
      <c r="A716" s="13" t="s">
        <v>404</v>
      </c>
      <c r="B716" s="41" t="str">
        <f>image("https://i.imgur.com/x6lY9yi.png")</f>
        <v/>
      </c>
      <c r="C716" s="22" t="str">
        <f>HYPERLINK("https://imgur.com/a/6s2bJN8","Yes")</f>
        <v>Yes</v>
      </c>
      <c r="D716" s="42" t="s">
        <v>50</v>
      </c>
      <c r="E716" s="42" t="s">
        <v>50</v>
      </c>
      <c r="F716" s="38" t="s">
        <v>51</v>
      </c>
      <c r="G716" s="38">
        <v>960.0</v>
      </c>
      <c r="H716" s="19">
        <v>3340.0</v>
      </c>
      <c r="I716" s="19" t="s">
        <v>60</v>
      </c>
      <c r="J716" s="19"/>
      <c r="K716" s="19"/>
      <c r="L716" s="19"/>
      <c r="M716" s="19" t="s">
        <v>1350</v>
      </c>
      <c r="N716" s="19">
        <v>2.0</v>
      </c>
      <c r="O716" s="19" t="s">
        <v>40</v>
      </c>
      <c r="P716" s="19" t="s">
        <v>41</v>
      </c>
      <c r="Q716" s="19" t="s">
        <v>54</v>
      </c>
      <c r="R716" s="19" t="s">
        <v>55</v>
      </c>
      <c r="S716" s="19"/>
      <c r="T716" s="19"/>
      <c r="U716" s="19"/>
      <c r="V716" s="19"/>
      <c r="W716" s="19"/>
      <c r="X716" s="19"/>
      <c r="Y716" s="19"/>
    </row>
    <row r="717" ht="56.25" customHeight="1">
      <c r="A717" s="13" t="s">
        <v>417</v>
      </c>
      <c r="B717" s="15" t="str">
        <f>image("https://storage.googleapis.com/acdb/wall-mounted/FtrAmeretroClock_Remake_0_0.png")</f>
        <v/>
      </c>
      <c r="C717" s="19" t="s">
        <v>208</v>
      </c>
      <c r="D717" s="42" t="s">
        <v>28</v>
      </c>
      <c r="E717" s="42" t="s">
        <v>28</v>
      </c>
      <c r="F717" s="38">
        <v>1500.0</v>
      </c>
      <c r="G717" s="38">
        <v>375.0</v>
      </c>
      <c r="H717" s="19">
        <v>4144.0</v>
      </c>
      <c r="I717" s="19" t="s">
        <v>37</v>
      </c>
      <c r="J717" s="19"/>
      <c r="K717" s="19" t="s">
        <v>423</v>
      </c>
      <c r="L717" s="19"/>
      <c r="M717" s="19" t="s">
        <v>1340</v>
      </c>
      <c r="N717" s="19">
        <v>1.0</v>
      </c>
      <c r="O717" s="19" t="s">
        <v>53</v>
      </c>
      <c r="P717" s="19" t="s">
        <v>41</v>
      </c>
      <c r="Q717" s="19" t="s">
        <v>43</v>
      </c>
      <c r="R717" s="19" t="s">
        <v>44</v>
      </c>
      <c r="S717" s="19" t="s">
        <v>68</v>
      </c>
      <c r="T717" s="19"/>
      <c r="U717" s="19"/>
      <c r="V717" s="19"/>
      <c r="W717" s="19"/>
      <c r="X717" s="19"/>
      <c r="Y717" s="19"/>
    </row>
    <row r="718" ht="56.25" customHeight="1">
      <c r="A718" s="13" t="s">
        <v>417</v>
      </c>
      <c r="B718" s="15" t="str">
        <f>image("https://storage.googleapis.com/acdb/wall-mounted/FtrAmeretroClock_Remake_0_1.png")</f>
        <v/>
      </c>
      <c r="C718" s="19" t="s">
        <v>208</v>
      </c>
      <c r="D718" s="42" t="s">
        <v>28</v>
      </c>
      <c r="E718" s="42" t="s">
        <v>28</v>
      </c>
      <c r="F718" s="38">
        <v>1500.0</v>
      </c>
      <c r="G718" s="38">
        <v>375.0</v>
      </c>
      <c r="H718" s="19">
        <v>4144.0</v>
      </c>
      <c r="I718" s="19" t="s">
        <v>37</v>
      </c>
      <c r="J718" s="19"/>
      <c r="K718" s="19" t="s">
        <v>423</v>
      </c>
      <c r="L718" s="19"/>
      <c r="M718" s="19" t="s">
        <v>1340</v>
      </c>
      <c r="N718" s="19">
        <v>1.0</v>
      </c>
      <c r="O718" s="19" t="s">
        <v>53</v>
      </c>
      <c r="P718" s="19" t="s">
        <v>41</v>
      </c>
      <c r="Q718" s="19" t="s">
        <v>43</v>
      </c>
      <c r="R718" s="19" t="s">
        <v>44</v>
      </c>
      <c r="S718" s="19" t="s">
        <v>68</v>
      </c>
      <c r="T718" s="19"/>
      <c r="U718" s="19"/>
      <c r="V718" s="19"/>
      <c r="W718" s="19"/>
      <c r="X718" s="19"/>
      <c r="Y718" s="19"/>
    </row>
    <row r="719" ht="56.25" customHeight="1">
      <c r="A719" s="13" t="s">
        <v>417</v>
      </c>
      <c r="B719" s="15" t="str">
        <f>image("https://storage.googleapis.com/acdb/wall-mounted/FtrAmeretroClock_Remake_0_2.png")</f>
        <v/>
      </c>
      <c r="C719" s="19" t="s">
        <v>208</v>
      </c>
      <c r="D719" s="42" t="s">
        <v>28</v>
      </c>
      <c r="E719" s="42" t="s">
        <v>28</v>
      </c>
      <c r="F719" s="38">
        <v>1500.0</v>
      </c>
      <c r="G719" s="38">
        <v>375.0</v>
      </c>
      <c r="H719" s="19">
        <v>4144.0</v>
      </c>
      <c r="I719" s="19" t="s">
        <v>37</v>
      </c>
      <c r="J719" s="19"/>
      <c r="K719" s="19" t="s">
        <v>423</v>
      </c>
      <c r="L719" s="19"/>
      <c r="M719" s="19" t="s">
        <v>1340</v>
      </c>
      <c r="N719" s="19">
        <v>1.0</v>
      </c>
      <c r="O719" s="19" t="s">
        <v>53</v>
      </c>
      <c r="P719" s="19" t="s">
        <v>41</v>
      </c>
      <c r="Q719" s="19" t="s">
        <v>43</v>
      </c>
      <c r="R719" s="19" t="s">
        <v>44</v>
      </c>
      <c r="S719" s="19" t="s">
        <v>68</v>
      </c>
      <c r="T719" s="19"/>
      <c r="U719" s="19"/>
      <c r="V719" s="19"/>
      <c r="W719" s="19"/>
      <c r="X719" s="19"/>
      <c r="Y719" s="19"/>
    </row>
    <row r="720" ht="56.25" customHeight="1">
      <c r="A720" s="13" t="s">
        <v>417</v>
      </c>
      <c r="B720" s="15" t="str">
        <f>image("https://storage.googleapis.com/acdb/wall-mounted/FtrAmeretroClock_Remake_1_0.png")</f>
        <v/>
      </c>
      <c r="C720" s="19" t="s">
        <v>112</v>
      </c>
      <c r="D720" s="42" t="s">
        <v>28</v>
      </c>
      <c r="E720" s="42" t="s">
        <v>28</v>
      </c>
      <c r="F720" s="38">
        <v>1500.0</v>
      </c>
      <c r="G720" s="38">
        <v>375.0</v>
      </c>
      <c r="H720" s="19">
        <v>4144.0</v>
      </c>
      <c r="I720" s="19" t="s">
        <v>37</v>
      </c>
      <c r="J720" s="19"/>
      <c r="K720" s="19" t="s">
        <v>423</v>
      </c>
      <c r="L720" s="19"/>
      <c r="M720" s="19" t="s">
        <v>1340</v>
      </c>
      <c r="N720" s="19">
        <v>1.0</v>
      </c>
      <c r="O720" s="19" t="s">
        <v>53</v>
      </c>
      <c r="P720" s="19" t="s">
        <v>41</v>
      </c>
      <c r="Q720" s="19" t="s">
        <v>43</v>
      </c>
      <c r="R720" s="19" t="s">
        <v>44</v>
      </c>
      <c r="S720" s="19" t="s">
        <v>68</v>
      </c>
      <c r="T720" s="19"/>
      <c r="U720" s="19"/>
      <c r="V720" s="19"/>
      <c r="W720" s="19"/>
      <c r="X720" s="19"/>
      <c r="Y720" s="19"/>
    </row>
    <row r="721" ht="56.25" customHeight="1">
      <c r="A721" s="13" t="s">
        <v>417</v>
      </c>
      <c r="B721" s="15" t="str">
        <f>image("https://storage.googleapis.com/acdb/wall-mounted/FtrAmeretroClock_Remake_1_1.png")</f>
        <v/>
      </c>
      <c r="C721" s="19" t="s">
        <v>112</v>
      </c>
      <c r="D721" s="42" t="s">
        <v>28</v>
      </c>
      <c r="E721" s="42" t="s">
        <v>28</v>
      </c>
      <c r="F721" s="38">
        <v>1500.0</v>
      </c>
      <c r="G721" s="38">
        <v>375.0</v>
      </c>
      <c r="H721" s="19">
        <v>4144.0</v>
      </c>
      <c r="I721" s="19" t="s">
        <v>37</v>
      </c>
      <c r="J721" s="19"/>
      <c r="K721" s="19" t="s">
        <v>423</v>
      </c>
      <c r="L721" s="19"/>
      <c r="M721" s="19" t="s">
        <v>1340</v>
      </c>
      <c r="N721" s="19">
        <v>1.0</v>
      </c>
      <c r="O721" s="19" t="s">
        <v>53</v>
      </c>
      <c r="P721" s="19" t="s">
        <v>41</v>
      </c>
      <c r="Q721" s="19" t="s">
        <v>43</v>
      </c>
      <c r="R721" s="19" t="s">
        <v>44</v>
      </c>
      <c r="S721" s="19" t="s">
        <v>68</v>
      </c>
      <c r="T721" s="19"/>
      <c r="U721" s="19"/>
      <c r="V721" s="19"/>
      <c r="W721" s="19"/>
      <c r="X721" s="19"/>
      <c r="Y721" s="19"/>
    </row>
    <row r="722" ht="56.25" customHeight="1">
      <c r="A722" s="13" t="s">
        <v>417</v>
      </c>
      <c r="B722" s="15" t="str">
        <f>image("https://storage.googleapis.com/acdb/wall-mounted/FtrAmeretroClock_Remake_1_2.png")</f>
        <v/>
      </c>
      <c r="C722" s="19" t="s">
        <v>112</v>
      </c>
      <c r="D722" s="42" t="s">
        <v>28</v>
      </c>
      <c r="E722" s="42" t="s">
        <v>28</v>
      </c>
      <c r="F722" s="38">
        <v>1500.0</v>
      </c>
      <c r="G722" s="38">
        <v>375.0</v>
      </c>
      <c r="H722" s="19">
        <v>4144.0</v>
      </c>
      <c r="I722" s="19" t="s">
        <v>37</v>
      </c>
      <c r="J722" s="19"/>
      <c r="K722" s="19" t="s">
        <v>423</v>
      </c>
      <c r="L722" s="19"/>
      <c r="M722" s="19" t="s">
        <v>1340</v>
      </c>
      <c r="N722" s="19">
        <v>1.0</v>
      </c>
      <c r="O722" s="19" t="s">
        <v>53</v>
      </c>
      <c r="P722" s="19" t="s">
        <v>41</v>
      </c>
      <c r="Q722" s="19" t="s">
        <v>43</v>
      </c>
      <c r="R722" s="19" t="s">
        <v>44</v>
      </c>
      <c r="S722" s="19" t="s">
        <v>68</v>
      </c>
      <c r="T722" s="19"/>
      <c r="U722" s="19"/>
      <c r="V722" s="19"/>
      <c r="W722" s="19"/>
      <c r="X722" s="19"/>
      <c r="Y722" s="19"/>
    </row>
    <row r="723" ht="56.25" customHeight="1">
      <c r="A723" s="13" t="s">
        <v>417</v>
      </c>
      <c r="B723" s="15" t="str">
        <f>image("https://storage.googleapis.com/acdb/wall-mounted/FtrAmeretroClock_Remake_2_0.png")</f>
        <v/>
      </c>
      <c r="C723" s="19" t="s">
        <v>211</v>
      </c>
      <c r="D723" s="42" t="s">
        <v>28</v>
      </c>
      <c r="E723" s="42" t="s">
        <v>28</v>
      </c>
      <c r="F723" s="38">
        <v>1500.0</v>
      </c>
      <c r="G723" s="38">
        <v>375.0</v>
      </c>
      <c r="H723" s="19">
        <v>4144.0</v>
      </c>
      <c r="I723" s="19" t="s">
        <v>37</v>
      </c>
      <c r="J723" s="19"/>
      <c r="K723" s="19" t="s">
        <v>423</v>
      </c>
      <c r="L723" s="19"/>
      <c r="M723" s="19" t="s">
        <v>1340</v>
      </c>
      <c r="N723" s="19">
        <v>1.0</v>
      </c>
      <c r="O723" s="19" t="s">
        <v>53</v>
      </c>
      <c r="P723" s="19" t="s">
        <v>41</v>
      </c>
      <c r="Q723" s="19" t="s">
        <v>43</v>
      </c>
      <c r="R723" s="19" t="s">
        <v>44</v>
      </c>
      <c r="S723" s="19" t="s">
        <v>68</v>
      </c>
      <c r="T723" s="19"/>
      <c r="U723" s="19"/>
      <c r="V723" s="19"/>
      <c r="W723" s="19"/>
      <c r="X723" s="19"/>
      <c r="Y723" s="19"/>
    </row>
    <row r="724" ht="56.25" customHeight="1">
      <c r="A724" s="13" t="s">
        <v>417</v>
      </c>
      <c r="B724" s="15" t="str">
        <f>image("https://storage.googleapis.com/acdb/wall-mounted/FtrAmeretroClock_Remake_2_1.png")</f>
        <v/>
      </c>
      <c r="C724" s="19" t="s">
        <v>211</v>
      </c>
      <c r="D724" s="42" t="s">
        <v>28</v>
      </c>
      <c r="E724" s="42" t="s">
        <v>28</v>
      </c>
      <c r="F724" s="38">
        <v>1500.0</v>
      </c>
      <c r="G724" s="38">
        <v>375.0</v>
      </c>
      <c r="H724" s="19">
        <v>4144.0</v>
      </c>
      <c r="I724" s="19" t="s">
        <v>37</v>
      </c>
      <c r="J724" s="19"/>
      <c r="K724" s="19" t="s">
        <v>423</v>
      </c>
      <c r="L724" s="19"/>
      <c r="M724" s="19" t="s">
        <v>1340</v>
      </c>
      <c r="N724" s="19">
        <v>1.0</v>
      </c>
      <c r="O724" s="19" t="s">
        <v>53</v>
      </c>
      <c r="P724" s="19" t="s">
        <v>41</v>
      </c>
      <c r="Q724" s="19" t="s">
        <v>43</v>
      </c>
      <c r="R724" s="19" t="s">
        <v>44</v>
      </c>
      <c r="S724" s="19" t="s">
        <v>68</v>
      </c>
      <c r="T724" s="19"/>
      <c r="U724" s="19"/>
      <c r="V724" s="19"/>
      <c r="W724" s="19"/>
      <c r="X724" s="19"/>
      <c r="Y724" s="19"/>
    </row>
    <row r="725" ht="56.25" customHeight="1">
      <c r="A725" s="13" t="s">
        <v>417</v>
      </c>
      <c r="B725" s="15" t="str">
        <f>image("https://storage.googleapis.com/acdb/wall-mounted/FtrAmeretroClock_Remake_2_2.png")</f>
        <v/>
      </c>
      <c r="C725" s="19" t="s">
        <v>211</v>
      </c>
      <c r="D725" s="42" t="s">
        <v>28</v>
      </c>
      <c r="E725" s="42" t="s">
        <v>28</v>
      </c>
      <c r="F725" s="38">
        <v>1500.0</v>
      </c>
      <c r="G725" s="38">
        <v>375.0</v>
      </c>
      <c r="H725" s="19">
        <v>4144.0</v>
      </c>
      <c r="I725" s="19" t="s">
        <v>37</v>
      </c>
      <c r="J725" s="19"/>
      <c r="K725" s="19" t="s">
        <v>423</v>
      </c>
      <c r="L725" s="19"/>
      <c r="M725" s="19" t="s">
        <v>1340</v>
      </c>
      <c r="N725" s="19">
        <v>1.0</v>
      </c>
      <c r="O725" s="19" t="s">
        <v>53</v>
      </c>
      <c r="P725" s="19" t="s">
        <v>41</v>
      </c>
      <c r="Q725" s="19" t="s">
        <v>43</v>
      </c>
      <c r="R725" s="19" t="s">
        <v>44</v>
      </c>
      <c r="S725" s="19" t="s">
        <v>68</v>
      </c>
      <c r="T725" s="19"/>
      <c r="U725" s="19"/>
      <c r="V725" s="19"/>
      <c r="W725" s="19"/>
      <c r="X725" s="19"/>
      <c r="Y725" s="19"/>
    </row>
    <row r="726" ht="56.25" customHeight="1">
      <c r="A726" s="13" t="s">
        <v>417</v>
      </c>
      <c r="B726" s="15" t="str">
        <f>image("https://storage.googleapis.com/acdb/wall-mounted/FtrAmeretroClock_Remake_3_0.png")</f>
        <v/>
      </c>
      <c r="C726" s="19" t="s">
        <v>441</v>
      </c>
      <c r="D726" s="42" t="s">
        <v>28</v>
      </c>
      <c r="E726" s="42" t="s">
        <v>28</v>
      </c>
      <c r="F726" s="38">
        <v>1500.0</v>
      </c>
      <c r="G726" s="38">
        <v>375.0</v>
      </c>
      <c r="H726" s="19">
        <v>4144.0</v>
      </c>
      <c r="I726" s="19" t="s">
        <v>37</v>
      </c>
      <c r="J726" s="19"/>
      <c r="K726" s="19" t="s">
        <v>423</v>
      </c>
      <c r="L726" s="19"/>
      <c r="M726" s="19" t="s">
        <v>1340</v>
      </c>
      <c r="N726" s="19">
        <v>1.0</v>
      </c>
      <c r="O726" s="19" t="s">
        <v>53</v>
      </c>
      <c r="P726" s="19" t="s">
        <v>41</v>
      </c>
      <c r="Q726" s="19" t="s">
        <v>43</v>
      </c>
      <c r="R726" s="19" t="s">
        <v>44</v>
      </c>
      <c r="S726" s="19" t="s">
        <v>68</v>
      </c>
      <c r="T726" s="19"/>
      <c r="U726" s="19"/>
      <c r="V726" s="19"/>
      <c r="W726" s="19"/>
      <c r="X726" s="19"/>
      <c r="Y726" s="19"/>
    </row>
    <row r="727" ht="56.25" customHeight="1">
      <c r="A727" s="13" t="s">
        <v>417</v>
      </c>
      <c r="B727" s="15" t="str">
        <f>image("https://storage.googleapis.com/acdb/wall-mounted/FtrAmeretroClock_Remake_3_1.png")</f>
        <v/>
      </c>
      <c r="C727" s="19" t="s">
        <v>441</v>
      </c>
      <c r="D727" s="42" t="s">
        <v>28</v>
      </c>
      <c r="E727" s="42" t="s">
        <v>28</v>
      </c>
      <c r="F727" s="38">
        <v>1500.0</v>
      </c>
      <c r="G727" s="38">
        <v>375.0</v>
      </c>
      <c r="H727" s="19">
        <v>4144.0</v>
      </c>
      <c r="I727" s="19" t="s">
        <v>37</v>
      </c>
      <c r="J727" s="19"/>
      <c r="K727" s="19" t="s">
        <v>423</v>
      </c>
      <c r="L727" s="19"/>
      <c r="M727" s="19" t="s">
        <v>1340</v>
      </c>
      <c r="N727" s="19">
        <v>1.0</v>
      </c>
      <c r="O727" s="19" t="s">
        <v>53</v>
      </c>
      <c r="P727" s="19" t="s">
        <v>41</v>
      </c>
      <c r="Q727" s="19" t="s">
        <v>43</v>
      </c>
      <c r="R727" s="19" t="s">
        <v>44</v>
      </c>
      <c r="S727" s="19" t="s">
        <v>68</v>
      </c>
      <c r="T727" s="19"/>
      <c r="U727" s="19"/>
      <c r="V727" s="19"/>
      <c r="W727" s="19"/>
      <c r="X727" s="19"/>
      <c r="Y727" s="19"/>
    </row>
    <row r="728" ht="56.25" customHeight="1">
      <c r="A728" s="13" t="s">
        <v>417</v>
      </c>
      <c r="B728" s="15" t="str">
        <f>image("https://storage.googleapis.com/acdb/wall-mounted/FtrAmeretroClock_Remake_3_2.png")</f>
        <v/>
      </c>
      <c r="C728" s="19" t="s">
        <v>441</v>
      </c>
      <c r="D728" s="42" t="s">
        <v>28</v>
      </c>
      <c r="E728" s="42" t="s">
        <v>28</v>
      </c>
      <c r="F728" s="38">
        <v>1500.0</v>
      </c>
      <c r="G728" s="38">
        <v>375.0</v>
      </c>
      <c r="H728" s="19">
        <v>4144.0</v>
      </c>
      <c r="I728" s="19" t="s">
        <v>37</v>
      </c>
      <c r="J728" s="19"/>
      <c r="K728" s="19" t="s">
        <v>423</v>
      </c>
      <c r="L728" s="19"/>
      <c r="M728" s="19" t="s">
        <v>1340</v>
      </c>
      <c r="N728" s="19">
        <v>1.0</v>
      </c>
      <c r="O728" s="19" t="s">
        <v>53</v>
      </c>
      <c r="P728" s="19" t="s">
        <v>41</v>
      </c>
      <c r="Q728" s="19" t="s">
        <v>43</v>
      </c>
      <c r="R728" s="19" t="s">
        <v>44</v>
      </c>
      <c r="S728" s="19" t="s">
        <v>68</v>
      </c>
      <c r="T728" s="19"/>
      <c r="U728" s="19"/>
      <c r="V728" s="19"/>
      <c r="W728" s="19"/>
      <c r="X728" s="19"/>
      <c r="Y728" s="19"/>
    </row>
    <row r="729" ht="56.25" customHeight="1">
      <c r="A729" s="13" t="s">
        <v>417</v>
      </c>
      <c r="B729" s="15" t="str">
        <f>image("https://storage.googleapis.com/acdb/wall-mounted/FtrAmeretroClock_Remake_4_0.png")</f>
        <v/>
      </c>
      <c r="C729" s="19" t="s">
        <v>107</v>
      </c>
      <c r="D729" s="42" t="s">
        <v>28</v>
      </c>
      <c r="E729" s="42" t="s">
        <v>28</v>
      </c>
      <c r="F729" s="38">
        <v>1500.0</v>
      </c>
      <c r="G729" s="38">
        <v>375.0</v>
      </c>
      <c r="H729" s="19">
        <v>4144.0</v>
      </c>
      <c r="I729" s="19" t="s">
        <v>37</v>
      </c>
      <c r="J729" s="19"/>
      <c r="K729" s="19" t="s">
        <v>423</v>
      </c>
      <c r="L729" s="19"/>
      <c r="M729" s="19" t="s">
        <v>1340</v>
      </c>
      <c r="N729" s="19">
        <v>1.0</v>
      </c>
      <c r="O729" s="19" t="s">
        <v>53</v>
      </c>
      <c r="P729" s="19" t="s">
        <v>41</v>
      </c>
      <c r="Q729" s="19" t="s">
        <v>43</v>
      </c>
      <c r="R729" s="19" t="s">
        <v>44</v>
      </c>
      <c r="S729" s="19" t="s">
        <v>68</v>
      </c>
      <c r="T729" s="19"/>
      <c r="U729" s="19"/>
      <c r="V729" s="19"/>
      <c r="W729" s="19"/>
      <c r="X729" s="19"/>
      <c r="Y729" s="19"/>
    </row>
    <row r="730" ht="56.25" customHeight="1">
      <c r="A730" s="13" t="s">
        <v>417</v>
      </c>
      <c r="B730" s="15" t="str">
        <f>image("https://storage.googleapis.com/acdb/wall-mounted/FtrAmeretroClock_Remake_4_1.png")</f>
        <v/>
      </c>
      <c r="C730" s="19" t="s">
        <v>107</v>
      </c>
      <c r="D730" s="42" t="s">
        <v>28</v>
      </c>
      <c r="E730" s="42" t="s">
        <v>28</v>
      </c>
      <c r="F730" s="38">
        <v>1500.0</v>
      </c>
      <c r="G730" s="38">
        <v>375.0</v>
      </c>
      <c r="H730" s="19">
        <v>4144.0</v>
      </c>
      <c r="I730" s="19" t="s">
        <v>37</v>
      </c>
      <c r="J730" s="19"/>
      <c r="K730" s="19" t="s">
        <v>423</v>
      </c>
      <c r="L730" s="19"/>
      <c r="M730" s="19" t="s">
        <v>1340</v>
      </c>
      <c r="N730" s="19">
        <v>1.0</v>
      </c>
      <c r="O730" s="19" t="s">
        <v>53</v>
      </c>
      <c r="P730" s="19" t="s">
        <v>41</v>
      </c>
      <c r="Q730" s="19" t="s">
        <v>43</v>
      </c>
      <c r="R730" s="19" t="s">
        <v>44</v>
      </c>
      <c r="S730" s="19" t="s">
        <v>68</v>
      </c>
      <c r="T730" s="19"/>
      <c r="U730" s="19"/>
      <c r="V730" s="19"/>
      <c r="W730" s="19"/>
      <c r="X730" s="19"/>
      <c r="Y730" s="19"/>
    </row>
    <row r="731" ht="56.25" customHeight="1">
      <c r="A731" s="13" t="s">
        <v>417</v>
      </c>
      <c r="B731" s="15" t="str">
        <f>image("https://storage.googleapis.com/acdb/wall-mounted/FtrAmeretroClock_Remake_4_2.png")</f>
        <v/>
      </c>
      <c r="C731" s="19" t="s">
        <v>107</v>
      </c>
      <c r="D731" s="42" t="s">
        <v>28</v>
      </c>
      <c r="E731" s="42" t="s">
        <v>28</v>
      </c>
      <c r="F731" s="38">
        <v>1500.0</v>
      </c>
      <c r="G731" s="38">
        <v>375.0</v>
      </c>
      <c r="H731" s="19">
        <v>4144.0</v>
      </c>
      <c r="I731" s="19" t="s">
        <v>37</v>
      </c>
      <c r="J731" s="19"/>
      <c r="K731" s="19" t="s">
        <v>423</v>
      </c>
      <c r="L731" s="19"/>
      <c r="M731" s="19" t="s">
        <v>1340</v>
      </c>
      <c r="N731" s="19">
        <v>1.0</v>
      </c>
      <c r="O731" s="19" t="s">
        <v>53</v>
      </c>
      <c r="P731" s="19" t="s">
        <v>41</v>
      </c>
      <c r="Q731" s="19" t="s">
        <v>43</v>
      </c>
      <c r="R731" s="19" t="s">
        <v>44</v>
      </c>
      <c r="S731" s="19" t="s">
        <v>68</v>
      </c>
      <c r="T731" s="19"/>
      <c r="U731" s="19"/>
      <c r="V731" s="19"/>
      <c r="W731" s="19"/>
      <c r="X731" s="19"/>
      <c r="Y731" s="19"/>
    </row>
    <row r="732" ht="56.25" customHeight="1">
      <c r="A732" s="13" t="s">
        <v>417</v>
      </c>
      <c r="B732" s="15" t="str">
        <f>image("https://storage.googleapis.com/acdb/wall-mounted/FtrAmeretroClock_Remake_5_0.png")</f>
        <v/>
      </c>
      <c r="C732" s="19" t="s">
        <v>456</v>
      </c>
      <c r="D732" s="42" t="s">
        <v>28</v>
      </c>
      <c r="E732" s="42" t="s">
        <v>28</v>
      </c>
      <c r="F732" s="38">
        <v>1500.0</v>
      </c>
      <c r="G732" s="38">
        <v>375.0</v>
      </c>
      <c r="H732" s="19">
        <v>4144.0</v>
      </c>
      <c r="I732" s="19" t="s">
        <v>37</v>
      </c>
      <c r="J732" s="19"/>
      <c r="K732" s="19" t="s">
        <v>423</v>
      </c>
      <c r="L732" s="19"/>
      <c r="M732" s="19" t="s">
        <v>1340</v>
      </c>
      <c r="N732" s="19">
        <v>1.0</v>
      </c>
      <c r="O732" s="19" t="s">
        <v>53</v>
      </c>
      <c r="P732" s="19" t="s">
        <v>41</v>
      </c>
      <c r="Q732" s="19" t="s">
        <v>43</v>
      </c>
      <c r="R732" s="19" t="s">
        <v>44</v>
      </c>
      <c r="S732" s="19" t="s">
        <v>68</v>
      </c>
      <c r="T732" s="19"/>
      <c r="U732" s="19"/>
      <c r="V732" s="19"/>
      <c r="W732" s="19"/>
      <c r="X732" s="19"/>
      <c r="Y732" s="19"/>
    </row>
    <row r="733" ht="56.25" customHeight="1">
      <c r="A733" s="13" t="s">
        <v>417</v>
      </c>
      <c r="B733" s="15" t="str">
        <f>image("https://storage.googleapis.com/acdb/wall-mounted/FtrAmeretroClock_Remake_5_1.png")</f>
        <v/>
      </c>
      <c r="C733" s="19" t="s">
        <v>456</v>
      </c>
      <c r="D733" s="42" t="s">
        <v>28</v>
      </c>
      <c r="E733" s="42" t="s">
        <v>28</v>
      </c>
      <c r="F733" s="38">
        <v>1500.0</v>
      </c>
      <c r="G733" s="38">
        <v>375.0</v>
      </c>
      <c r="H733" s="19">
        <v>4144.0</v>
      </c>
      <c r="I733" s="19" t="s">
        <v>37</v>
      </c>
      <c r="J733" s="19"/>
      <c r="K733" s="19" t="s">
        <v>423</v>
      </c>
      <c r="L733" s="19"/>
      <c r="M733" s="19" t="s">
        <v>1340</v>
      </c>
      <c r="N733" s="19">
        <v>1.0</v>
      </c>
      <c r="O733" s="19" t="s">
        <v>53</v>
      </c>
      <c r="P733" s="19" t="s">
        <v>41</v>
      </c>
      <c r="Q733" s="19" t="s">
        <v>43</v>
      </c>
      <c r="R733" s="19" t="s">
        <v>44</v>
      </c>
      <c r="S733" s="19" t="s">
        <v>68</v>
      </c>
      <c r="T733" s="19"/>
      <c r="U733" s="19"/>
      <c r="V733" s="19"/>
      <c r="W733" s="19"/>
      <c r="X733" s="19"/>
      <c r="Y733" s="19"/>
    </row>
    <row r="734" ht="56.25" customHeight="1">
      <c r="A734" s="13" t="s">
        <v>417</v>
      </c>
      <c r="B734" s="15" t="str">
        <f>image("https://storage.googleapis.com/acdb/wall-mounted/FtrAmeretroClock_Remake_5_2.png")</f>
        <v/>
      </c>
      <c r="C734" s="19" t="s">
        <v>456</v>
      </c>
      <c r="D734" s="42" t="s">
        <v>28</v>
      </c>
      <c r="E734" s="42" t="s">
        <v>28</v>
      </c>
      <c r="F734" s="38">
        <v>1500.0</v>
      </c>
      <c r="G734" s="38">
        <v>375.0</v>
      </c>
      <c r="H734" s="19">
        <v>4144.0</v>
      </c>
      <c r="I734" s="19" t="s">
        <v>37</v>
      </c>
      <c r="J734" s="19"/>
      <c r="K734" s="19" t="s">
        <v>423</v>
      </c>
      <c r="L734" s="19"/>
      <c r="M734" s="19" t="s">
        <v>1340</v>
      </c>
      <c r="N734" s="19">
        <v>1.0</v>
      </c>
      <c r="O734" s="19" t="s">
        <v>53</v>
      </c>
      <c r="P734" s="19" t="s">
        <v>41</v>
      </c>
      <c r="Q734" s="19" t="s">
        <v>43</v>
      </c>
      <c r="R734" s="19" t="s">
        <v>44</v>
      </c>
      <c r="S734" s="19" t="s">
        <v>68</v>
      </c>
      <c r="T734" s="19"/>
      <c r="U734" s="19"/>
      <c r="V734" s="19"/>
      <c r="W734" s="19"/>
      <c r="X734" s="19"/>
      <c r="Y734" s="19"/>
    </row>
    <row r="735" ht="56.25" customHeight="1">
      <c r="A735" s="13" t="s">
        <v>417</v>
      </c>
      <c r="B735" s="15" t="str">
        <f>image("https://storage.googleapis.com/acdb/wall-mounted/FtrAmeretroClock_Remake_6_0.png")</f>
        <v/>
      </c>
      <c r="C735" s="19" t="s">
        <v>464</v>
      </c>
      <c r="D735" s="42" t="s">
        <v>28</v>
      </c>
      <c r="E735" s="42" t="s">
        <v>28</v>
      </c>
      <c r="F735" s="38">
        <v>1500.0</v>
      </c>
      <c r="G735" s="38">
        <v>375.0</v>
      </c>
      <c r="H735" s="19">
        <v>4144.0</v>
      </c>
      <c r="I735" s="19" t="s">
        <v>37</v>
      </c>
      <c r="J735" s="19"/>
      <c r="K735" s="19" t="s">
        <v>423</v>
      </c>
      <c r="L735" s="19"/>
      <c r="M735" s="19" t="s">
        <v>1340</v>
      </c>
      <c r="N735" s="19">
        <v>1.0</v>
      </c>
      <c r="O735" s="19" t="s">
        <v>53</v>
      </c>
      <c r="P735" s="19" t="s">
        <v>41</v>
      </c>
      <c r="Q735" s="19" t="s">
        <v>43</v>
      </c>
      <c r="R735" s="19" t="s">
        <v>44</v>
      </c>
      <c r="S735" s="19" t="s">
        <v>68</v>
      </c>
      <c r="T735" s="19"/>
      <c r="U735" s="19"/>
      <c r="V735" s="19"/>
      <c r="W735" s="19"/>
      <c r="X735" s="19"/>
      <c r="Y735" s="19"/>
    </row>
    <row r="736" ht="56.25" customHeight="1">
      <c r="A736" s="13" t="s">
        <v>417</v>
      </c>
      <c r="B736" s="15" t="str">
        <f>image("https://storage.googleapis.com/acdb/wall-mounted/FtrAmeretroClock_Remake_6_1.png")</f>
        <v/>
      </c>
      <c r="C736" s="19" t="s">
        <v>464</v>
      </c>
      <c r="D736" s="42" t="s">
        <v>28</v>
      </c>
      <c r="E736" s="42" t="s">
        <v>28</v>
      </c>
      <c r="F736" s="38">
        <v>1500.0</v>
      </c>
      <c r="G736" s="38">
        <v>375.0</v>
      </c>
      <c r="H736" s="19">
        <v>4144.0</v>
      </c>
      <c r="I736" s="19" t="s">
        <v>37</v>
      </c>
      <c r="J736" s="19"/>
      <c r="K736" s="19" t="s">
        <v>423</v>
      </c>
      <c r="L736" s="19"/>
      <c r="M736" s="19" t="s">
        <v>1340</v>
      </c>
      <c r="N736" s="19">
        <v>1.0</v>
      </c>
      <c r="O736" s="19" t="s">
        <v>53</v>
      </c>
      <c r="P736" s="19" t="s">
        <v>41</v>
      </c>
      <c r="Q736" s="19" t="s">
        <v>43</v>
      </c>
      <c r="R736" s="19" t="s">
        <v>44</v>
      </c>
      <c r="S736" s="19" t="s">
        <v>68</v>
      </c>
      <c r="T736" s="19"/>
      <c r="U736" s="19"/>
      <c r="V736" s="19"/>
      <c r="W736" s="19"/>
      <c r="X736" s="19"/>
      <c r="Y736" s="19"/>
    </row>
    <row r="737" ht="56.25" customHeight="1">
      <c r="A737" s="13" t="s">
        <v>417</v>
      </c>
      <c r="B737" s="15" t="str">
        <f>image("https://storage.googleapis.com/acdb/wall-mounted/FtrAmeretroClock_Remake_6_2.png")</f>
        <v/>
      </c>
      <c r="C737" s="19" t="s">
        <v>464</v>
      </c>
      <c r="D737" s="42" t="s">
        <v>28</v>
      </c>
      <c r="E737" s="42" t="s">
        <v>28</v>
      </c>
      <c r="F737" s="38">
        <v>1500.0</v>
      </c>
      <c r="G737" s="38">
        <v>375.0</v>
      </c>
      <c r="H737" s="19">
        <v>4144.0</v>
      </c>
      <c r="I737" s="19" t="s">
        <v>37</v>
      </c>
      <c r="J737" s="19"/>
      <c r="K737" s="19" t="s">
        <v>423</v>
      </c>
      <c r="L737" s="19"/>
      <c r="M737" s="19" t="s">
        <v>1340</v>
      </c>
      <c r="N737" s="19">
        <v>1.0</v>
      </c>
      <c r="O737" s="19" t="s">
        <v>53</v>
      </c>
      <c r="P737" s="19" t="s">
        <v>41</v>
      </c>
      <c r="Q737" s="19" t="s">
        <v>43</v>
      </c>
      <c r="R737" s="19" t="s">
        <v>44</v>
      </c>
      <c r="S737" s="19" t="s">
        <v>68</v>
      </c>
      <c r="T737" s="19"/>
      <c r="U737" s="19"/>
      <c r="V737" s="19"/>
      <c r="W737" s="19"/>
      <c r="X737" s="19"/>
      <c r="Y737" s="19"/>
    </row>
    <row r="738" ht="56.25" customHeight="1">
      <c r="A738" s="13" t="s">
        <v>476</v>
      </c>
      <c r="B738" s="41" t="str">
        <f>image("https://i.imgur.com/oOpBiW3.png")</f>
        <v/>
      </c>
      <c r="C738" s="22" t="str">
        <f>HYPERLINK("https://imgur.com/a/k3kFFop","Yes")</f>
        <v>Yes</v>
      </c>
      <c r="D738" s="42" t="s">
        <v>28</v>
      </c>
      <c r="E738" s="42" t="s">
        <v>28</v>
      </c>
      <c r="F738" s="38">
        <v>1100.0</v>
      </c>
      <c r="G738" s="38">
        <v>275.0</v>
      </c>
      <c r="H738" s="19">
        <v>4133.0</v>
      </c>
      <c r="I738" s="19" t="s">
        <v>90</v>
      </c>
      <c r="J738" s="19"/>
      <c r="K738" s="19"/>
      <c r="L738" s="19"/>
      <c r="M738" s="19" t="s">
        <v>1451</v>
      </c>
      <c r="N738" s="19">
        <v>1.0</v>
      </c>
      <c r="O738" s="19" t="s">
        <v>53</v>
      </c>
      <c r="P738" s="19" t="s">
        <v>41</v>
      </c>
      <c r="Q738" s="19" t="s">
        <v>43</v>
      </c>
      <c r="R738" s="19" t="s">
        <v>44</v>
      </c>
      <c r="S738" s="19" t="s">
        <v>68</v>
      </c>
      <c r="T738" s="19"/>
      <c r="U738" s="19"/>
      <c r="V738" s="19"/>
      <c r="W738" s="19"/>
      <c r="X738" s="19"/>
      <c r="Y738" s="19"/>
    </row>
    <row r="739" ht="56.25" customHeight="1">
      <c r="A739" s="13" t="s">
        <v>488</v>
      </c>
      <c r="B739" s="41" t="str">
        <f>image("https://i.imgur.com/yiDiaQE.png")</f>
        <v/>
      </c>
      <c r="C739" s="22" t="str">
        <f>HYPERLINK("https://imgur.com/a/Ts2EvJj","Yes")</f>
        <v>Yes</v>
      </c>
      <c r="D739" s="42" t="s">
        <v>28</v>
      </c>
      <c r="E739" s="42" t="s">
        <v>28</v>
      </c>
      <c r="F739" s="38">
        <v>810.0</v>
      </c>
      <c r="G739" s="43">
        <v>202.0</v>
      </c>
      <c r="H739" s="19">
        <v>955.0</v>
      </c>
      <c r="I739" s="19" t="s">
        <v>61</v>
      </c>
      <c r="J739" s="19" t="s">
        <v>90</v>
      </c>
      <c r="K739" s="19"/>
      <c r="L739" s="19"/>
      <c r="M739" s="19" t="s">
        <v>1488</v>
      </c>
      <c r="N739" s="19">
        <v>1.0</v>
      </c>
      <c r="O739" s="19" t="s">
        <v>53</v>
      </c>
      <c r="P739" s="19" t="s">
        <v>41</v>
      </c>
      <c r="Q739" s="19" t="s">
        <v>43</v>
      </c>
      <c r="R739" s="19" t="s">
        <v>44</v>
      </c>
      <c r="S739" s="19" t="s">
        <v>63</v>
      </c>
      <c r="T739" s="19"/>
      <c r="U739" s="19"/>
      <c r="V739" s="19"/>
      <c r="W739" s="19"/>
      <c r="X739" s="19"/>
      <c r="Y739" s="19"/>
    </row>
    <row r="740" ht="56.25" customHeight="1">
      <c r="A740" s="13" t="s">
        <v>504</v>
      </c>
      <c r="B740" s="41" t="str">
        <f>image("https://i.imgur.com/wNVCtxb.png")</f>
        <v/>
      </c>
      <c r="C740" s="25" t="s">
        <v>40</v>
      </c>
      <c r="D740" s="42" t="s">
        <v>50</v>
      </c>
      <c r="E740" s="42" t="s">
        <v>28</v>
      </c>
      <c r="F740" s="38" t="s">
        <v>51</v>
      </c>
      <c r="G740" s="38">
        <v>1200.0</v>
      </c>
      <c r="H740" s="19">
        <v>5677.0</v>
      </c>
      <c r="I740" s="19" t="s">
        <v>36</v>
      </c>
      <c r="J740" s="19"/>
      <c r="K740" s="19"/>
      <c r="L740" s="19"/>
      <c r="M740" s="19" t="s">
        <v>1340</v>
      </c>
      <c r="N740" s="19"/>
      <c r="O740" s="19" t="s">
        <v>40</v>
      </c>
      <c r="P740" s="19" t="s">
        <v>41</v>
      </c>
      <c r="Q740" s="19" t="s">
        <v>54</v>
      </c>
      <c r="R740" s="19" t="s">
        <v>55</v>
      </c>
      <c r="S740" s="19"/>
      <c r="T740" s="19"/>
      <c r="U740" s="19"/>
      <c r="V740" s="19"/>
      <c r="W740" s="19"/>
      <c r="X740" s="19"/>
      <c r="Y740" s="19"/>
    </row>
    <row r="741" ht="56.25" customHeight="1">
      <c r="A741" s="13" t="s">
        <v>508</v>
      </c>
      <c r="B741" s="41" t="str">
        <f>image("https://i.imgur.com/gvkXhie.png")</f>
        <v/>
      </c>
      <c r="C741" s="25" t="s">
        <v>40</v>
      </c>
      <c r="D741" s="42" t="s">
        <v>50</v>
      </c>
      <c r="E741" s="42" t="s">
        <v>28</v>
      </c>
      <c r="F741" s="38" t="s">
        <v>51</v>
      </c>
      <c r="G741" s="38">
        <v>1200.0</v>
      </c>
      <c r="H741" s="19">
        <v>5749.0</v>
      </c>
      <c r="I741" s="19" t="s">
        <v>36</v>
      </c>
      <c r="J741" s="19"/>
      <c r="K741" s="19"/>
      <c r="L741" s="19"/>
      <c r="M741" s="19" t="s">
        <v>1340</v>
      </c>
      <c r="N741" s="19"/>
      <c r="O741" s="19" t="s">
        <v>40</v>
      </c>
      <c r="P741" s="19" t="s">
        <v>41</v>
      </c>
      <c r="Q741" s="19" t="s">
        <v>54</v>
      </c>
      <c r="R741" s="19" t="s">
        <v>55</v>
      </c>
      <c r="S741" s="19"/>
      <c r="T741" s="19"/>
      <c r="U741" s="19"/>
      <c r="V741" s="19"/>
      <c r="W741" s="19"/>
      <c r="X741" s="19"/>
      <c r="Y741" s="19"/>
    </row>
    <row r="742" ht="56.25" customHeight="1">
      <c r="A742" s="13" t="s">
        <v>512</v>
      </c>
      <c r="B742" s="41" t="str">
        <f>image("https://i.imgur.com/g0uzEek.png")</f>
        <v/>
      </c>
      <c r="C742" s="25" t="s">
        <v>40</v>
      </c>
      <c r="D742" s="42" t="s">
        <v>50</v>
      </c>
      <c r="E742" s="42" t="s">
        <v>28</v>
      </c>
      <c r="F742" s="38" t="s">
        <v>51</v>
      </c>
      <c r="G742" s="38">
        <v>1200.0</v>
      </c>
      <c r="H742" s="19">
        <v>5747.0</v>
      </c>
      <c r="I742" s="19" t="s">
        <v>36</v>
      </c>
      <c r="J742" s="19"/>
      <c r="K742" s="19"/>
      <c r="L742" s="19"/>
      <c r="M742" s="19" t="s">
        <v>1340</v>
      </c>
      <c r="N742" s="19"/>
      <c r="O742" s="19" t="s">
        <v>40</v>
      </c>
      <c r="P742" s="19" t="s">
        <v>41</v>
      </c>
      <c r="Q742" s="19" t="s">
        <v>54</v>
      </c>
      <c r="R742" s="19" t="s">
        <v>55</v>
      </c>
      <c r="S742" s="19"/>
      <c r="T742" s="19"/>
      <c r="U742" s="19"/>
      <c r="V742" s="19"/>
      <c r="W742" s="19"/>
      <c r="X742" s="19"/>
      <c r="Y742" s="19"/>
    </row>
    <row r="743" ht="56.25" customHeight="1">
      <c r="A743" s="13" t="s">
        <v>514</v>
      </c>
      <c r="B743" s="41" t="str">
        <f>image("https://i.imgur.com/7NW5j3H.png")</f>
        <v/>
      </c>
      <c r="C743" s="22" t="str">
        <f>HYPERLINK("https://imgur.com/a/E3yPpdl","Yes")</f>
        <v>Yes</v>
      </c>
      <c r="D743" s="25" t="s">
        <v>28</v>
      </c>
      <c r="E743" s="15" t="s">
        <v>50</v>
      </c>
      <c r="F743" s="23" t="s">
        <v>51</v>
      </c>
      <c r="G743" s="23">
        <v>90.0</v>
      </c>
      <c r="H743" s="19">
        <v>4764.0</v>
      </c>
      <c r="I743" s="19" t="s">
        <v>113</v>
      </c>
      <c r="J743" s="19" t="s">
        <v>36</v>
      </c>
      <c r="K743" s="19"/>
      <c r="L743" s="19"/>
      <c r="M743" s="19" t="s">
        <v>1340</v>
      </c>
      <c r="N743" s="19">
        <v>1.0</v>
      </c>
      <c r="O743" s="19" t="s">
        <v>40</v>
      </c>
      <c r="P743" s="19" t="s">
        <v>41</v>
      </c>
      <c r="Q743" s="19" t="s">
        <v>54</v>
      </c>
      <c r="R743" s="19" t="s">
        <v>85</v>
      </c>
      <c r="S743" s="19"/>
      <c r="T743" s="19"/>
      <c r="U743" s="19"/>
      <c r="V743" s="19"/>
      <c r="W743" s="19"/>
      <c r="X743" s="19"/>
      <c r="Y743" s="19"/>
    </row>
    <row r="744" ht="56.25" customHeight="1">
      <c r="A744" s="13" t="s">
        <v>531</v>
      </c>
      <c r="B744" s="41" t="str">
        <f>image("https://i.imgur.com/lD3MDPs.png")</f>
        <v/>
      </c>
      <c r="C744" s="22" t="str">
        <f>HYPERLINK("https://imgur.com/a/pMxkYUb","Yes")</f>
        <v>Yes</v>
      </c>
      <c r="D744" s="44" t="s">
        <v>28</v>
      </c>
      <c r="E744" s="44" t="s">
        <v>50</v>
      </c>
      <c r="F744" s="38" t="s">
        <v>51</v>
      </c>
      <c r="G744" s="38">
        <v>700.0</v>
      </c>
      <c r="H744" s="19">
        <v>3699.0</v>
      </c>
      <c r="I744" s="19" t="s">
        <v>84</v>
      </c>
      <c r="J744" s="19" t="s">
        <v>60</v>
      </c>
      <c r="K744" s="19"/>
      <c r="L744" s="19"/>
      <c r="M744" s="19" t="s">
        <v>1384</v>
      </c>
      <c r="N744" s="19">
        <v>1.0</v>
      </c>
      <c r="O744" s="19" t="s">
        <v>40</v>
      </c>
      <c r="P744" s="19" t="s">
        <v>41</v>
      </c>
      <c r="Q744" s="19" t="s">
        <v>54</v>
      </c>
      <c r="R744" s="19" t="s">
        <v>85</v>
      </c>
      <c r="S744" s="19"/>
      <c r="T744" s="19"/>
      <c r="U744" s="19"/>
      <c r="V744" s="19"/>
      <c r="W744" s="19"/>
      <c r="X744" s="19"/>
      <c r="Y744" s="19"/>
    </row>
    <row r="745" ht="56.25" customHeight="1">
      <c r="A745" s="13" t="s">
        <v>551</v>
      </c>
      <c r="B745" s="41" t="str">
        <f>image("https://i.imgur.com/RN03BVg.png")</f>
        <v/>
      </c>
      <c r="C745" s="22" t="str">
        <f>HYPERLINK("https://imgur.com/a/PzQES2E","Yes")</f>
        <v>Yes</v>
      </c>
      <c r="D745" s="42" t="s">
        <v>28</v>
      </c>
      <c r="E745" s="42" t="s">
        <v>28</v>
      </c>
      <c r="F745" s="38">
        <v>2200.0</v>
      </c>
      <c r="G745" s="38">
        <v>550.0</v>
      </c>
      <c r="H745" s="19">
        <v>3583.0</v>
      </c>
      <c r="I745" s="19" t="s">
        <v>84</v>
      </c>
      <c r="J745" s="19"/>
      <c r="K745" s="19"/>
      <c r="L745" s="19"/>
      <c r="M745" s="19" t="s">
        <v>1355</v>
      </c>
      <c r="N745" s="19">
        <v>1.0</v>
      </c>
      <c r="O745" s="19" t="s">
        <v>40</v>
      </c>
      <c r="P745" s="19" t="s">
        <v>41</v>
      </c>
      <c r="Q745" s="19" t="s">
        <v>43</v>
      </c>
      <c r="R745" s="19" t="s">
        <v>44</v>
      </c>
      <c r="S745" s="19" t="s">
        <v>63</v>
      </c>
      <c r="T745" s="19"/>
      <c r="U745" s="19"/>
      <c r="V745" s="19"/>
      <c r="W745" s="19"/>
      <c r="X745" s="19"/>
      <c r="Y745" s="19"/>
    </row>
    <row r="746" ht="56.25" customHeight="1">
      <c r="A746" s="13" t="s">
        <v>566</v>
      </c>
      <c r="B746" s="41" t="str">
        <f>image("https://i.imgur.com/MnZ5STr.png")</f>
        <v/>
      </c>
      <c r="C746" s="22" t="str">
        <f>HYPERLINK("https://imgur.com/a/5ileEiU","Yes")</f>
        <v>Yes</v>
      </c>
      <c r="D746" s="42" t="s">
        <v>50</v>
      </c>
      <c r="E746" s="42" t="s">
        <v>50</v>
      </c>
      <c r="F746" s="38" t="s">
        <v>51</v>
      </c>
      <c r="G746" s="38">
        <v>200.0</v>
      </c>
      <c r="H746" s="19">
        <v>4027.0</v>
      </c>
      <c r="I746" s="19" t="s">
        <v>60</v>
      </c>
      <c r="J746" s="19"/>
      <c r="K746" s="19"/>
      <c r="L746" s="19"/>
      <c r="M746" s="19" t="s">
        <v>1340</v>
      </c>
      <c r="N746" s="19">
        <v>1.0</v>
      </c>
      <c r="O746" s="19" t="s">
        <v>40</v>
      </c>
      <c r="P746" s="19" t="s">
        <v>41</v>
      </c>
      <c r="Q746" s="19" t="s">
        <v>54</v>
      </c>
      <c r="R746" s="19" t="s">
        <v>55</v>
      </c>
      <c r="S746" s="19"/>
      <c r="T746" s="19"/>
      <c r="U746" s="19"/>
      <c r="V746" s="19"/>
      <c r="W746" s="19"/>
      <c r="X746" s="19"/>
      <c r="Y746" s="19"/>
    </row>
    <row r="747" ht="56.25" customHeight="1">
      <c r="A747" s="13" t="s">
        <v>579</v>
      </c>
      <c r="B747" s="41" t="str">
        <f>image("https://i.imgur.com/fTWzYgZ.png")</f>
        <v/>
      </c>
      <c r="C747" s="22" t="str">
        <f>HYPERLINK("https://imgur.com/a/Ymue97V","Yes")</f>
        <v>Yes</v>
      </c>
      <c r="D747" s="42" t="s">
        <v>28</v>
      </c>
      <c r="E747" s="42" t="s">
        <v>28</v>
      </c>
      <c r="F747" s="38">
        <v>620.0</v>
      </c>
      <c r="G747" s="38">
        <v>155.0</v>
      </c>
      <c r="H747" s="19">
        <v>4099.0</v>
      </c>
      <c r="I747" s="19" t="s">
        <v>80</v>
      </c>
      <c r="J747" s="19" t="s">
        <v>136</v>
      </c>
      <c r="K747" s="19"/>
      <c r="L747" s="19"/>
      <c r="M747" s="19" t="s">
        <v>1340</v>
      </c>
      <c r="N747" s="19">
        <v>1.0</v>
      </c>
      <c r="O747" s="19" t="s">
        <v>40</v>
      </c>
      <c r="P747" s="19" t="s">
        <v>41</v>
      </c>
      <c r="Q747" s="19" t="s">
        <v>43</v>
      </c>
      <c r="R747" s="19" t="s">
        <v>44</v>
      </c>
      <c r="S747" s="19" t="s">
        <v>63</v>
      </c>
      <c r="T747" s="19"/>
      <c r="U747" s="19"/>
      <c r="V747" s="19"/>
      <c r="W747" s="19"/>
      <c r="X747" s="19"/>
      <c r="Y747" s="19"/>
    </row>
    <row r="748" ht="56.25" customHeight="1">
      <c r="A748" s="13" t="s">
        <v>586</v>
      </c>
      <c r="B748" s="41" t="str">
        <f>image("https://i.imgur.com/HAByFz9.png")</f>
        <v/>
      </c>
      <c r="C748" s="22" t="str">
        <f>HYPERLINK("https://imgur.com/a/zwRy23I","Yes")</f>
        <v>Yes</v>
      </c>
      <c r="D748" s="42" t="s">
        <v>50</v>
      </c>
      <c r="E748" s="42" t="s">
        <v>50</v>
      </c>
      <c r="F748" s="38" t="s">
        <v>51</v>
      </c>
      <c r="G748" s="38">
        <v>500.0</v>
      </c>
      <c r="H748" s="19">
        <v>5719.0</v>
      </c>
      <c r="I748" s="19" t="s">
        <v>90</v>
      </c>
      <c r="J748" s="19"/>
      <c r="K748" s="19"/>
      <c r="L748" s="19"/>
      <c r="M748" s="19" t="s">
        <v>1340</v>
      </c>
      <c r="N748" s="19">
        <v>1.0</v>
      </c>
      <c r="O748" s="19" t="s">
        <v>40</v>
      </c>
      <c r="P748" s="19" t="s">
        <v>41</v>
      </c>
      <c r="Q748" s="19" t="s">
        <v>54</v>
      </c>
      <c r="R748" s="19" t="s">
        <v>55</v>
      </c>
      <c r="S748" s="19"/>
      <c r="T748" s="19"/>
      <c r="U748" s="19"/>
      <c r="V748" s="19"/>
      <c r="W748" s="19"/>
      <c r="X748" s="19"/>
      <c r="Y748" s="19"/>
    </row>
    <row r="749" ht="56.25" customHeight="1">
      <c r="A749" s="13" t="s">
        <v>591</v>
      </c>
      <c r="B749" s="41" t="str">
        <f>image("https://i.imgur.com/snMxsRc.png")</f>
        <v/>
      </c>
      <c r="C749" s="25" t="s">
        <v>40</v>
      </c>
      <c r="D749" s="42" t="s">
        <v>50</v>
      </c>
      <c r="E749" s="42" t="s">
        <v>28</v>
      </c>
      <c r="F749" s="38" t="s">
        <v>51</v>
      </c>
      <c r="G749" s="38">
        <v>2000.0</v>
      </c>
      <c r="H749" s="19">
        <v>4378.0</v>
      </c>
      <c r="I749" s="19" t="s">
        <v>36</v>
      </c>
      <c r="J749" s="19"/>
      <c r="K749" s="19"/>
      <c r="L749" s="19"/>
      <c r="M749" s="19" t="s">
        <v>1340</v>
      </c>
      <c r="N749" s="19"/>
      <c r="O749" s="19" t="s">
        <v>40</v>
      </c>
      <c r="P749" s="19" t="s">
        <v>41</v>
      </c>
      <c r="Q749" s="19" t="s">
        <v>54</v>
      </c>
      <c r="R749" s="19" t="s">
        <v>55</v>
      </c>
      <c r="S749" s="19"/>
      <c r="T749" s="19"/>
      <c r="U749" s="19"/>
      <c r="V749" s="19"/>
      <c r="W749" s="19"/>
      <c r="X749" s="19"/>
      <c r="Y749" s="19"/>
    </row>
    <row r="750" ht="56.25" customHeight="1">
      <c r="A750" s="13" t="s">
        <v>594</v>
      </c>
      <c r="B750" s="41" t="str">
        <f>image("https://i.imgur.com/kgcVcD0.png")</f>
        <v/>
      </c>
      <c r="C750" s="22" t="str">
        <f>HYPERLINK("https://imgur.com/a/DxcXHmE","Yes")</f>
        <v>Yes</v>
      </c>
      <c r="D750" s="42" t="s">
        <v>28</v>
      </c>
      <c r="E750" s="42" t="s">
        <v>28</v>
      </c>
      <c r="F750" s="38">
        <v>1500.0</v>
      </c>
      <c r="G750" s="38">
        <v>375.0</v>
      </c>
      <c r="H750" s="19">
        <v>7280.0</v>
      </c>
      <c r="I750" s="19" t="s">
        <v>90</v>
      </c>
      <c r="J750" s="19" t="s">
        <v>243</v>
      </c>
      <c r="K750" s="19"/>
      <c r="L750" s="19"/>
      <c r="M750" s="19" t="s">
        <v>1384</v>
      </c>
      <c r="N750" s="19">
        <v>1.0</v>
      </c>
      <c r="O750" s="19" t="s">
        <v>53</v>
      </c>
      <c r="P750" s="19" t="s">
        <v>41</v>
      </c>
      <c r="Q750" s="19" t="s">
        <v>43</v>
      </c>
      <c r="R750" s="19" t="s">
        <v>44</v>
      </c>
      <c r="S750" s="19" t="s">
        <v>68</v>
      </c>
      <c r="T750" s="19"/>
      <c r="U750" s="19"/>
      <c r="V750" s="19"/>
      <c r="W750" s="19"/>
      <c r="X750" s="19"/>
      <c r="Y750" s="19"/>
    </row>
    <row r="751" ht="56.25" customHeight="1">
      <c r="A751" s="13" t="s">
        <v>607</v>
      </c>
      <c r="B751" s="41" t="str">
        <f>image("https://i.imgur.com/nqjspTj.png")</f>
        <v/>
      </c>
      <c r="C751" s="25" t="s">
        <v>40</v>
      </c>
      <c r="D751" s="44" t="s">
        <v>28</v>
      </c>
      <c r="E751" s="42" t="s">
        <v>28</v>
      </c>
      <c r="F751" s="38" t="s">
        <v>51</v>
      </c>
      <c r="G751" s="38">
        <v>450.0</v>
      </c>
      <c r="H751" s="19">
        <v>7035.0</v>
      </c>
      <c r="I751" s="19" t="s">
        <v>60</v>
      </c>
      <c r="J751" s="19" t="s">
        <v>62</v>
      </c>
      <c r="K751" s="19"/>
      <c r="L751" s="19"/>
      <c r="M751" s="19" t="s">
        <v>1340</v>
      </c>
      <c r="N751" s="19"/>
      <c r="O751" s="19" t="s">
        <v>40</v>
      </c>
      <c r="P751" s="19" t="s">
        <v>41</v>
      </c>
      <c r="Q751" s="19" t="s">
        <v>54</v>
      </c>
      <c r="R751" s="19" t="s">
        <v>247</v>
      </c>
      <c r="S751" s="19"/>
      <c r="T751" s="19"/>
      <c r="U751" s="19"/>
      <c r="V751" s="19"/>
      <c r="W751" s="19"/>
      <c r="X751" s="19"/>
      <c r="Y751" s="19"/>
    </row>
    <row r="752" ht="56.25" customHeight="1">
      <c r="A752" s="13" t="s">
        <v>612</v>
      </c>
      <c r="B752" s="41" t="str">
        <f>image("https://i.imgur.com/2VQ4kOB.png")</f>
        <v/>
      </c>
      <c r="C752" s="25" t="s">
        <v>40</v>
      </c>
      <c r="D752" s="42" t="s">
        <v>50</v>
      </c>
      <c r="E752" s="42" t="s">
        <v>28</v>
      </c>
      <c r="F752" s="38" t="s">
        <v>51</v>
      </c>
      <c r="G752" s="38">
        <v>20000.0</v>
      </c>
      <c r="H752" s="19">
        <v>5820.0</v>
      </c>
      <c r="I752" s="19" t="s">
        <v>62</v>
      </c>
      <c r="J752" s="19"/>
      <c r="K752" s="19"/>
      <c r="L752" s="19"/>
      <c r="M752" s="19" t="s">
        <v>1340</v>
      </c>
      <c r="N752" s="19"/>
      <c r="O752" s="19" t="s">
        <v>40</v>
      </c>
      <c r="P752" s="19" t="s">
        <v>41</v>
      </c>
      <c r="Q752" s="19" t="s">
        <v>54</v>
      </c>
      <c r="R752" s="19" t="s">
        <v>55</v>
      </c>
      <c r="S752" s="19"/>
      <c r="T752" s="19"/>
      <c r="U752" s="19"/>
      <c r="V752" s="19"/>
      <c r="W752" s="19"/>
      <c r="X752" s="19"/>
      <c r="Y752" s="19"/>
    </row>
    <row r="753" ht="56.25" customHeight="1">
      <c r="A753" s="13" t="s">
        <v>615</v>
      </c>
      <c r="B753" s="41" t="str">
        <f>image("https://i.imgur.com/yShj9gj.png")</f>
        <v/>
      </c>
      <c r="C753" s="25" t="s">
        <v>40</v>
      </c>
      <c r="D753" s="42" t="s">
        <v>50</v>
      </c>
      <c r="E753" s="42" t="s">
        <v>28</v>
      </c>
      <c r="F753" s="38" t="s">
        <v>51</v>
      </c>
      <c r="G753" s="38">
        <v>11125.0</v>
      </c>
      <c r="H753" s="19">
        <v>11261.0</v>
      </c>
      <c r="I753" s="19" t="s">
        <v>62</v>
      </c>
      <c r="J753" s="19"/>
      <c r="K753" s="19"/>
      <c r="L753" s="19"/>
      <c r="M753" s="19" t="s">
        <v>1384</v>
      </c>
      <c r="N753" s="19"/>
      <c r="O753" s="19" t="s">
        <v>53</v>
      </c>
      <c r="P753" s="19" t="s">
        <v>41</v>
      </c>
      <c r="Q753" s="19" t="s">
        <v>54</v>
      </c>
      <c r="R753" s="19" t="s">
        <v>55</v>
      </c>
      <c r="S753" s="19"/>
      <c r="T753" s="19"/>
      <c r="U753" s="19"/>
      <c r="V753" s="19"/>
      <c r="W753" s="19"/>
      <c r="X753" s="19"/>
      <c r="Y753" s="19"/>
    </row>
    <row r="754" ht="56.25" customHeight="1">
      <c r="A754" s="13" t="s">
        <v>618</v>
      </c>
      <c r="B754" s="41" t="str">
        <f>image("https://i.imgur.com/1RVsb7S.png")</f>
        <v/>
      </c>
      <c r="C754" s="25" t="s">
        <v>40</v>
      </c>
      <c r="D754" s="44" t="s">
        <v>28</v>
      </c>
      <c r="E754" s="44" t="s">
        <v>28</v>
      </c>
      <c r="F754" s="38">
        <v>1400.0</v>
      </c>
      <c r="G754" s="38">
        <v>350.0</v>
      </c>
      <c r="H754" s="19">
        <v>11099.0</v>
      </c>
      <c r="I754" s="19" t="s">
        <v>90</v>
      </c>
      <c r="J754" s="19"/>
      <c r="K754" s="19"/>
      <c r="L754" s="19"/>
      <c r="M754" s="19" t="s">
        <v>1340</v>
      </c>
      <c r="N754" s="19"/>
      <c r="O754" s="19" t="s">
        <v>40</v>
      </c>
      <c r="P754" s="19" t="s">
        <v>41</v>
      </c>
      <c r="Q754" s="19" t="s">
        <v>43</v>
      </c>
      <c r="R754" s="19" t="s">
        <v>44</v>
      </c>
      <c r="S754" s="19" t="s">
        <v>68</v>
      </c>
      <c r="T754" s="19"/>
      <c r="U754" s="19"/>
      <c r="V754" s="19"/>
      <c r="W754" s="19"/>
      <c r="X754" s="19"/>
      <c r="Y754" s="19"/>
    </row>
    <row r="755" ht="56.25" customHeight="1">
      <c r="A755" s="13" t="s">
        <v>621</v>
      </c>
      <c r="B755" s="41" t="str">
        <f>image("https://i.imgur.com/Vr9j6kH.png")</f>
        <v/>
      </c>
      <c r="C755" s="22" t="str">
        <f>HYPERLINK("https://imgur.com/a/qkiXIGN","Yes")</f>
        <v>Yes</v>
      </c>
      <c r="D755" s="42" t="s">
        <v>28</v>
      </c>
      <c r="E755" s="44" t="s">
        <v>50</v>
      </c>
      <c r="F755" s="38">
        <v>140000.0</v>
      </c>
      <c r="G755" s="38">
        <v>35000.0</v>
      </c>
      <c r="H755" s="19">
        <v>7282.0</v>
      </c>
      <c r="I755" s="19" t="s">
        <v>161</v>
      </c>
      <c r="J755" s="19" t="s">
        <v>62</v>
      </c>
      <c r="K755" s="19"/>
      <c r="L755" s="19"/>
      <c r="M755" s="19" t="s">
        <v>1638</v>
      </c>
      <c r="N755" s="19">
        <v>7.0</v>
      </c>
      <c r="O755" s="19" t="s">
        <v>40</v>
      </c>
      <c r="P755" s="19" t="s">
        <v>41</v>
      </c>
      <c r="Q755" s="19" t="s">
        <v>43</v>
      </c>
      <c r="R755" s="19" t="s">
        <v>44</v>
      </c>
      <c r="S755" s="19" t="s">
        <v>65</v>
      </c>
      <c r="T755" s="19"/>
      <c r="U755" s="19"/>
      <c r="V755" s="19"/>
      <c r="W755" s="19"/>
      <c r="X755" s="19"/>
      <c r="Y755" s="19"/>
    </row>
    <row r="756" ht="56.25" customHeight="1">
      <c r="A756" s="13" t="s">
        <v>691</v>
      </c>
      <c r="B756" s="41" t="str">
        <f>image("https://i.imgur.com/NvqicpP.png")</f>
        <v/>
      </c>
      <c r="C756" s="22" t="str">
        <f>HYPERLINK("https://imgur.com/a/AHZXZFI","Yes")</f>
        <v>Yes</v>
      </c>
      <c r="D756" s="42" t="s">
        <v>50</v>
      </c>
      <c r="E756" s="42" t="s">
        <v>50</v>
      </c>
      <c r="F756" s="38" t="s">
        <v>51</v>
      </c>
      <c r="G756" s="38">
        <v>3240.0</v>
      </c>
      <c r="H756" s="19">
        <v>3775.0</v>
      </c>
      <c r="I756" s="19" t="s">
        <v>60</v>
      </c>
      <c r="J756" s="19"/>
      <c r="K756" s="19"/>
      <c r="L756" s="19"/>
      <c r="M756" s="19" t="s">
        <v>1350</v>
      </c>
      <c r="N756" s="19">
        <v>5.0</v>
      </c>
      <c r="O756" s="19" t="s">
        <v>40</v>
      </c>
      <c r="P756" s="19" t="s">
        <v>41</v>
      </c>
      <c r="Q756" s="19" t="s">
        <v>54</v>
      </c>
      <c r="R756" s="19" t="s">
        <v>55</v>
      </c>
      <c r="S756" s="19"/>
      <c r="T756" s="19"/>
      <c r="U756" s="19"/>
      <c r="V756" s="19"/>
      <c r="W756" s="19"/>
      <c r="X756" s="19"/>
      <c r="Y756" s="19"/>
    </row>
    <row r="757" ht="56.25" customHeight="1">
      <c r="A757" s="13" t="s">
        <v>700</v>
      </c>
      <c r="B757" s="41" t="str">
        <f>image("https://i.imgur.com/GIBzfR8.png")</f>
        <v/>
      </c>
      <c r="C757" s="22" t="str">
        <f>HYPERLINK("https://imgur.com/a/RVaObeg","Yes")</f>
        <v>Yes</v>
      </c>
      <c r="D757" s="44" t="s">
        <v>28</v>
      </c>
      <c r="E757" s="42" t="s">
        <v>28</v>
      </c>
      <c r="F757" s="43">
        <v>600.0</v>
      </c>
      <c r="G757" s="38">
        <v>150.0</v>
      </c>
      <c r="H757" s="19">
        <v>5309.0</v>
      </c>
      <c r="I757" s="19" t="s">
        <v>36</v>
      </c>
      <c r="J757" s="19"/>
      <c r="K757" s="19"/>
      <c r="L757" s="19"/>
      <c r="M757" s="19" t="s">
        <v>1340</v>
      </c>
      <c r="N757" s="19">
        <v>1.0</v>
      </c>
      <c r="O757" s="19" t="s">
        <v>40</v>
      </c>
      <c r="P757" s="19" t="s">
        <v>41</v>
      </c>
      <c r="Q757" s="19" t="s">
        <v>43</v>
      </c>
      <c r="R757" s="19" t="s">
        <v>44</v>
      </c>
      <c r="S757" s="19" t="s">
        <v>63</v>
      </c>
      <c r="T757" s="19"/>
      <c r="U757" s="19"/>
      <c r="V757" s="19"/>
      <c r="W757" s="19"/>
      <c r="X757" s="19"/>
      <c r="Y757" s="19"/>
    </row>
    <row r="758" ht="56.25" customHeight="1">
      <c r="A758" s="13" t="s">
        <v>716</v>
      </c>
      <c r="B758" s="41" t="str">
        <f>image("https://i.imgur.com/nORNkH6.png")</f>
        <v/>
      </c>
      <c r="C758" s="25" t="s">
        <v>40</v>
      </c>
      <c r="D758" s="42" t="s">
        <v>28</v>
      </c>
      <c r="E758" s="42" t="s">
        <v>28</v>
      </c>
      <c r="F758" s="38" t="s">
        <v>51</v>
      </c>
      <c r="G758" s="38">
        <v>375.0</v>
      </c>
      <c r="H758" s="19">
        <v>7040.0</v>
      </c>
      <c r="I758" s="19" t="s">
        <v>60</v>
      </c>
      <c r="J758" s="19" t="s">
        <v>62</v>
      </c>
      <c r="K758" s="19"/>
      <c r="L758" s="19"/>
      <c r="M758" s="19" t="s">
        <v>1350</v>
      </c>
      <c r="N758" s="19"/>
      <c r="O758" s="19" t="s">
        <v>40</v>
      </c>
      <c r="P758" s="19" t="s">
        <v>41</v>
      </c>
      <c r="Q758" s="19" t="s">
        <v>54</v>
      </c>
      <c r="R758" s="19" t="s">
        <v>247</v>
      </c>
      <c r="S758" s="19"/>
      <c r="T758" s="19"/>
      <c r="U758" s="19"/>
      <c r="V758" s="19"/>
      <c r="W758" s="19"/>
      <c r="X758" s="19"/>
      <c r="Y758" s="19"/>
    </row>
    <row r="759" ht="56.25" customHeight="1">
      <c r="A759" s="13" t="s">
        <v>720</v>
      </c>
      <c r="B759" s="41" t="str">
        <f>image("https://i.imgur.com/pg2wPxh.png")</f>
        <v/>
      </c>
      <c r="C759" s="25" t="s">
        <v>40</v>
      </c>
      <c r="D759" s="42" t="s">
        <v>50</v>
      </c>
      <c r="E759" s="42" t="s">
        <v>28</v>
      </c>
      <c r="F759" s="38" t="s">
        <v>51</v>
      </c>
      <c r="G759" s="38">
        <v>720.0</v>
      </c>
      <c r="H759" s="19">
        <v>5468.0</v>
      </c>
      <c r="I759" s="19" t="s">
        <v>36</v>
      </c>
      <c r="J759" s="19"/>
      <c r="K759" s="19"/>
      <c r="L759" s="19"/>
      <c r="M759" s="19" t="s">
        <v>1340</v>
      </c>
      <c r="N759" s="19"/>
      <c r="O759" s="19" t="s">
        <v>40</v>
      </c>
      <c r="P759" s="19" t="s">
        <v>41</v>
      </c>
      <c r="Q759" s="19" t="s">
        <v>54</v>
      </c>
      <c r="R759" s="19" t="s">
        <v>55</v>
      </c>
      <c r="S759" s="19"/>
      <c r="T759" s="19"/>
      <c r="U759" s="19"/>
      <c r="V759" s="19"/>
      <c r="W759" s="19"/>
      <c r="X759" s="19"/>
      <c r="Y759" s="19"/>
    </row>
    <row r="760" ht="56.25" customHeight="1">
      <c r="A760" s="13" t="s">
        <v>723</v>
      </c>
      <c r="B760" s="41" t="str">
        <f>image("https://i.imgur.com/WD20RRG.png")</f>
        <v/>
      </c>
      <c r="C760" s="22" t="str">
        <f>HYPERLINK("https://imgur.com/a/iFLHLD2","Yes")</f>
        <v>Yes</v>
      </c>
      <c r="D760" s="42" t="s">
        <v>28</v>
      </c>
      <c r="E760" s="42" t="s">
        <v>28</v>
      </c>
      <c r="F760" s="38">
        <v>8500.0</v>
      </c>
      <c r="G760" s="38">
        <v>2125.0</v>
      </c>
      <c r="H760" s="19">
        <v>3970.0</v>
      </c>
      <c r="I760" s="19" t="s">
        <v>161</v>
      </c>
      <c r="J760" s="19"/>
      <c r="K760" s="19" t="s">
        <v>726</v>
      </c>
      <c r="L760" s="19"/>
      <c r="M760" s="19" t="s">
        <v>1355</v>
      </c>
      <c r="N760" s="19">
        <v>3.0</v>
      </c>
      <c r="O760" s="19" t="s">
        <v>40</v>
      </c>
      <c r="P760" s="19" t="s">
        <v>41</v>
      </c>
      <c r="Q760" s="19" t="s">
        <v>43</v>
      </c>
      <c r="R760" s="19" t="s">
        <v>44</v>
      </c>
      <c r="S760" s="19" t="s">
        <v>68</v>
      </c>
      <c r="T760" s="19"/>
      <c r="U760" s="19"/>
      <c r="V760" s="19"/>
      <c r="W760" s="19"/>
      <c r="X760" s="19"/>
      <c r="Y760" s="19"/>
    </row>
    <row r="761" ht="56.25" customHeight="1">
      <c r="A761" s="13" t="s">
        <v>734</v>
      </c>
      <c r="B761" s="41" t="str">
        <f>image("https://i.imgur.com/AnOl5dd.png")</f>
        <v/>
      </c>
      <c r="C761" s="22" t="str">
        <f>HYPERLINK("https://imgur.com/a/BocrmCu","Yes")</f>
        <v>Yes</v>
      </c>
      <c r="D761" s="42" t="s">
        <v>28</v>
      </c>
      <c r="E761" s="42" t="s">
        <v>28</v>
      </c>
      <c r="F761" s="38">
        <v>19000.0</v>
      </c>
      <c r="G761" s="38">
        <v>4750.0</v>
      </c>
      <c r="H761" s="19">
        <v>8415.0</v>
      </c>
      <c r="I761" s="19" t="s">
        <v>37</v>
      </c>
      <c r="J761" s="19" t="s">
        <v>161</v>
      </c>
      <c r="K761" s="19"/>
      <c r="L761" s="19"/>
      <c r="M761" s="19" t="s">
        <v>1350</v>
      </c>
      <c r="N761" s="19">
        <v>7.0</v>
      </c>
      <c r="O761" s="19" t="s">
        <v>53</v>
      </c>
      <c r="P761" s="19" t="s">
        <v>186</v>
      </c>
      <c r="Q761" s="19" t="s">
        <v>43</v>
      </c>
      <c r="R761" s="19" t="s">
        <v>44</v>
      </c>
      <c r="S761" s="19" t="s">
        <v>65</v>
      </c>
      <c r="T761" s="19"/>
      <c r="U761" s="19"/>
      <c r="V761" s="19"/>
      <c r="W761" s="19"/>
      <c r="X761" s="19"/>
      <c r="Y761" s="19"/>
    </row>
    <row r="762" ht="56.25" customHeight="1">
      <c r="A762" s="13" t="s">
        <v>744</v>
      </c>
      <c r="B762" s="41" t="str">
        <f>image("https://i.imgur.com/mQ2x06k.png")</f>
        <v/>
      </c>
      <c r="C762" s="25" t="s">
        <v>40</v>
      </c>
      <c r="D762" s="42" t="s">
        <v>28</v>
      </c>
      <c r="E762" s="42" t="s">
        <v>28</v>
      </c>
      <c r="F762" s="38">
        <v>860.0</v>
      </c>
      <c r="G762" s="38">
        <v>215.0</v>
      </c>
      <c r="H762" s="19">
        <v>3399.0</v>
      </c>
      <c r="I762" s="19" t="s">
        <v>60</v>
      </c>
      <c r="J762" s="19" t="s">
        <v>90</v>
      </c>
      <c r="K762" s="19"/>
      <c r="L762" s="19"/>
      <c r="M762" s="19" t="s">
        <v>1340</v>
      </c>
      <c r="N762" s="19"/>
      <c r="O762" s="19" t="s">
        <v>53</v>
      </c>
      <c r="P762" s="19" t="s">
        <v>41</v>
      </c>
      <c r="Q762" s="19" t="s">
        <v>43</v>
      </c>
      <c r="R762" s="19" t="s">
        <v>44</v>
      </c>
      <c r="S762" s="19" t="s">
        <v>68</v>
      </c>
      <c r="T762" s="19"/>
      <c r="U762" s="19"/>
      <c r="V762" s="19"/>
      <c r="W762" s="19"/>
      <c r="X762" s="19"/>
      <c r="Y762" s="19"/>
    </row>
    <row r="763" ht="56.25" customHeight="1">
      <c r="A763" s="13" t="s">
        <v>748</v>
      </c>
      <c r="B763" s="41" t="str">
        <f>image("https://i.imgur.com/fkQ96fH.png")</f>
        <v/>
      </c>
      <c r="C763" s="22" t="str">
        <f>HYPERLINK("https://imgur.com/a/ISvLgIh","Yes")</f>
        <v>Yes</v>
      </c>
      <c r="D763" s="42" t="s">
        <v>50</v>
      </c>
      <c r="E763" s="42" t="s">
        <v>50</v>
      </c>
      <c r="F763" s="38" t="s">
        <v>51</v>
      </c>
      <c r="G763" s="38">
        <v>1500.0</v>
      </c>
      <c r="H763" s="19">
        <v>4752.0</v>
      </c>
      <c r="I763" s="19" t="s">
        <v>60</v>
      </c>
      <c r="J763" s="19"/>
      <c r="K763" s="19"/>
      <c r="L763" s="19"/>
      <c r="M763" s="19" t="s">
        <v>1340</v>
      </c>
      <c r="N763" s="19">
        <v>1.0</v>
      </c>
      <c r="O763" s="19" t="s">
        <v>40</v>
      </c>
      <c r="P763" s="19" t="s">
        <v>41</v>
      </c>
      <c r="Q763" s="19" t="s">
        <v>54</v>
      </c>
      <c r="R763" s="19" t="s">
        <v>55</v>
      </c>
      <c r="S763" s="19"/>
      <c r="T763" s="19"/>
      <c r="U763" s="19"/>
      <c r="V763" s="19"/>
      <c r="W763" s="19"/>
      <c r="X763" s="19"/>
      <c r="Y763" s="19"/>
    </row>
    <row r="764" ht="56.25" customHeight="1">
      <c r="A764" s="13" t="s">
        <v>766</v>
      </c>
      <c r="B764" s="41" t="str">
        <f>image("https://i.imgur.com/nAJTyjb.png")</f>
        <v/>
      </c>
      <c r="C764" s="22" t="str">
        <f>HYPERLINK("https://imgur.com/a/L4bFeig","Yes")</f>
        <v>Yes</v>
      </c>
      <c r="D764" s="42" t="s">
        <v>50</v>
      </c>
      <c r="E764" s="42" t="s">
        <v>50</v>
      </c>
      <c r="F764" s="38" t="s">
        <v>51</v>
      </c>
      <c r="G764" s="38">
        <v>3400.0</v>
      </c>
      <c r="H764" s="19">
        <v>3559.0</v>
      </c>
      <c r="I764" s="19" t="s">
        <v>60</v>
      </c>
      <c r="J764" s="19" t="s">
        <v>243</v>
      </c>
      <c r="K764" s="19"/>
      <c r="L764" s="19"/>
      <c r="M764" s="19" t="s">
        <v>1340</v>
      </c>
      <c r="N764" s="19">
        <v>5.0</v>
      </c>
      <c r="O764" s="19" t="s">
        <v>53</v>
      </c>
      <c r="P764" s="19" t="s">
        <v>186</v>
      </c>
      <c r="Q764" s="19" t="s">
        <v>54</v>
      </c>
      <c r="R764" s="19" t="s">
        <v>55</v>
      </c>
      <c r="S764" s="19"/>
      <c r="T764" s="19"/>
      <c r="U764" s="19"/>
      <c r="V764" s="19"/>
      <c r="W764" s="19"/>
      <c r="X764" s="19"/>
      <c r="Y764" s="19"/>
    </row>
    <row r="765" ht="56.25" customHeight="1">
      <c r="A765" s="13" t="s">
        <v>772</v>
      </c>
      <c r="B765" s="41" t="str">
        <f>image("https://i.imgur.com/KicgJzV.png")</f>
        <v/>
      </c>
      <c r="C765" s="22" t="str">
        <f>HYPERLINK("https://imgur.com/a/3I2ZaK4","Yes")</f>
        <v>Yes</v>
      </c>
      <c r="D765" s="42" t="s">
        <v>50</v>
      </c>
      <c r="E765" s="42" t="s">
        <v>50</v>
      </c>
      <c r="F765" s="38" t="s">
        <v>51</v>
      </c>
      <c r="G765" s="38">
        <v>2450.0</v>
      </c>
      <c r="H765" s="19">
        <v>3562.0</v>
      </c>
      <c r="I765" s="19" t="s">
        <v>60</v>
      </c>
      <c r="J765" s="19" t="s">
        <v>243</v>
      </c>
      <c r="K765" s="19"/>
      <c r="L765" s="19"/>
      <c r="M765" s="19" t="s">
        <v>1340</v>
      </c>
      <c r="N765" s="19">
        <v>4.0</v>
      </c>
      <c r="O765" s="19" t="s">
        <v>40</v>
      </c>
      <c r="P765" s="19" t="s">
        <v>41</v>
      </c>
      <c r="Q765" s="19" t="s">
        <v>54</v>
      </c>
      <c r="R765" s="19" t="s">
        <v>55</v>
      </c>
      <c r="S765" s="19"/>
      <c r="T765" s="19"/>
      <c r="U765" s="19"/>
      <c r="V765" s="19"/>
      <c r="W765" s="19"/>
      <c r="X765" s="19"/>
      <c r="Y765" s="19"/>
    </row>
    <row r="766" ht="56.25" customHeight="1">
      <c r="A766" s="13" t="s">
        <v>777</v>
      </c>
      <c r="B766" s="41" t="str">
        <f>image("https://i.imgur.com/wBQqn5p.png")</f>
        <v/>
      </c>
      <c r="C766" s="22" t="str">
        <f>HYPERLINK("https://imgur.com/a/pUCyeE5","Yes")</f>
        <v>Yes</v>
      </c>
      <c r="D766" s="42" t="s">
        <v>50</v>
      </c>
      <c r="E766" s="42" t="s">
        <v>50</v>
      </c>
      <c r="F766" s="38" t="s">
        <v>51</v>
      </c>
      <c r="G766" s="38">
        <v>1740.0</v>
      </c>
      <c r="H766" s="19">
        <v>3275.0</v>
      </c>
      <c r="I766" s="19" t="s">
        <v>60</v>
      </c>
      <c r="J766" s="19"/>
      <c r="K766" s="19"/>
      <c r="L766" s="19"/>
      <c r="M766" s="19" t="s">
        <v>1340</v>
      </c>
      <c r="N766" s="19">
        <v>3.0</v>
      </c>
      <c r="O766" s="19" t="s">
        <v>53</v>
      </c>
      <c r="P766" s="19" t="s">
        <v>41</v>
      </c>
      <c r="Q766" s="19" t="s">
        <v>54</v>
      </c>
      <c r="R766" s="19" t="s">
        <v>55</v>
      </c>
      <c r="S766" s="19"/>
      <c r="T766" s="19"/>
      <c r="U766" s="19"/>
      <c r="V766" s="19"/>
      <c r="W766" s="19"/>
      <c r="X766" s="19"/>
      <c r="Y766" s="19"/>
    </row>
    <row r="767" ht="56.25" customHeight="1">
      <c r="A767" s="13" t="s">
        <v>792</v>
      </c>
      <c r="B767" s="41" t="str">
        <f>image("https://i.imgur.com/QXQZJcS.png")</f>
        <v/>
      </c>
      <c r="C767" s="22" t="str">
        <f>HYPERLINK("https://imgur.com/a/qN94CGX","Yes")</f>
        <v>Yes</v>
      </c>
      <c r="D767" s="42" t="s">
        <v>50</v>
      </c>
      <c r="E767" s="42" t="s">
        <v>50</v>
      </c>
      <c r="F767" s="38" t="s">
        <v>51</v>
      </c>
      <c r="G767" s="38">
        <v>1110.0</v>
      </c>
      <c r="H767" s="19">
        <v>3992.0</v>
      </c>
      <c r="I767" s="19" t="s">
        <v>243</v>
      </c>
      <c r="J767" s="19" t="s">
        <v>60</v>
      </c>
      <c r="K767" s="19"/>
      <c r="L767" s="19"/>
      <c r="M767" s="19" t="s">
        <v>1340</v>
      </c>
      <c r="N767" s="19">
        <v>2.0</v>
      </c>
      <c r="O767" s="19" t="s">
        <v>40</v>
      </c>
      <c r="P767" s="19" t="s">
        <v>41</v>
      </c>
      <c r="Q767" s="19" t="s">
        <v>54</v>
      </c>
      <c r="R767" s="19" t="s">
        <v>55</v>
      </c>
      <c r="S767" s="19"/>
      <c r="T767" s="19"/>
      <c r="U767" s="19"/>
      <c r="V767" s="19"/>
      <c r="W767" s="19"/>
      <c r="X767" s="19"/>
      <c r="Y767" s="19"/>
    </row>
    <row r="768" ht="56.25" customHeight="1">
      <c r="A768" s="13" t="s">
        <v>803</v>
      </c>
      <c r="B768" s="41" t="str">
        <f>image("https://i.imgur.com/lhfrC2A.png")</f>
        <v/>
      </c>
      <c r="C768" s="25" t="s">
        <v>40</v>
      </c>
      <c r="D768" s="42" t="s">
        <v>50</v>
      </c>
      <c r="E768" s="42" t="s">
        <v>28</v>
      </c>
      <c r="F768" s="38" t="s">
        <v>51</v>
      </c>
      <c r="G768" s="38">
        <v>21975.0</v>
      </c>
      <c r="H768" s="19">
        <v>5964.0</v>
      </c>
      <c r="I768" s="19" t="s">
        <v>62</v>
      </c>
      <c r="J768" s="19"/>
      <c r="K768" s="19"/>
      <c r="L768" s="19"/>
      <c r="M768" s="19" t="s">
        <v>1340</v>
      </c>
      <c r="N768" s="19"/>
      <c r="O768" s="19" t="s">
        <v>40</v>
      </c>
      <c r="P768" s="19" t="s">
        <v>41</v>
      </c>
      <c r="Q768" s="19" t="s">
        <v>54</v>
      </c>
      <c r="R768" s="19" t="s">
        <v>55</v>
      </c>
      <c r="S768" s="19"/>
      <c r="T768" s="19"/>
      <c r="U768" s="19"/>
      <c r="V768" s="19"/>
      <c r="W768" s="19"/>
      <c r="X768" s="19"/>
      <c r="Y768" s="19"/>
    </row>
    <row r="769" ht="56.25" customHeight="1">
      <c r="A769" s="13" t="s">
        <v>806</v>
      </c>
      <c r="B769" s="41" t="str">
        <f>image("https://i.imgur.com/XIguHfN.png")</f>
        <v/>
      </c>
      <c r="C769" s="25" t="s">
        <v>40</v>
      </c>
      <c r="D769" s="42" t="s">
        <v>50</v>
      </c>
      <c r="E769" s="42" t="s">
        <v>28</v>
      </c>
      <c r="F769" s="38" t="s">
        <v>51</v>
      </c>
      <c r="G769" s="38">
        <v>720.0</v>
      </c>
      <c r="H769" s="19">
        <v>5641.0</v>
      </c>
      <c r="I769" s="19" t="s">
        <v>36</v>
      </c>
      <c r="J769" s="19"/>
      <c r="K769" s="19"/>
      <c r="L769" s="19"/>
      <c r="M769" s="19" t="s">
        <v>1340</v>
      </c>
      <c r="N769" s="19"/>
      <c r="O769" s="19" t="s">
        <v>40</v>
      </c>
      <c r="P769" s="19" t="s">
        <v>41</v>
      </c>
      <c r="Q769" s="19" t="s">
        <v>54</v>
      </c>
      <c r="R769" s="19" t="s">
        <v>55</v>
      </c>
      <c r="S769" s="19"/>
      <c r="T769" s="19"/>
      <c r="U769" s="19"/>
      <c r="V769" s="19"/>
      <c r="W769" s="19"/>
      <c r="X769" s="19"/>
      <c r="Y769" s="19"/>
    </row>
    <row r="770" ht="56.25" customHeight="1">
      <c r="A770" s="13" t="s">
        <v>808</v>
      </c>
      <c r="B770" s="41" t="str">
        <f>image("https://i.imgur.com/xrGyeni.png")</f>
        <v/>
      </c>
      <c r="C770" s="22" t="str">
        <f>HYPERLINK("https://imgur.com/a/QBswbxw","Yes")</f>
        <v>Yes</v>
      </c>
      <c r="D770" s="42" t="s">
        <v>50</v>
      </c>
      <c r="E770" s="42" t="s">
        <v>50</v>
      </c>
      <c r="F770" s="38" t="s">
        <v>51</v>
      </c>
      <c r="G770" s="38">
        <v>990.0</v>
      </c>
      <c r="H770" s="19">
        <v>4037.0</v>
      </c>
      <c r="I770" s="19" t="s">
        <v>95</v>
      </c>
      <c r="J770" s="19" t="s">
        <v>60</v>
      </c>
      <c r="K770" s="19"/>
      <c r="L770" s="19"/>
      <c r="M770" s="19" t="s">
        <v>1340</v>
      </c>
      <c r="N770" s="19">
        <v>2.0</v>
      </c>
      <c r="O770" s="19" t="s">
        <v>53</v>
      </c>
      <c r="P770" s="19" t="s">
        <v>41</v>
      </c>
      <c r="Q770" s="19" t="s">
        <v>54</v>
      </c>
      <c r="R770" s="19" t="s">
        <v>55</v>
      </c>
      <c r="S770" s="19"/>
      <c r="T770" s="19"/>
      <c r="U770" s="19"/>
      <c r="V770" s="19"/>
      <c r="W770" s="19"/>
      <c r="X770" s="19"/>
      <c r="Y770" s="19"/>
    </row>
    <row r="771" ht="56.25" customHeight="1">
      <c r="A771" s="13" t="s">
        <v>818</v>
      </c>
      <c r="B771" s="41" t="str">
        <f>image("https://i.imgur.com/f9w8ml2.png")</f>
        <v/>
      </c>
      <c r="C771" s="22" t="str">
        <f>HYPERLINK("https://imgur.com/a/5Von1H4","Yes")</f>
        <v>Yes</v>
      </c>
      <c r="D771" s="42" t="s">
        <v>28</v>
      </c>
      <c r="E771" s="42" t="s">
        <v>28</v>
      </c>
      <c r="F771" s="38">
        <v>840.0</v>
      </c>
      <c r="G771" s="38">
        <v>210.0</v>
      </c>
      <c r="H771" s="19">
        <v>4119.0</v>
      </c>
      <c r="I771" s="19" t="s">
        <v>60</v>
      </c>
      <c r="J771" s="19"/>
      <c r="K771" s="19"/>
      <c r="L771" s="19"/>
      <c r="M771" s="19" t="s">
        <v>1350</v>
      </c>
      <c r="N771" s="19">
        <v>1.0</v>
      </c>
      <c r="O771" s="19" t="s">
        <v>40</v>
      </c>
      <c r="P771" s="19" t="s">
        <v>41</v>
      </c>
      <c r="Q771" s="19" t="s">
        <v>43</v>
      </c>
      <c r="R771" s="19" t="s">
        <v>44</v>
      </c>
      <c r="S771" s="19" t="s">
        <v>63</v>
      </c>
      <c r="T771" s="19"/>
      <c r="U771" s="19"/>
      <c r="V771" s="19"/>
      <c r="W771" s="19"/>
      <c r="X771" s="19"/>
      <c r="Y771" s="19"/>
    </row>
    <row r="772" ht="56.25" customHeight="1">
      <c r="A772" s="13" t="s">
        <v>826</v>
      </c>
      <c r="B772" s="41" t="str">
        <f>image("https://i.imgur.com/zHigwkT.png")</f>
        <v/>
      </c>
      <c r="C772" s="22" t="str">
        <f>HYPERLINK("https://imgur.com/a/DtcKiJH","Yes")</f>
        <v>Yes</v>
      </c>
      <c r="D772" s="42" t="s">
        <v>28</v>
      </c>
      <c r="E772" s="42" t="s">
        <v>28</v>
      </c>
      <c r="F772" s="38">
        <v>1400.0</v>
      </c>
      <c r="G772" s="38">
        <v>350.0</v>
      </c>
      <c r="H772" s="19">
        <v>4118.0</v>
      </c>
      <c r="I772" s="19" t="s">
        <v>86</v>
      </c>
      <c r="J772" s="19" t="s">
        <v>37</v>
      </c>
      <c r="K772" s="19"/>
      <c r="L772" s="19"/>
      <c r="M772" s="19" t="s">
        <v>1340</v>
      </c>
      <c r="N772" s="19">
        <v>1.0</v>
      </c>
      <c r="O772" s="19" t="s">
        <v>40</v>
      </c>
      <c r="P772" s="19" t="s">
        <v>41</v>
      </c>
      <c r="Q772" s="19" t="s">
        <v>43</v>
      </c>
      <c r="R772" s="19" t="s">
        <v>44</v>
      </c>
      <c r="S772" s="19" t="s">
        <v>63</v>
      </c>
      <c r="T772" s="19"/>
      <c r="U772" s="19"/>
      <c r="V772" s="19"/>
      <c r="W772" s="19"/>
      <c r="X772" s="19"/>
      <c r="Y772" s="19"/>
    </row>
    <row r="773" ht="56.25" customHeight="1">
      <c r="A773" s="13" t="s">
        <v>836</v>
      </c>
      <c r="B773" s="41" t="str">
        <f>image("https://i.imgur.com/A9y0HTn.png")</f>
        <v/>
      </c>
      <c r="C773" s="25" t="s">
        <v>40</v>
      </c>
      <c r="D773" s="44" t="s">
        <v>28</v>
      </c>
      <c r="E773" s="44" t="s">
        <v>28</v>
      </c>
      <c r="F773" s="38">
        <v>1500.0</v>
      </c>
      <c r="G773" s="38">
        <v>375.0</v>
      </c>
      <c r="H773" s="19">
        <v>11098.0</v>
      </c>
      <c r="I773" s="19" t="s">
        <v>90</v>
      </c>
      <c r="J773" s="19"/>
      <c r="K773" s="19"/>
      <c r="L773" s="19"/>
      <c r="M773" s="19" t="s">
        <v>1340</v>
      </c>
      <c r="N773" s="19"/>
      <c r="O773" s="19" t="s">
        <v>40</v>
      </c>
      <c r="P773" s="19" t="s">
        <v>41</v>
      </c>
      <c r="Q773" s="19" t="s">
        <v>43</v>
      </c>
      <c r="R773" s="19" t="s">
        <v>44</v>
      </c>
      <c r="S773" s="19" t="s">
        <v>68</v>
      </c>
      <c r="T773" s="19"/>
      <c r="U773" s="19"/>
      <c r="V773" s="19"/>
      <c r="W773" s="19"/>
      <c r="X773" s="19"/>
      <c r="Y773" s="19"/>
    </row>
    <row r="774" ht="56.25" customHeight="1">
      <c r="A774" s="24" t="s">
        <v>839</v>
      </c>
      <c r="B774" s="41" t="str">
        <f>image("https://i.imgur.com/IUbEKDw.png")</f>
        <v/>
      </c>
      <c r="C774" s="22" t="str">
        <f>HYPERLINK("https://imgur.com/a/YQvCHAh","Yes")</f>
        <v>Yes</v>
      </c>
      <c r="D774" s="42" t="s">
        <v>28</v>
      </c>
      <c r="E774" s="42" t="s">
        <v>28</v>
      </c>
      <c r="F774" s="38">
        <v>780.0</v>
      </c>
      <c r="G774" s="38">
        <v>195.0</v>
      </c>
      <c r="H774" s="19">
        <v>9565.0</v>
      </c>
      <c r="I774" s="19" t="s">
        <v>113</v>
      </c>
      <c r="J774" s="19" t="s">
        <v>36</v>
      </c>
      <c r="K774" s="19"/>
      <c r="L774" s="19"/>
      <c r="M774" s="19" t="s">
        <v>1350</v>
      </c>
      <c r="N774" s="19">
        <v>1.0</v>
      </c>
      <c r="O774" s="19" t="s">
        <v>53</v>
      </c>
      <c r="P774" s="19" t="s">
        <v>41</v>
      </c>
      <c r="Q774" s="19" t="s">
        <v>43</v>
      </c>
      <c r="R774" s="19" t="s">
        <v>44</v>
      </c>
      <c r="S774" s="19" t="s">
        <v>63</v>
      </c>
      <c r="T774" s="19"/>
      <c r="U774" s="19"/>
      <c r="V774" s="19"/>
      <c r="W774" s="19"/>
      <c r="X774" s="19"/>
      <c r="Y774" s="19"/>
    </row>
    <row r="775" ht="56.25" customHeight="1">
      <c r="A775" s="13" t="s">
        <v>855</v>
      </c>
      <c r="B775" s="41" t="str">
        <f>image("https://i.imgur.com/5JeEY65.png")</f>
        <v/>
      </c>
      <c r="C775" s="22" t="str">
        <f>HYPERLINK("https://imgur.com/a/0jAmAaM","Yes")</f>
        <v>Yes</v>
      </c>
      <c r="D775" s="42" t="s">
        <v>28</v>
      </c>
      <c r="E775" s="42" t="s">
        <v>28</v>
      </c>
      <c r="F775" s="38" t="s">
        <v>51</v>
      </c>
      <c r="G775" s="38">
        <v>88.0</v>
      </c>
      <c r="H775" s="19">
        <v>7139.0</v>
      </c>
      <c r="I775" s="19" t="s">
        <v>60</v>
      </c>
      <c r="J775" s="19" t="s">
        <v>36</v>
      </c>
      <c r="K775" s="19"/>
      <c r="L775" s="19"/>
      <c r="M775" s="19" t="s">
        <v>1340</v>
      </c>
      <c r="N775" s="19">
        <v>1.0</v>
      </c>
      <c r="O775" s="19" t="s">
        <v>40</v>
      </c>
      <c r="P775" s="19" t="s">
        <v>41</v>
      </c>
      <c r="Q775" s="19" t="s">
        <v>54</v>
      </c>
      <c r="R775" s="19" t="s">
        <v>859</v>
      </c>
      <c r="S775" s="19"/>
      <c r="T775" s="19"/>
      <c r="U775" s="19"/>
      <c r="V775" s="19"/>
      <c r="W775" s="19"/>
      <c r="X775" s="19"/>
      <c r="Y775" s="19"/>
    </row>
    <row r="776" ht="56.25" customHeight="1">
      <c r="A776" s="13" t="s">
        <v>881</v>
      </c>
      <c r="B776" s="41" t="str">
        <f>image("https://i.imgur.com/IgJc6CB.png")</f>
        <v/>
      </c>
      <c r="C776" s="25" t="s">
        <v>40</v>
      </c>
      <c r="D776" s="42" t="s">
        <v>28</v>
      </c>
      <c r="E776" s="42" t="s">
        <v>28</v>
      </c>
      <c r="F776" s="38" t="s">
        <v>51</v>
      </c>
      <c r="G776" s="38">
        <v>88.0</v>
      </c>
      <c r="H776" s="19">
        <v>7145.0</v>
      </c>
      <c r="I776" s="19" t="s">
        <v>60</v>
      </c>
      <c r="J776" s="19" t="s">
        <v>36</v>
      </c>
      <c r="K776" s="19" t="s">
        <v>859</v>
      </c>
      <c r="L776" s="19"/>
      <c r="M776" s="19" t="s">
        <v>1340</v>
      </c>
      <c r="N776" s="19">
        <v>1.0</v>
      </c>
      <c r="O776" s="19" t="s">
        <v>40</v>
      </c>
      <c r="P776" s="19" t="s">
        <v>41</v>
      </c>
      <c r="Q776" s="19" t="s">
        <v>54</v>
      </c>
      <c r="R776" s="19" t="s">
        <v>859</v>
      </c>
      <c r="S776" s="19"/>
      <c r="T776" s="19"/>
      <c r="U776" s="19"/>
      <c r="V776" s="19"/>
      <c r="W776" s="19"/>
      <c r="X776" s="19"/>
      <c r="Y776" s="19"/>
    </row>
    <row r="777" ht="56.25" customHeight="1">
      <c r="A777" s="13" t="s">
        <v>899</v>
      </c>
      <c r="B777" s="41" t="str">
        <f>image("https://i.imgur.com/wH5KSNM.png")</f>
        <v/>
      </c>
      <c r="C777" s="25" t="s">
        <v>40</v>
      </c>
      <c r="D777" s="44" t="s">
        <v>28</v>
      </c>
      <c r="E777" s="44" t="s">
        <v>28</v>
      </c>
      <c r="F777" s="38">
        <v>1300.0</v>
      </c>
      <c r="G777" s="43">
        <v>325.0</v>
      </c>
      <c r="H777" s="19">
        <v>11127.0</v>
      </c>
      <c r="I777" s="19" t="s">
        <v>84</v>
      </c>
      <c r="J777" s="19" t="s">
        <v>90</v>
      </c>
      <c r="K777" s="19"/>
      <c r="L777" s="19"/>
      <c r="M777" s="19" t="s">
        <v>1488</v>
      </c>
      <c r="N777" s="19"/>
      <c r="O777" s="19" t="s">
        <v>40</v>
      </c>
      <c r="P777" s="19" t="s">
        <v>41</v>
      </c>
      <c r="Q777" s="19" t="s">
        <v>43</v>
      </c>
      <c r="R777" s="19" t="s">
        <v>44</v>
      </c>
      <c r="S777" s="19" t="s">
        <v>68</v>
      </c>
      <c r="T777" s="19"/>
      <c r="U777" s="19"/>
      <c r="V777" s="19"/>
      <c r="W777" s="19"/>
      <c r="X777" s="19"/>
      <c r="Y777" s="19"/>
    </row>
    <row r="778" ht="56.25" customHeight="1">
      <c r="A778" s="13" t="s">
        <v>902</v>
      </c>
      <c r="B778" s="41" t="str">
        <f>image("https://i.imgur.com/rpTmGaP.png")</f>
        <v/>
      </c>
      <c r="C778" s="25" t="s">
        <v>40</v>
      </c>
      <c r="D778" s="44" t="s">
        <v>28</v>
      </c>
      <c r="E778" s="44" t="s">
        <v>28</v>
      </c>
      <c r="F778" s="38">
        <v>5000.0</v>
      </c>
      <c r="G778" s="38">
        <v>1250.0</v>
      </c>
      <c r="H778" s="19">
        <v>11128.0</v>
      </c>
      <c r="I778" s="19" t="s">
        <v>84</v>
      </c>
      <c r="J778" s="19" t="s">
        <v>90</v>
      </c>
      <c r="K778" s="19"/>
      <c r="L778" s="19"/>
      <c r="M778" s="19" t="s">
        <v>1384</v>
      </c>
      <c r="N778" s="19"/>
      <c r="O778" s="19" t="s">
        <v>40</v>
      </c>
      <c r="P778" s="19" t="s">
        <v>41</v>
      </c>
      <c r="Q778" s="19" t="s">
        <v>43</v>
      </c>
      <c r="R778" s="19" t="s">
        <v>44</v>
      </c>
      <c r="S778" s="19" t="s">
        <v>68</v>
      </c>
      <c r="T778" s="19"/>
      <c r="U778" s="19"/>
      <c r="V778" s="19"/>
      <c r="W778" s="19"/>
      <c r="X778" s="19"/>
      <c r="Y778" s="19"/>
    </row>
    <row r="779" ht="56.25" customHeight="1">
      <c r="A779" s="13" t="s">
        <v>905</v>
      </c>
      <c r="B779" s="41" t="str">
        <f>image("https://i.imgur.com/SzPytI9.png")</f>
        <v/>
      </c>
      <c r="C779" s="25" t="s">
        <v>40</v>
      </c>
      <c r="D779" s="42" t="s">
        <v>50</v>
      </c>
      <c r="E779" s="42" t="s">
        <v>28</v>
      </c>
      <c r="F779" s="38" t="s">
        <v>51</v>
      </c>
      <c r="G779" s="38">
        <v>720.0</v>
      </c>
      <c r="H779" s="19">
        <v>5467.0</v>
      </c>
      <c r="I779" s="19" t="s">
        <v>36</v>
      </c>
      <c r="J779" s="19"/>
      <c r="K779" s="19"/>
      <c r="L779" s="19"/>
      <c r="M779" s="19" t="s">
        <v>1340</v>
      </c>
      <c r="N779" s="19"/>
      <c r="O779" s="19" t="s">
        <v>40</v>
      </c>
      <c r="P779" s="19" t="s">
        <v>41</v>
      </c>
      <c r="Q779" s="19" t="s">
        <v>54</v>
      </c>
      <c r="R779" s="19" t="s">
        <v>55</v>
      </c>
      <c r="S779" s="19"/>
      <c r="T779" s="19"/>
      <c r="U779" s="19"/>
      <c r="V779" s="19"/>
      <c r="W779" s="19"/>
      <c r="X779" s="19"/>
      <c r="Y779" s="19"/>
    </row>
    <row r="780" ht="56.25" customHeight="1">
      <c r="A780" s="13" t="s">
        <v>1710</v>
      </c>
      <c r="B780" s="41" t="str">
        <f>image("https://i.imgur.com/Yu30mlZ.png")</f>
        <v/>
      </c>
      <c r="C780" s="22" t="str">
        <f>HYPERLINK("https://imgur.com/a/nvrsUWk","Yes")</f>
        <v>Yes</v>
      </c>
      <c r="D780" s="42" t="s">
        <v>50</v>
      </c>
      <c r="E780" s="42" t="s">
        <v>28</v>
      </c>
      <c r="F780" s="38" t="s">
        <v>51</v>
      </c>
      <c r="G780" s="38">
        <v>1500.0</v>
      </c>
      <c r="H780" s="19">
        <v>4726.0</v>
      </c>
      <c r="I780" s="19" t="s">
        <v>95</v>
      </c>
      <c r="J780" s="19"/>
      <c r="K780" s="19"/>
      <c r="L780" s="19"/>
      <c r="M780" s="19" t="s">
        <v>1340</v>
      </c>
      <c r="N780" s="19"/>
      <c r="O780" s="19" t="s">
        <v>40</v>
      </c>
      <c r="P780" s="19" t="s">
        <v>41</v>
      </c>
      <c r="Q780" s="19" t="s">
        <v>54</v>
      </c>
      <c r="R780" s="19" t="s">
        <v>55</v>
      </c>
      <c r="S780" s="19" t="s">
        <v>1544</v>
      </c>
      <c r="T780" s="19"/>
      <c r="U780" s="19"/>
      <c r="V780" s="19"/>
      <c r="W780" s="19"/>
      <c r="X780" s="19"/>
      <c r="Y780" s="19"/>
    </row>
    <row r="781" ht="56.25" customHeight="1">
      <c r="A781" s="13" t="s">
        <v>908</v>
      </c>
      <c r="B781" s="41" t="str">
        <f>image("https://i.imgur.com/x0uCMzw.png")</f>
        <v/>
      </c>
      <c r="C781" s="25" t="s">
        <v>40</v>
      </c>
      <c r="D781" s="42" t="s">
        <v>50</v>
      </c>
      <c r="E781" s="42" t="s">
        <v>28</v>
      </c>
      <c r="F781" s="38" t="s">
        <v>51</v>
      </c>
      <c r="G781" s="38">
        <v>4800.0</v>
      </c>
      <c r="H781" s="19">
        <v>5768.0</v>
      </c>
      <c r="I781" s="19" t="s">
        <v>36</v>
      </c>
      <c r="J781" s="19"/>
      <c r="K781" s="19"/>
      <c r="L781" s="19"/>
      <c r="M781" s="19" t="s">
        <v>1340</v>
      </c>
      <c r="N781" s="19"/>
      <c r="O781" s="19" t="s">
        <v>40</v>
      </c>
      <c r="P781" s="19" t="s">
        <v>41</v>
      </c>
      <c r="Q781" s="19" t="s">
        <v>54</v>
      </c>
      <c r="R781" s="19" t="s">
        <v>55</v>
      </c>
      <c r="S781" s="19"/>
      <c r="T781" s="19"/>
      <c r="U781" s="19"/>
      <c r="V781" s="19"/>
      <c r="W781" s="19"/>
      <c r="X781" s="19"/>
      <c r="Y781" s="19"/>
    </row>
    <row r="782" ht="56.25" customHeight="1">
      <c r="A782" s="13" t="s">
        <v>910</v>
      </c>
      <c r="B782" s="41" t="str">
        <f>image("https://i.imgur.com/p5JRsf8.png")</f>
        <v/>
      </c>
      <c r="C782" s="22" t="str">
        <f>HYPERLINK("https://imgur.com/a/Vaw2wEF","Yes")</f>
        <v>Yes</v>
      </c>
      <c r="D782" s="42" t="s">
        <v>50</v>
      </c>
      <c r="E782" s="42" t="s">
        <v>50</v>
      </c>
      <c r="F782" s="38" t="s">
        <v>51</v>
      </c>
      <c r="G782" s="38">
        <v>2240.0</v>
      </c>
      <c r="H782" s="19">
        <v>3976.0</v>
      </c>
      <c r="I782" s="19" t="s">
        <v>36</v>
      </c>
      <c r="J782" s="19"/>
      <c r="K782" s="19"/>
      <c r="L782" s="19"/>
      <c r="M782" s="19" t="s">
        <v>1340</v>
      </c>
      <c r="N782" s="19">
        <v>3.0</v>
      </c>
      <c r="O782" s="19" t="s">
        <v>53</v>
      </c>
      <c r="P782" s="19" t="s">
        <v>41</v>
      </c>
      <c r="Q782" s="19" t="s">
        <v>54</v>
      </c>
      <c r="R782" s="19" t="s">
        <v>55</v>
      </c>
      <c r="S782" s="19"/>
      <c r="T782" s="19"/>
      <c r="U782" s="19"/>
      <c r="V782" s="19"/>
      <c r="W782" s="19"/>
      <c r="X782" s="19"/>
      <c r="Y782" s="19"/>
    </row>
    <row r="783" ht="56.25" customHeight="1">
      <c r="A783" s="13" t="s">
        <v>916</v>
      </c>
      <c r="B783" s="41" t="str">
        <f>image("https://i.imgur.com/EyMODgI.png")</f>
        <v/>
      </c>
      <c r="C783" s="22" t="str">
        <f>HYPERLINK("https://imgur.com/a/X9Tf7Vj","Yes")</f>
        <v>Yes</v>
      </c>
      <c r="D783" s="42" t="s">
        <v>50</v>
      </c>
      <c r="E783" s="42" t="s">
        <v>50</v>
      </c>
      <c r="F783" s="38" t="s">
        <v>51</v>
      </c>
      <c r="G783" s="38">
        <v>340.0</v>
      </c>
      <c r="H783" s="19">
        <v>6818.0</v>
      </c>
      <c r="I783" s="19" t="s">
        <v>212</v>
      </c>
      <c r="J783" s="19" t="s">
        <v>36</v>
      </c>
      <c r="K783" s="19"/>
      <c r="L783" s="19"/>
      <c r="M783" s="19" t="s">
        <v>1340</v>
      </c>
      <c r="N783" s="19">
        <v>1.0</v>
      </c>
      <c r="O783" s="19" t="s">
        <v>53</v>
      </c>
      <c r="P783" s="19" t="s">
        <v>41</v>
      </c>
      <c r="Q783" s="19" t="s">
        <v>54</v>
      </c>
      <c r="R783" s="19" t="s">
        <v>55</v>
      </c>
      <c r="S783" s="19" t="s">
        <v>418</v>
      </c>
      <c r="T783" s="19"/>
      <c r="U783" s="19"/>
      <c r="V783" s="19"/>
      <c r="W783" s="19"/>
      <c r="X783" s="19"/>
      <c r="Y783" s="19"/>
    </row>
    <row r="784" ht="56.25" customHeight="1">
      <c r="A784" s="13" t="s">
        <v>928</v>
      </c>
      <c r="B784" s="41" t="str">
        <f>image("https://i.imgur.com/RQTT00F.png")</f>
        <v/>
      </c>
      <c r="C784" s="22" t="str">
        <f>HYPERLINK("https://imgur.com/a/IcnCzAK","Yes")</f>
        <v>Yes</v>
      </c>
      <c r="D784" s="42" t="s">
        <v>50</v>
      </c>
      <c r="E784" s="42" t="s">
        <v>50</v>
      </c>
      <c r="F784" s="38" t="s">
        <v>51</v>
      </c>
      <c r="G784" s="38">
        <v>800.0</v>
      </c>
      <c r="H784" s="19">
        <v>4377.0</v>
      </c>
      <c r="I784" s="19" t="s">
        <v>36</v>
      </c>
      <c r="J784" s="19"/>
      <c r="K784" s="19"/>
      <c r="L784" s="19"/>
      <c r="M784" s="19" t="s">
        <v>1340</v>
      </c>
      <c r="N784" s="19">
        <v>1.0</v>
      </c>
      <c r="O784" s="19" t="s">
        <v>40</v>
      </c>
      <c r="P784" s="19" t="s">
        <v>41</v>
      </c>
      <c r="Q784" s="19" t="s">
        <v>54</v>
      </c>
      <c r="R784" s="19" t="s">
        <v>55</v>
      </c>
      <c r="S784" s="19" t="s">
        <v>418</v>
      </c>
      <c r="T784" s="19"/>
      <c r="U784" s="19"/>
      <c r="V784" s="19"/>
      <c r="W784" s="19"/>
      <c r="X784" s="19"/>
      <c r="Y784" s="19"/>
    </row>
    <row r="785" ht="56.25" customHeight="1">
      <c r="A785" s="13" t="s">
        <v>946</v>
      </c>
      <c r="B785" s="41" t="str">
        <f>image("https://i.imgur.com/OkdpgFl.png")</f>
        <v/>
      </c>
      <c r="C785" s="25" t="s">
        <v>40</v>
      </c>
      <c r="D785" s="42" t="s">
        <v>50</v>
      </c>
      <c r="E785" s="42" t="s">
        <v>28</v>
      </c>
      <c r="F785" s="38" t="s">
        <v>51</v>
      </c>
      <c r="G785" s="38">
        <v>720.0</v>
      </c>
      <c r="H785" s="19">
        <v>5466.0</v>
      </c>
      <c r="I785" s="19" t="s">
        <v>36</v>
      </c>
      <c r="J785" s="19"/>
      <c r="K785" s="19"/>
      <c r="L785" s="19"/>
      <c r="M785" s="19" t="s">
        <v>1340</v>
      </c>
      <c r="N785" s="19"/>
      <c r="O785" s="19" t="s">
        <v>40</v>
      </c>
      <c r="P785" s="19" t="s">
        <v>41</v>
      </c>
      <c r="Q785" s="19" t="s">
        <v>54</v>
      </c>
      <c r="R785" s="19" t="s">
        <v>55</v>
      </c>
      <c r="S785" s="19"/>
      <c r="T785" s="19"/>
      <c r="U785" s="19"/>
      <c r="V785" s="19"/>
      <c r="W785" s="19"/>
      <c r="X785" s="19"/>
      <c r="Y785" s="19"/>
    </row>
    <row r="786" ht="56.25" customHeight="1">
      <c r="A786" s="13" t="s">
        <v>948</v>
      </c>
      <c r="B786" s="41" t="str">
        <f>image("https://i.imgur.com/NdkA143.png")</f>
        <v/>
      </c>
      <c r="C786" s="22" t="str">
        <f>HYPERLINK("https://imgur.com/a/TpyH2Du","Yes")</f>
        <v>Yes</v>
      </c>
      <c r="D786" s="42" t="s">
        <v>28</v>
      </c>
      <c r="E786" s="42" t="s">
        <v>28</v>
      </c>
      <c r="F786" s="38">
        <v>650.0</v>
      </c>
      <c r="G786" s="43">
        <v>162.0</v>
      </c>
      <c r="H786" s="19">
        <v>4077.0</v>
      </c>
      <c r="I786" s="19" t="s">
        <v>212</v>
      </c>
      <c r="J786" s="19" t="s">
        <v>36</v>
      </c>
      <c r="K786" s="19"/>
      <c r="L786" s="19"/>
      <c r="M786" s="19" t="s">
        <v>1384</v>
      </c>
      <c r="N786" s="19">
        <v>1.0</v>
      </c>
      <c r="O786" s="19" t="s">
        <v>40</v>
      </c>
      <c r="P786" s="19" t="s">
        <v>41</v>
      </c>
      <c r="Q786" s="19" t="s">
        <v>43</v>
      </c>
      <c r="R786" s="19" t="s">
        <v>44</v>
      </c>
      <c r="S786" s="19" t="s">
        <v>63</v>
      </c>
      <c r="T786" s="19"/>
      <c r="U786" s="19"/>
      <c r="V786" s="19"/>
      <c r="W786" s="19"/>
      <c r="X786" s="19"/>
      <c r="Y786" s="19"/>
    </row>
    <row r="787" ht="56.25" customHeight="1">
      <c r="A787" s="13" t="s">
        <v>966</v>
      </c>
      <c r="B787" s="41" t="str">
        <f>image("https://i.imgur.com/syOY88p.png")</f>
        <v/>
      </c>
      <c r="C787" s="22" t="str">
        <f>HYPERLINK("https://imgur.com/a/HxXCMvB","Yes")</f>
        <v>Yes</v>
      </c>
      <c r="D787" s="42" t="s">
        <v>50</v>
      </c>
      <c r="E787" s="42" t="s">
        <v>50</v>
      </c>
      <c r="F787" s="38" t="s">
        <v>51</v>
      </c>
      <c r="G787" s="38">
        <v>360.0</v>
      </c>
      <c r="H787" s="19">
        <v>5716.0</v>
      </c>
      <c r="I787" s="19" t="s">
        <v>60</v>
      </c>
      <c r="J787" s="19" t="s">
        <v>36</v>
      </c>
      <c r="K787" s="19"/>
      <c r="L787" s="19"/>
      <c r="M787" s="19" t="s">
        <v>1340</v>
      </c>
      <c r="N787" s="19">
        <v>1.0</v>
      </c>
      <c r="O787" s="19" t="s">
        <v>40</v>
      </c>
      <c r="P787" s="19" t="s">
        <v>41</v>
      </c>
      <c r="Q787" s="19" t="s">
        <v>54</v>
      </c>
      <c r="R787" s="19" t="s">
        <v>55</v>
      </c>
      <c r="S787" s="19"/>
      <c r="T787" s="19"/>
      <c r="U787" s="19"/>
      <c r="V787" s="19"/>
      <c r="W787" s="19"/>
      <c r="X787" s="19"/>
      <c r="Y787" s="19"/>
    </row>
    <row r="788" ht="56.25" customHeight="1">
      <c r="A788" s="13" t="s">
        <v>985</v>
      </c>
      <c r="B788" s="41" t="str">
        <f>image("https://i.imgur.com/wBvkcFR.png")</f>
        <v/>
      </c>
      <c r="C788" s="25" t="s">
        <v>40</v>
      </c>
      <c r="D788" s="42" t="s">
        <v>28</v>
      </c>
      <c r="E788" s="42" t="s">
        <v>28</v>
      </c>
      <c r="F788" s="38">
        <v>1900.0</v>
      </c>
      <c r="G788" s="38">
        <v>475.0</v>
      </c>
      <c r="H788" s="19">
        <v>4106.0</v>
      </c>
      <c r="I788" s="19" t="s">
        <v>60</v>
      </c>
      <c r="J788" s="19"/>
      <c r="K788" s="19"/>
      <c r="L788" s="19"/>
      <c r="M788" s="19" t="s">
        <v>1340</v>
      </c>
      <c r="N788" s="19"/>
      <c r="O788" s="19" t="s">
        <v>53</v>
      </c>
      <c r="P788" s="19" t="s">
        <v>41</v>
      </c>
      <c r="Q788" s="19" t="s">
        <v>43</v>
      </c>
      <c r="R788" s="19" t="s">
        <v>44</v>
      </c>
      <c r="S788" s="19" t="s">
        <v>63</v>
      </c>
      <c r="T788" s="19"/>
      <c r="U788" s="19"/>
      <c r="V788" s="19"/>
      <c r="W788" s="19"/>
      <c r="X788" s="19"/>
      <c r="Y788" s="19"/>
    </row>
    <row r="789" ht="56.25" customHeight="1">
      <c r="A789" s="38" t="s">
        <v>988</v>
      </c>
      <c r="B789" s="41" t="str">
        <f>image("https://i.imgur.com/uw0wmsC.png")</f>
        <v/>
      </c>
      <c r="C789" s="22" t="str">
        <f>HYPERLINK("https://imgur.com/a/AL03LVH","Yes")</f>
        <v>Yes</v>
      </c>
      <c r="D789" s="42" t="s">
        <v>28</v>
      </c>
      <c r="E789" s="42" t="s">
        <v>28</v>
      </c>
      <c r="F789" s="38">
        <v>1300.0</v>
      </c>
      <c r="G789" s="43">
        <v>325.0</v>
      </c>
      <c r="H789" s="19">
        <v>3818.0</v>
      </c>
      <c r="I789" s="19" t="s">
        <v>37</v>
      </c>
      <c r="J789" s="19" t="s">
        <v>113</v>
      </c>
      <c r="K789" s="19"/>
      <c r="L789" s="19"/>
      <c r="M789" s="19" t="s">
        <v>1384</v>
      </c>
      <c r="N789" s="19">
        <v>1.0</v>
      </c>
      <c r="O789" s="19" t="s">
        <v>40</v>
      </c>
      <c r="P789" s="19" t="s">
        <v>41</v>
      </c>
      <c r="Q789" s="19" t="s">
        <v>43</v>
      </c>
      <c r="R789" s="19" t="s">
        <v>44</v>
      </c>
      <c r="S789" s="19" t="s">
        <v>68</v>
      </c>
      <c r="T789" s="19"/>
      <c r="U789" s="19"/>
      <c r="V789" s="19"/>
      <c r="W789" s="19"/>
      <c r="X789" s="19"/>
      <c r="Y789" s="19"/>
    </row>
    <row r="790" ht="56.25" customHeight="1">
      <c r="A790" s="13" t="s">
        <v>1004</v>
      </c>
      <c r="B790" s="41" t="str">
        <f>image("https://i.imgur.com/2Vk4NqL.png")</f>
        <v/>
      </c>
      <c r="C790" s="22" t="str">
        <f>HYPERLINK("https://imgur.com/a/vs9NN0S","Yes")</f>
        <v>Yes</v>
      </c>
      <c r="D790" s="42" t="s">
        <v>28</v>
      </c>
      <c r="E790" s="42" t="s">
        <v>28</v>
      </c>
      <c r="F790" s="38">
        <v>3000.0</v>
      </c>
      <c r="G790" s="38">
        <v>750.0</v>
      </c>
      <c r="H790" s="19">
        <v>928.0</v>
      </c>
      <c r="I790" s="19" t="s">
        <v>86</v>
      </c>
      <c r="J790" s="19" t="s">
        <v>37</v>
      </c>
      <c r="K790" s="19"/>
      <c r="L790" s="19"/>
      <c r="M790" s="19" t="s">
        <v>1384</v>
      </c>
      <c r="N790" s="19">
        <v>1.0</v>
      </c>
      <c r="O790" s="19" t="s">
        <v>40</v>
      </c>
      <c r="P790" s="19" t="s">
        <v>41</v>
      </c>
      <c r="Q790" s="19" t="s">
        <v>43</v>
      </c>
      <c r="R790" s="19" t="s">
        <v>44</v>
      </c>
      <c r="S790" s="19" t="s">
        <v>63</v>
      </c>
      <c r="T790" s="19"/>
      <c r="U790" s="19"/>
      <c r="V790" s="19"/>
      <c r="W790" s="19"/>
      <c r="X790" s="19"/>
      <c r="Y790" s="19"/>
    </row>
    <row r="791" ht="56.25" customHeight="1">
      <c r="A791" s="13" t="s">
        <v>1010</v>
      </c>
      <c r="B791" s="41" t="str">
        <f>image("https://i.imgur.com/Zasetkt.png")</f>
        <v/>
      </c>
      <c r="C791" s="22" t="str">
        <f>HYPERLINK("https://imgur.com/a/ededqG4","Yes")</f>
        <v>Yes</v>
      </c>
      <c r="D791" s="42" t="s">
        <v>50</v>
      </c>
      <c r="E791" s="42" t="s">
        <v>50</v>
      </c>
      <c r="F791" s="38" t="s">
        <v>51</v>
      </c>
      <c r="G791" s="38">
        <v>1100.0</v>
      </c>
      <c r="H791" s="19">
        <v>3785.0</v>
      </c>
      <c r="I791" s="19" t="s">
        <v>60</v>
      </c>
      <c r="J791" s="19"/>
      <c r="K791" s="19"/>
      <c r="L791" s="19"/>
      <c r="M791" s="19" t="s">
        <v>1340</v>
      </c>
      <c r="N791" s="19">
        <v>2.0</v>
      </c>
      <c r="O791" s="19" t="s">
        <v>40</v>
      </c>
      <c r="P791" s="19" t="s">
        <v>41</v>
      </c>
      <c r="Q791" s="19" t="s">
        <v>54</v>
      </c>
      <c r="R791" s="19" t="s">
        <v>55</v>
      </c>
      <c r="S791" s="19"/>
      <c r="T791" s="19"/>
      <c r="U791" s="19"/>
      <c r="V791" s="19"/>
      <c r="W791" s="19"/>
      <c r="X791" s="19"/>
      <c r="Y791" s="19"/>
    </row>
    <row r="792" ht="56.25" customHeight="1">
      <c r="A792" s="13" t="s">
        <v>1019</v>
      </c>
      <c r="B792" s="41" t="str">
        <f>image("https://i.imgur.com/KNrz8KL.png")</f>
        <v/>
      </c>
      <c r="C792" s="25" t="s">
        <v>40</v>
      </c>
      <c r="D792" s="42" t="s">
        <v>50</v>
      </c>
      <c r="E792" s="42" t="s">
        <v>28</v>
      </c>
      <c r="F792" s="38" t="s">
        <v>51</v>
      </c>
      <c r="G792" s="38">
        <v>1200.0</v>
      </c>
      <c r="H792" s="19">
        <v>5745.0</v>
      </c>
      <c r="I792" s="19" t="s">
        <v>36</v>
      </c>
      <c r="J792" s="19"/>
      <c r="K792" s="19"/>
      <c r="L792" s="19"/>
      <c r="M792" s="19" t="s">
        <v>1340</v>
      </c>
      <c r="N792" s="19"/>
      <c r="O792" s="19" t="s">
        <v>40</v>
      </c>
      <c r="P792" s="19" t="s">
        <v>41</v>
      </c>
      <c r="Q792" s="19" t="s">
        <v>54</v>
      </c>
      <c r="R792" s="19" t="s">
        <v>55</v>
      </c>
      <c r="S792" s="19"/>
      <c r="T792" s="19"/>
      <c r="U792" s="19"/>
      <c r="V792" s="19"/>
      <c r="W792" s="19"/>
      <c r="X792" s="19"/>
      <c r="Y792" s="19"/>
    </row>
    <row r="793" ht="56.25" customHeight="1">
      <c r="A793" s="13" t="s">
        <v>1022</v>
      </c>
      <c r="B793" s="41" t="str">
        <f>image("https://i.imgur.com/WCr3ysV.png")</f>
        <v/>
      </c>
      <c r="C793" s="25" t="s">
        <v>40</v>
      </c>
      <c r="D793" s="42" t="s">
        <v>50</v>
      </c>
      <c r="E793" s="42" t="s">
        <v>28</v>
      </c>
      <c r="F793" s="38" t="s">
        <v>51</v>
      </c>
      <c r="G793" s="38">
        <v>2400.0</v>
      </c>
      <c r="H793" s="19">
        <v>5751.0</v>
      </c>
      <c r="I793" s="19" t="s">
        <v>36</v>
      </c>
      <c r="J793" s="19"/>
      <c r="K793" s="19"/>
      <c r="L793" s="19"/>
      <c r="M793" s="19" t="s">
        <v>1340</v>
      </c>
      <c r="N793" s="19"/>
      <c r="O793" s="19" t="s">
        <v>40</v>
      </c>
      <c r="P793" s="19" t="s">
        <v>41</v>
      </c>
      <c r="Q793" s="19" t="s">
        <v>54</v>
      </c>
      <c r="R793" s="19" t="s">
        <v>55</v>
      </c>
      <c r="S793" s="19"/>
      <c r="T793" s="19"/>
      <c r="U793" s="19"/>
      <c r="V793" s="19"/>
      <c r="W793" s="19"/>
      <c r="X793" s="19"/>
      <c r="Y793" s="19"/>
    </row>
    <row r="794" ht="56.25" customHeight="1">
      <c r="A794" s="13" t="s">
        <v>1025</v>
      </c>
      <c r="B794" s="41" t="str">
        <f>image("https://i.imgur.com/jBhEeue.png")</f>
        <v/>
      </c>
      <c r="C794" s="25" t="s">
        <v>40</v>
      </c>
      <c r="D794" s="42" t="s">
        <v>50</v>
      </c>
      <c r="E794" s="42" t="s">
        <v>28</v>
      </c>
      <c r="F794" s="38" t="s">
        <v>51</v>
      </c>
      <c r="G794" s="38">
        <v>4800.0</v>
      </c>
      <c r="H794" s="19">
        <v>5769.0</v>
      </c>
      <c r="I794" s="19" t="s">
        <v>36</v>
      </c>
      <c r="J794" s="19"/>
      <c r="K794" s="19"/>
      <c r="L794" s="19"/>
      <c r="M794" s="19" t="s">
        <v>1340</v>
      </c>
      <c r="N794" s="19"/>
      <c r="O794" s="19" t="s">
        <v>40</v>
      </c>
      <c r="P794" s="19" t="s">
        <v>41</v>
      </c>
      <c r="Q794" s="19" t="s">
        <v>54</v>
      </c>
      <c r="R794" s="19" t="s">
        <v>55</v>
      </c>
      <c r="S794" s="19"/>
      <c r="T794" s="19"/>
      <c r="U794" s="19"/>
      <c r="V794" s="19"/>
      <c r="W794" s="19"/>
      <c r="X794" s="19"/>
      <c r="Y794" s="19"/>
    </row>
    <row r="795" ht="56.25" customHeight="1">
      <c r="A795" s="13" t="s">
        <v>1028</v>
      </c>
      <c r="B795" s="41" t="str">
        <f>image("https://i.imgur.com/ZrYbhLd.png")</f>
        <v/>
      </c>
      <c r="C795" s="25" t="s">
        <v>40</v>
      </c>
      <c r="D795" s="15" t="s">
        <v>28</v>
      </c>
      <c r="E795" s="19" t="s">
        <v>28</v>
      </c>
      <c r="F795" s="13">
        <v>1300.0</v>
      </c>
      <c r="G795" s="13">
        <v>325.0</v>
      </c>
      <c r="H795" s="19">
        <v>4028.0</v>
      </c>
      <c r="I795" s="19" t="s">
        <v>60</v>
      </c>
      <c r="J795" s="19" t="s">
        <v>80</v>
      </c>
      <c r="K795" s="19"/>
      <c r="L795" s="19"/>
      <c r="M795" s="19" t="s">
        <v>1340</v>
      </c>
      <c r="N795" s="19"/>
      <c r="O795" s="19" t="s">
        <v>40</v>
      </c>
      <c r="P795" s="19" t="s">
        <v>41</v>
      </c>
      <c r="Q795" s="19" t="s">
        <v>43</v>
      </c>
      <c r="R795" s="19" t="s">
        <v>44</v>
      </c>
      <c r="S795" s="19" t="s">
        <v>68</v>
      </c>
      <c r="T795" s="19"/>
      <c r="U795" s="19"/>
      <c r="V795" s="19"/>
      <c r="W795" s="19"/>
      <c r="X795" s="19"/>
      <c r="Y795" s="19"/>
    </row>
    <row r="796" ht="56.25" customHeight="1">
      <c r="A796" s="13" t="s">
        <v>1030</v>
      </c>
      <c r="B796" s="41" t="str">
        <f>image("https://i.imgur.com/9cC5mIu.png")</f>
        <v/>
      </c>
      <c r="C796" s="25" t="s">
        <v>40</v>
      </c>
      <c r="D796" s="42" t="s">
        <v>50</v>
      </c>
      <c r="E796" s="42" t="s">
        <v>28</v>
      </c>
      <c r="F796" s="38" t="s">
        <v>51</v>
      </c>
      <c r="G796" s="38">
        <v>720.0</v>
      </c>
      <c r="H796" s="19">
        <v>5437.0</v>
      </c>
      <c r="I796" s="19" t="s">
        <v>36</v>
      </c>
      <c r="J796" s="19"/>
      <c r="K796" s="19"/>
      <c r="L796" s="19"/>
      <c r="M796" s="19" t="s">
        <v>1340</v>
      </c>
      <c r="N796" s="19"/>
      <c r="O796" s="19" t="s">
        <v>40</v>
      </c>
      <c r="P796" s="19" t="s">
        <v>41</v>
      </c>
      <c r="Q796" s="19" t="s">
        <v>54</v>
      </c>
      <c r="R796" s="19" t="s">
        <v>55</v>
      </c>
      <c r="S796" s="19"/>
      <c r="T796" s="19"/>
      <c r="U796" s="19"/>
      <c r="V796" s="19"/>
      <c r="W796" s="19"/>
      <c r="X796" s="19"/>
      <c r="Y796" s="19"/>
    </row>
    <row r="797" ht="56.25" customHeight="1">
      <c r="A797" s="13" t="s">
        <v>1033</v>
      </c>
      <c r="B797" s="41" t="str">
        <f>image("https://i.imgur.com/kOeFaAt.png")</f>
        <v/>
      </c>
      <c r="C797" s="25" t="s">
        <v>40</v>
      </c>
      <c r="D797" s="42" t="s">
        <v>50</v>
      </c>
      <c r="E797" s="42" t="s">
        <v>28</v>
      </c>
      <c r="F797" s="38" t="s">
        <v>51</v>
      </c>
      <c r="G797" s="38">
        <v>21750.0</v>
      </c>
      <c r="H797" s="19">
        <v>5958.0</v>
      </c>
      <c r="I797" s="19" t="s">
        <v>62</v>
      </c>
      <c r="J797" s="19"/>
      <c r="K797" s="19"/>
      <c r="L797" s="19"/>
      <c r="M797" s="19" t="s">
        <v>1340</v>
      </c>
      <c r="N797" s="19"/>
      <c r="O797" s="19" t="s">
        <v>40</v>
      </c>
      <c r="P797" s="19" t="s">
        <v>41</v>
      </c>
      <c r="Q797" s="19" t="s">
        <v>54</v>
      </c>
      <c r="R797" s="19" t="s">
        <v>55</v>
      </c>
      <c r="S797" s="19"/>
      <c r="T797" s="19"/>
      <c r="U797" s="19"/>
      <c r="V797" s="19"/>
      <c r="W797" s="19"/>
      <c r="X797" s="19"/>
      <c r="Y797" s="19"/>
    </row>
    <row r="798" ht="56.25" customHeight="1">
      <c r="A798" s="13" t="s">
        <v>1036</v>
      </c>
      <c r="B798" s="41" t="str">
        <f>image("https://i.imgur.com/qQMgq4A.png")</f>
        <v/>
      </c>
      <c r="C798" s="25" t="s">
        <v>40</v>
      </c>
      <c r="D798" s="42" t="s">
        <v>50</v>
      </c>
      <c r="E798" s="42" t="s">
        <v>28</v>
      </c>
      <c r="F798" s="38" t="s">
        <v>51</v>
      </c>
      <c r="G798" s="38">
        <v>4720.0</v>
      </c>
      <c r="H798" s="19">
        <v>4376.0</v>
      </c>
      <c r="I798" s="19" t="s">
        <v>84</v>
      </c>
      <c r="J798" s="19"/>
      <c r="K798" s="19"/>
      <c r="L798" s="19"/>
      <c r="M798" s="19" t="s">
        <v>1340</v>
      </c>
      <c r="N798" s="19"/>
      <c r="O798" s="19" t="s">
        <v>40</v>
      </c>
      <c r="P798" s="19" t="s">
        <v>41</v>
      </c>
      <c r="Q798" s="19" t="s">
        <v>54</v>
      </c>
      <c r="R798" s="19" t="s">
        <v>55</v>
      </c>
      <c r="S798" s="19"/>
      <c r="T798" s="19"/>
      <c r="U798" s="19"/>
      <c r="V798" s="19"/>
      <c r="W798" s="19"/>
      <c r="X798" s="19"/>
      <c r="Y798" s="19"/>
    </row>
    <row r="799" ht="56.25" customHeight="1">
      <c r="A799" s="13" t="s">
        <v>1039</v>
      </c>
      <c r="B799" s="41" t="str">
        <f>image("https://i.imgur.com/Ywi0W8S.png")</f>
        <v/>
      </c>
      <c r="C799" s="22" t="str">
        <f>HYPERLINK("https://imgur.com/a/efocZnB","Yes")</f>
        <v>Yes</v>
      </c>
      <c r="D799" s="42" t="s">
        <v>28</v>
      </c>
      <c r="E799" s="42" t="s">
        <v>28</v>
      </c>
      <c r="F799" s="38">
        <v>1800.0</v>
      </c>
      <c r="G799" s="38">
        <v>450.0</v>
      </c>
      <c r="H799" s="19">
        <v>4017.0</v>
      </c>
      <c r="I799" s="19" t="s">
        <v>183</v>
      </c>
      <c r="J799" s="19"/>
      <c r="K799" s="19"/>
      <c r="L799" s="19" t="s">
        <v>184</v>
      </c>
      <c r="M799" s="19" t="s">
        <v>1350</v>
      </c>
      <c r="N799" s="19">
        <v>1.0</v>
      </c>
      <c r="O799" s="19" t="s">
        <v>53</v>
      </c>
      <c r="P799" s="19" t="s">
        <v>41</v>
      </c>
      <c r="Q799" s="19" t="s">
        <v>43</v>
      </c>
      <c r="R799" s="19" t="s">
        <v>44</v>
      </c>
      <c r="S799" s="19" t="s">
        <v>68</v>
      </c>
      <c r="T799" s="19"/>
      <c r="U799" s="19"/>
      <c r="V799" s="19"/>
      <c r="W799" s="19"/>
      <c r="X799" s="19"/>
      <c r="Y799" s="19"/>
    </row>
    <row r="800" ht="56.25" customHeight="1">
      <c r="A800" s="13" t="s">
        <v>1046</v>
      </c>
      <c r="B800" s="41" t="str">
        <f>image("https://i.imgur.com/zjE03I1.png")</f>
        <v/>
      </c>
      <c r="C800" s="25" t="s">
        <v>40</v>
      </c>
      <c r="D800" s="42" t="s">
        <v>28</v>
      </c>
      <c r="E800" s="42" t="s">
        <v>28</v>
      </c>
      <c r="F800" s="43" t="s">
        <v>51</v>
      </c>
      <c r="G800" s="38">
        <v>425.0</v>
      </c>
      <c r="H800" s="19">
        <v>7036.0</v>
      </c>
      <c r="I800" s="19" t="s">
        <v>60</v>
      </c>
      <c r="J800" s="19" t="s">
        <v>62</v>
      </c>
      <c r="K800" s="19"/>
      <c r="L800" s="19"/>
      <c r="M800" s="19" t="s">
        <v>1340</v>
      </c>
      <c r="N800" s="19"/>
      <c r="O800" s="19" t="s">
        <v>40</v>
      </c>
      <c r="P800" s="19" t="s">
        <v>41</v>
      </c>
      <c r="Q800" s="19" t="s">
        <v>54</v>
      </c>
      <c r="R800" s="19" t="s">
        <v>247</v>
      </c>
      <c r="S800" s="19"/>
      <c r="T800" s="19"/>
      <c r="U800" s="19"/>
      <c r="V800" s="19"/>
      <c r="W800" s="19"/>
      <c r="X800" s="19"/>
      <c r="Y800" s="19"/>
    </row>
    <row r="801" ht="56.25" customHeight="1">
      <c r="A801" s="13" t="s">
        <v>1048</v>
      </c>
      <c r="B801" s="41" t="str">
        <f>image("https://i.imgur.com/X7zjZ3B.png")</f>
        <v/>
      </c>
      <c r="C801" s="22" t="str">
        <f>HYPERLINK("https://imgur.com/a/PQiDOuZ","Yes")</f>
        <v>Yes</v>
      </c>
      <c r="D801" s="42" t="s">
        <v>28</v>
      </c>
      <c r="E801" s="42" t="s">
        <v>28</v>
      </c>
      <c r="F801" s="38">
        <v>540.0</v>
      </c>
      <c r="G801" s="38">
        <v>135.0</v>
      </c>
      <c r="H801" s="19">
        <v>4738.0</v>
      </c>
      <c r="I801" s="19" t="s">
        <v>346</v>
      </c>
      <c r="J801" s="19"/>
      <c r="K801" s="19"/>
      <c r="L801" s="19"/>
      <c r="M801" s="19" t="s">
        <v>1340</v>
      </c>
      <c r="N801" s="19">
        <v>1.0</v>
      </c>
      <c r="O801" s="19" t="s">
        <v>40</v>
      </c>
      <c r="P801" s="19" t="s">
        <v>41</v>
      </c>
      <c r="Q801" s="19" t="s">
        <v>43</v>
      </c>
      <c r="R801" s="19" t="s">
        <v>44</v>
      </c>
      <c r="S801" s="19" t="s">
        <v>63</v>
      </c>
      <c r="T801" s="19"/>
      <c r="U801" s="19"/>
      <c r="V801" s="19"/>
      <c r="W801" s="19"/>
      <c r="X801" s="19"/>
      <c r="Y801" s="19"/>
    </row>
    <row r="802" ht="56.25" customHeight="1">
      <c r="A802" s="13" t="s">
        <v>1052</v>
      </c>
      <c r="B802" s="41" t="str">
        <f>image("https://i.imgur.com/kCrrmhC.png")</f>
        <v/>
      </c>
      <c r="C802" s="25" t="s">
        <v>40</v>
      </c>
      <c r="D802" s="42" t="s">
        <v>50</v>
      </c>
      <c r="E802" s="42" t="s">
        <v>28</v>
      </c>
      <c r="F802" s="38" t="s">
        <v>51</v>
      </c>
      <c r="G802" s="38">
        <v>1200.0</v>
      </c>
      <c r="H802" s="19">
        <v>5748.0</v>
      </c>
      <c r="I802" s="19" t="s">
        <v>36</v>
      </c>
      <c r="J802" s="19"/>
      <c r="K802" s="19"/>
      <c r="L802" s="19"/>
      <c r="M802" s="19" t="s">
        <v>1340</v>
      </c>
      <c r="N802" s="19"/>
      <c r="O802" s="19" t="s">
        <v>40</v>
      </c>
      <c r="P802" s="19" t="s">
        <v>41</v>
      </c>
      <c r="Q802" s="19" t="s">
        <v>54</v>
      </c>
      <c r="R802" s="19" t="s">
        <v>55</v>
      </c>
      <c r="S802" s="19"/>
      <c r="T802" s="19"/>
      <c r="U802" s="19"/>
      <c r="V802" s="19"/>
      <c r="W802" s="19"/>
      <c r="X802" s="19"/>
      <c r="Y802" s="19"/>
    </row>
    <row r="803" ht="56.25" customHeight="1">
      <c r="A803" s="13" t="s">
        <v>1055</v>
      </c>
      <c r="B803" s="41" t="str">
        <f>image("https://i.imgur.com/Qc5ysxt.png")</f>
        <v/>
      </c>
      <c r="C803" s="25" t="s">
        <v>40</v>
      </c>
      <c r="D803" s="42" t="s">
        <v>50</v>
      </c>
      <c r="E803" s="42" t="s">
        <v>28</v>
      </c>
      <c r="F803" s="38" t="s">
        <v>51</v>
      </c>
      <c r="G803" s="38">
        <v>1600.0</v>
      </c>
      <c r="H803" s="19">
        <v>4375.0</v>
      </c>
      <c r="I803" s="19" t="s">
        <v>745</v>
      </c>
      <c r="J803" s="19" t="s">
        <v>36</v>
      </c>
      <c r="K803" s="19"/>
      <c r="L803" s="19"/>
      <c r="M803" s="19" t="s">
        <v>1340</v>
      </c>
      <c r="N803" s="19"/>
      <c r="O803" s="19" t="s">
        <v>40</v>
      </c>
      <c r="P803" s="19" t="s">
        <v>41</v>
      </c>
      <c r="Q803" s="19" t="s">
        <v>54</v>
      </c>
      <c r="R803" s="19" t="s">
        <v>55</v>
      </c>
      <c r="S803" s="19" t="s">
        <v>1057</v>
      </c>
      <c r="T803" s="19"/>
      <c r="U803" s="19"/>
      <c r="V803" s="19"/>
      <c r="W803" s="19"/>
      <c r="X803" s="19"/>
      <c r="Y803" s="19"/>
    </row>
    <row r="804" ht="56.25" customHeight="1">
      <c r="A804" s="13" t="s">
        <v>1059</v>
      </c>
      <c r="B804" s="41" t="str">
        <f>image("https://i.imgur.com/OVQVjrn.png")</f>
        <v/>
      </c>
      <c r="C804" s="22" t="str">
        <f>HYPERLINK("https://imgur.com/a/Jh4Dkc2","Yes")</f>
        <v>Yes</v>
      </c>
      <c r="D804" s="44" t="s">
        <v>28</v>
      </c>
      <c r="E804" s="44" t="s">
        <v>28</v>
      </c>
      <c r="F804" s="38">
        <v>360.0</v>
      </c>
      <c r="G804" s="38">
        <v>90.0</v>
      </c>
      <c r="H804" s="19">
        <v>5310.0</v>
      </c>
      <c r="I804" s="19" t="s">
        <v>113</v>
      </c>
      <c r="J804" s="19" t="s">
        <v>346</v>
      </c>
      <c r="K804" s="19"/>
      <c r="L804" s="19"/>
      <c r="M804" s="19" t="s">
        <v>1340</v>
      </c>
      <c r="N804" s="19">
        <v>1.0</v>
      </c>
      <c r="O804" s="19" t="s">
        <v>40</v>
      </c>
      <c r="P804" s="19" t="s">
        <v>41</v>
      </c>
      <c r="Q804" s="19" t="s">
        <v>54</v>
      </c>
      <c r="R804" s="19" t="s">
        <v>264</v>
      </c>
      <c r="S804" s="19"/>
      <c r="T804" s="19"/>
      <c r="U804" s="19"/>
      <c r="V804" s="19"/>
      <c r="W804" s="19"/>
      <c r="X804" s="19"/>
      <c r="Y804" s="19"/>
    </row>
    <row r="805" ht="56.25" customHeight="1">
      <c r="A805" s="13" t="s">
        <v>1074</v>
      </c>
      <c r="B805" s="41" t="str">
        <f>image("https://i.imgur.com/7N0CLYF.png")</f>
        <v/>
      </c>
      <c r="C805" s="25" t="s">
        <v>40</v>
      </c>
      <c r="D805" s="44" t="s">
        <v>28</v>
      </c>
      <c r="E805" s="44" t="s">
        <v>28</v>
      </c>
      <c r="F805" s="38" t="s">
        <v>51</v>
      </c>
      <c r="G805" s="38">
        <v>25.0</v>
      </c>
      <c r="H805" s="19">
        <v>3817.0</v>
      </c>
      <c r="I805" s="19" t="s">
        <v>90</v>
      </c>
      <c r="J805" s="19" t="s">
        <v>346</v>
      </c>
      <c r="K805" s="19"/>
      <c r="L805" s="19"/>
      <c r="M805" s="19" t="s">
        <v>1384</v>
      </c>
      <c r="N805" s="19"/>
      <c r="O805" s="19" t="s">
        <v>40</v>
      </c>
      <c r="P805" s="19" t="s">
        <v>41</v>
      </c>
      <c r="Q805" s="19" t="s">
        <v>54</v>
      </c>
      <c r="R805" s="19" t="s">
        <v>264</v>
      </c>
      <c r="S805" s="19"/>
      <c r="T805" s="19"/>
      <c r="U805" s="19"/>
      <c r="V805" s="19"/>
      <c r="W805" s="19"/>
      <c r="X805" s="19"/>
      <c r="Y805" s="19"/>
    </row>
    <row r="806" ht="56.25" customHeight="1">
      <c r="A806" s="13" t="s">
        <v>1076</v>
      </c>
      <c r="B806" s="41" t="str">
        <f>image("https://i.imgur.com/y6nVkjr.png")</f>
        <v/>
      </c>
      <c r="C806" s="22" t="str">
        <f>HYPERLINK("https://imgur.com/a/7OgY3B0","Yes")</f>
        <v>Yes</v>
      </c>
      <c r="D806" s="42" t="s">
        <v>50</v>
      </c>
      <c r="E806" s="42" t="s">
        <v>50</v>
      </c>
      <c r="F806" s="38" t="s">
        <v>51</v>
      </c>
      <c r="G806" s="38">
        <v>5000.0</v>
      </c>
      <c r="H806" s="19">
        <v>6827.0</v>
      </c>
      <c r="I806" s="19" t="s">
        <v>269</v>
      </c>
      <c r="J806" s="19" t="s">
        <v>36</v>
      </c>
      <c r="K806" s="19"/>
      <c r="L806" s="19"/>
      <c r="M806" s="19" t="s">
        <v>1384</v>
      </c>
      <c r="N806" s="19">
        <v>7.0</v>
      </c>
      <c r="O806" s="19" t="s">
        <v>53</v>
      </c>
      <c r="P806" s="19" t="s">
        <v>365</v>
      </c>
      <c r="Q806" s="19" t="s">
        <v>54</v>
      </c>
      <c r="R806" s="19" t="s">
        <v>55</v>
      </c>
      <c r="S806" s="19"/>
      <c r="T806" s="19"/>
      <c r="U806" s="19"/>
      <c r="V806" s="19"/>
      <c r="W806" s="19"/>
      <c r="X806" s="19"/>
      <c r="Y806" s="19"/>
    </row>
    <row r="807" ht="56.25" customHeight="1">
      <c r="A807" s="13" t="s">
        <v>1091</v>
      </c>
      <c r="B807" s="41" t="str">
        <f>image("https://i.imgur.com/j0aiTyY.png")</f>
        <v/>
      </c>
      <c r="C807" s="22" t="str">
        <f>HYPERLINK("https://imgur.com/a/HVus0ea","Yes")</f>
        <v>Yes</v>
      </c>
      <c r="D807" s="42" t="s">
        <v>28</v>
      </c>
      <c r="E807" s="42" t="s">
        <v>28</v>
      </c>
      <c r="F807" s="38">
        <v>2300.0</v>
      </c>
      <c r="G807" s="38">
        <v>575.0</v>
      </c>
      <c r="H807" s="19">
        <v>7190.0</v>
      </c>
      <c r="I807" s="19" t="s">
        <v>90</v>
      </c>
      <c r="J807" s="19" t="s">
        <v>67</v>
      </c>
      <c r="K807" s="19"/>
      <c r="L807" s="19"/>
      <c r="M807" s="19" t="s">
        <v>1340</v>
      </c>
      <c r="N807" s="19">
        <v>1.0</v>
      </c>
      <c r="O807" s="19" t="s">
        <v>53</v>
      </c>
      <c r="P807" s="19" t="s">
        <v>689</v>
      </c>
      <c r="Q807" s="19" t="s">
        <v>43</v>
      </c>
      <c r="R807" s="19" t="s">
        <v>44</v>
      </c>
      <c r="S807" s="19" t="s">
        <v>68</v>
      </c>
      <c r="T807" s="19"/>
      <c r="U807" s="19"/>
      <c r="V807" s="19"/>
      <c r="W807" s="19"/>
      <c r="X807" s="19"/>
      <c r="Y807" s="19"/>
    </row>
    <row r="808" ht="56.25" customHeight="1">
      <c r="A808" s="13" t="s">
        <v>1106</v>
      </c>
      <c r="B808" s="41" t="str">
        <f>image("https://i.imgur.com/qhfxYc2.png")</f>
        <v/>
      </c>
      <c r="C808" s="25" t="s">
        <v>40</v>
      </c>
      <c r="D808" s="42" t="s">
        <v>28</v>
      </c>
      <c r="E808" s="42" t="s">
        <v>28</v>
      </c>
      <c r="F808" s="38">
        <v>1000.0</v>
      </c>
      <c r="G808" s="38">
        <v>250.0</v>
      </c>
      <c r="H808" s="19">
        <v>1165.0</v>
      </c>
      <c r="I808" s="19" t="s">
        <v>90</v>
      </c>
      <c r="J808" s="19"/>
      <c r="K808" s="19"/>
      <c r="L808" s="19"/>
      <c r="M808" s="19" t="s">
        <v>1340</v>
      </c>
      <c r="N808" s="19"/>
      <c r="O808" s="19" t="s">
        <v>53</v>
      </c>
      <c r="P808" s="19" t="s">
        <v>41</v>
      </c>
      <c r="Q808" s="19" t="s">
        <v>43</v>
      </c>
      <c r="R808" s="19" t="s">
        <v>44</v>
      </c>
      <c r="S808" s="19" t="s">
        <v>68</v>
      </c>
      <c r="T808" s="19"/>
      <c r="U808" s="19"/>
      <c r="V808" s="19"/>
      <c r="W808" s="19"/>
      <c r="X808" s="19"/>
      <c r="Y808" s="19"/>
    </row>
    <row r="809" ht="56.25" customHeight="1">
      <c r="A809" s="13" t="s">
        <v>1109</v>
      </c>
      <c r="B809" s="41" t="str">
        <f>image("https://i.imgur.com/CpSwJ4x.png")</f>
        <v/>
      </c>
      <c r="C809" s="22" t="str">
        <f>HYPERLINK("https://imgur.com/a/8vtvLzR","Yes")</f>
        <v>Yes</v>
      </c>
      <c r="D809" s="42" t="s">
        <v>28</v>
      </c>
      <c r="E809" s="42" t="s">
        <v>28</v>
      </c>
      <c r="F809" s="38">
        <v>340.0</v>
      </c>
      <c r="G809" s="38">
        <v>85.0</v>
      </c>
      <c r="H809" s="19">
        <v>3471.0</v>
      </c>
      <c r="I809" s="19" t="s">
        <v>60</v>
      </c>
      <c r="J809" s="19" t="s">
        <v>90</v>
      </c>
      <c r="K809" s="19"/>
      <c r="L809" s="19"/>
      <c r="M809" s="19" t="s">
        <v>1340</v>
      </c>
      <c r="N809" s="19">
        <v>1.0</v>
      </c>
      <c r="O809" s="19" t="s">
        <v>53</v>
      </c>
      <c r="P809" s="19" t="s">
        <v>41</v>
      </c>
      <c r="Q809" s="19" t="s">
        <v>43</v>
      </c>
      <c r="R809" s="19" t="s">
        <v>44</v>
      </c>
      <c r="S809" s="19" t="s">
        <v>68</v>
      </c>
      <c r="T809" s="19"/>
      <c r="U809" s="19"/>
      <c r="V809" s="19"/>
      <c r="W809" s="19"/>
      <c r="X809" s="19"/>
      <c r="Y809" s="19"/>
    </row>
    <row r="810" ht="56.25" customHeight="1">
      <c r="A810" s="13" t="s">
        <v>1119</v>
      </c>
      <c r="B810" s="41" t="str">
        <f>image("https://i.imgur.com/PNiJ5UP.png")</f>
        <v/>
      </c>
      <c r="C810" s="22" t="str">
        <f>HYPERLINK("https://imgur.com/a/esQ7OPw","Yes")</f>
        <v>Yes</v>
      </c>
      <c r="D810" s="42" t="s">
        <v>28</v>
      </c>
      <c r="E810" s="42" t="s">
        <v>28</v>
      </c>
      <c r="F810" s="38">
        <v>880.0</v>
      </c>
      <c r="G810" s="38">
        <v>220.0</v>
      </c>
      <c r="H810" s="19">
        <v>704.0</v>
      </c>
      <c r="I810" s="19" t="s">
        <v>60</v>
      </c>
      <c r="J810" s="19"/>
      <c r="K810" s="19"/>
      <c r="L810" s="19"/>
      <c r="M810" s="19" t="s">
        <v>1350</v>
      </c>
      <c r="N810" s="19">
        <v>1.0</v>
      </c>
      <c r="O810" s="19" t="s">
        <v>40</v>
      </c>
      <c r="P810" s="19" t="s">
        <v>41</v>
      </c>
      <c r="Q810" s="19" t="s">
        <v>43</v>
      </c>
      <c r="R810" s="19" t="s">
        <v>44</v>
      </c>
      <c r="S810" s="19" t="s">
        <v>63</v>
      </c>
      <c r="T810" s="19"/>
      <c r="U810" s="19"/>
      <c r="V810" s="19"/>
      <c r="W810" s="19"/>
      <c r="X810" s="19"/>
      <c r="Y810" s="19"/>
    </row>
    <row r="811" ht="56.25" customHeight="1">
      <c r="A811" s="13" t="s">
        <v>1139</v>
      </c>
      <c r="B811" s="41" t="str">
        <f>image("https://i.imgur.com/CNnE98g.png")</f>
        <v/>
      </c>
      <c r="C811" s="22" t="str">
        <f>HYPERLINK("https://imgur.com/a/3ZtGAEH","Yes")</f>
        <v>Yes</v>
      </c>
      <c r="D811" s="42" t="s">
        <v>28</v>
      </c>
      <c r="E811" s="42" t="s">
        <v>28</v>
      </c>
      <c r="F811" s="38">
        <v>4200.0</v>
      </c>
      <c r="G811" s="38">
        <v>1050.0</v>
      </c>
      <c r="H811" s="19">
        <v>4756.0</v>
      </c>
      <c r="I811" s="19" t="s">
        <v>113</v>
      </c>
      <c r="J811" s="19"/>
      <c r="K811" s="19"/>
      <c r="L811" s="19" t="s">
        <v>1140</v>
      </c>
      <c r="M811" s="19" t="s">
        <v>1355</v>
      </c>
      <c r="N811" s="19">
        <v>2.0</v>
      </c>
      <c r="O811" s="19" t="s">
        <v>53</v>
      </c>
      <c r="P811" s="19" t="s">
        <v>41</v>
      </c>
      <c r="Q811" s="19" t="s">
        <v>43</v>
      </c>
      <c r="R811" s="19" t="s">
        <v>44</v>
      </c>
      <c r="S811" s="19" t="s">
        <v>68</v>
      </c>
      <c r="T811" s="19"/>
      <c r="U811" s="19"/>
      <c r="V811" s="19"/>
      <c r="W811" s="19"/>
      <c r="X811" s="19"/>
      <c r="Y811" s="19"/>
    </row>
    <row r="812" ht="56.25" customHeight="1">
      <c r="A812" s="13" t="s">
        <v>1154</v>
      </c>
      <c r="B812" s="41" t="str">
        <f>image("https://i.imgur.com/qrGNDkg.png")</f>
        <v/>
      </c>
      <c r="C812" s="22" t="str">
        <f>HYPERLINK("https://imgur.com/a/UElYZQs","Yes")</f>
        <v>Yes</v>
      </c>
      <c r="D812" s="42" t="s">
        <v>50</v>
      </c>
      <c r="E812" s="42" t="s">
        <v>50</v>
      </c>
      <c r="F812" s="38" t="s">
        <v>51</v>
      </c>
      <c r="G812" s="38">
        <v>400.0</v>
      </c>
      <c r="H812" s="19">
        <v>5718.0</v>
      </c>
      <c r="I812" s="19" t="s">
        <v>60</v>
      </c>
      <c r="J812" s="19" t="s">
        <v>113</v>
      </c>
      <c r="K812" s="19"/>
      <c r="L812" s="19"/>
      <c r="M812" s="19" t="s">
        <v>1340</v>
      </c>
      <c r="N812" s="19">
        <v>1.0</v>
      </c>
      <c r="O812" s="19" t="s">
        <v>40</v>
      </c>
      <c r="P812" s="19" t="s">
        <v>41</v>
      </c>
      <c r="Q812" s="19" t="s">
        <v>54</v>
      </c>
      <c r="R812" s="19" t="s">
        <v>55</v>
      </c>
      <c r="S812" s="19"/>
      <c r="T812" s="19"/>
      <c r="U812" s="19"/>
      <c r="V812" s="19"/>
      <c r="W812" s="19"/>
      <c r="X812" s="19"/>
      <c r="Y812" s="19"/>
    </row>
    <row r="813" ht="56.25" customHeight="1">
      <c r="A813" s="13" t="s">
        <v>1174</v>
      </c>
      <c r="B813" s="41" t="str">
        <f>image("https://i.imgur.com/a9YMndm.png")</f>
        <v/>
      </c>
      <c r="C813" s="25" t="s">
        <v>40</v>
      </c>
      <c r="D813" s="42" t="s">
        <v>50</v>
      </c>
      <c r="E813" s="42" t="s">
        <v>28</v>
      </c>
      <c r="F813" s="38" t="s">
        <v>51</v>
      </c>
      <c r="G813" s="38">
        <v>100.0</v>
      </c>
      <c r="H813" s="19">
        <v>4727.0</v>
      </c>
      <c r="I813" s="19" t="s">
        <v>60</v>
      </c>
      <c r="J813" s="19"/>
      <c r="K813" s="19"/>
      <c r="L813" s="19"/>
      <c r="M813" s="19" t="s">
        <v>1340</v>
      </c>
      <c r="N813" s="19"/>
      <c r="O813" s="19" t="s">
        <v>40</v>
      </c>
      <c r="P813" s="19" t="s">
        <v>41</v>
      </c>
      <c r="Q813" s="19" t="s">
        <v>54</v>
      </c>
      <c r="R813" s="19" t="s">
        <v>55</v>
      </c>
      <c r="S813" s="19"/>
      <c r="T813" s="19"/>
      <c r="U813" s="19"/>
      <c r="V813" s="19"/>
      <c r="W813" s="19"/>
      <c r="X813" s="19"/>
      <c r="Y813" s="19"/>
    </row>
    <row r="814" ht="56.25" customHeight="1">
      <c r="A814" s="13" t="s">
        <v>1177</v>
      </c>
      <c r="B814" s="41" t="str">
        <f>image("https://i.imgur.com/DIx7qBc.png")</f>
        <v/>
      </c>
      <c r="C814" s="22" t="str">
        <f>HYPERLINK("https://imgur.com/a/Ru7ZOsI","Yes")</f>
        <v>Yes</v>
      </c>
      <c r="D814" s="42" t="s">
        <v>50</v>
      </c>
      <c r="E814" s="42" t="s">
        <v>50</v>
      </c>
      <c r="F814" s="38" t="s">
        <v>51</v>
      </c>
      <c r="G814" s="38">
        <v>2030.0</v>
      </c>
      <c r="H814" s="19">
        <v>6075.0</v>
      </c>
      <c r="I814" s="19" t="s">
        <v>36</v>
      </c>
      <c r="J814" s="19"/>
      <c r="K814" s="19"/>
      <c r="L814" s="19"/>
      <c r="M814" s="19" t="s">
        <v>1350</v>
      </c>
      <c r="N814" s="19">
        <v>3.0</v>
      </c>
      <c r="O814" s="19" t="s">
        <v>53</v>
      </c>
      <c r="P814" s="19" t="s">
        <v>41</v>
      </c>
      <c r="Q814" s="19" t="s">
        <v>54</v>
      </c>
      <c r="R814" s="19" t="s">
        <v>55</v>
      </c>
      <c r="S814" s="19" t="s">
        <v>1181</v>
      </c>
      <c r="T814" s="19"/>
      <c r="U814" s="19"/>
      <c r="V814" s="19"/>
      <c r="W814" s="19"/>
      <c r="X814" s="19"/>
      <c r="Y814" s="19"/>
    </row>
    <row r="815" ht="56.25" customHeight="1">
      <c r="A815" s="13" t="s">
        <v>1186</v>
      </c>
      <c r="B815" s="41" t="str">
        <f>image("https://i.imgur.com/6aaX8Aw.png")</f>
        <v/>
      </c>
      <c r="C815" s="25" t="s">
        <v>40</v>
      </c>
      <c r="D815" s="42" t="s">
        <v>50</v>
      </c>
      <c r="E815" s="42" t="s">
        <v>28</v>
      </c>
      <c r="F815" s="38" t="s">
        <v>51</v>
      </c>
      <c r="G815" s="38">
        <v>720.0</v>
      </c>
      <c r="H815" s="19">
        <v>5670.0</v>
      </c>
      <c r="I815" s="19" t="s">
        <v>36</v>
      </c>
      <c r="J815" s="19"/>
      <c r="K815" s="19"/>
      <c r="L815" s="19"/>
      <c r="M815" s="19" t="s">
        <v>1340</v>
      </c>
      <c r="N815" s="19"/>
      <c r="O815" s="19" t="s">
        <v>40</v>
      </c>
      <c r="P815" s="19" t="s">
        <v>41</v>
      </c>
      <c r="Q815" s="19" t="s">
        <v>54</v>
      </c>
      <c r="R815" s="19" t="s">
        <v>55</v>
      </c>
      <c r="S815" s="19"/>
      <c r="T815" s="19"/>
      <c r="U815" s="19"/>
      <c r="V815" s="19"/>
      <c r="W815" s="19"/>
      <c r="X815" s="19"/>
      <c r="Y815" s="19"/>
    </row>
    <row r="816" ht="56.25" customHeight="1">
      <c r="A816" s="13" t="s">
        <v>1188</v>
      </c>
      <c r="B816" s="41" t="str">
        <f>image("https://i.imgur.com/6zeWQyY.png")</f>
        <v/>
      </c>
      <c r="C816" s="22" t="str">
        <f>HYPERLINK("https://imgur.com/a/qCgn3N5","Yes")</f>
        <v>Yes</v>
      </c>
      <c r="D816" s="42" t="s">
        <v>28</v>
      </c>
      <c r="E816" s="42" t="s">
        <v>28</v>
      </c>
      <c r="F816" s="38">
        <v>1200.0</v>
      </c>
      <c r="G816" s="38">
        <v>300.0</v>
      </c>
      <c r="H816" s="19">
        <v>957.0</v>
      </c>
      <c r="I816" s="19" t="s">
        <v>86</v>
      </c>
      <c r="J816" s="19" t="s">
        <v>37</v>
      </c>
      <c r="K816" s="19"/>
      <c r="L816" s="19"/>
      <c r="M816" s="19" t="s">
        <v>1340</v>
      </c>
      <c r="N816" s="19">
        <v>1.0</v>
      </c>
      <c r="O816" s="19" t="s">
        <v>53</v>
      </c>
      <c r="P816" s="19" t="s">
        <v>41</v>
      </c>
      <c r="Q816" s="19" t="s">
        <v>43</v>
      </c>
      <c r="R816" s="19" t="s">
        <v>44</v>
      </c>
      <c r="S816" s="19" t="s">
        <v>63</v>
      </c>
      <c r="T816" s="19"/>
      <c r="U816" s="19"/>
      <c r="V816" s="19"/>
      <c r="W816" s="19"/>
      <c r="X816" s="19"/>
      <c r="Y816" s="19"/>
    </row>
    <row r="817" ht="56.25" customHeight="1">
      <c r="A817" s="13" t="s">
        <v>1199</v>
      </c>
      <c r="B817" s="41" t="str">
        <f>image("https://i.imgur.com/Le2PFTe.png")</f>
        <v/>
      </c>
      <c r="C817" s="22" t="str">
        <f>HYPERLINK("https://imgur.com/a/6rppfuA","Yes")</f>
        <v>Yes</v>
      </c>
      <c r="D817" s="42" t="s">
        <v>28</v>
      </c>
      <c r="E817" s="42" t="s">
        <v>28</v>
      </c>
      <c r="F817" s="38">
        <v>690.0</v>
      </c>
      <c r="G817" s="43">
        <v>172.0</v>
      </c>
      <c r="H817" s="19">
        <v>1744.0</v>
      </c>
      <c r="I817" s="19" t="s">
        <v>61</v>
      </c>
      <c r="J817" s="19" t="s">
        <v>80</v>
      </c>
      <c r="K817" s="19"/>
      <c r="L817" s="19"/>
      <c r="M817" s="19" t="s">
        <v>1340</v>
      </c>
      <c r="N817" s="19">
        <v>1.0</v>
      </c>
      <c r="O817" s="19" t="s">
        <v>53</v>
      </c>
      <c r="P817" s="19" t="s">
        <v>41</v>
      </c>
      <c r="Q817" s="19" t="s">
        <v>43</v>
      </c>
      <c r="R817" s="19" t="s">
        <v>44</v>
      </c>
      <c r="S817" s="19" t="s">
        <v>63</v>
      </c>
      <c r="T817" s="19"/>
      <c r="U817" s="19"/>
      <c r="V817" s="19"/>
      <c r="W817" s="19"/>
      <c r="X817" s="19"/>
      <c r="Y817" s="19"/>
    </row>
    <row r="818" ht="56.25" customHeight="1">
      <c r="A818" s="13" t="s">
        <v>1210</v>
      </c>
      <c r="B818" s="41" t="str">
        <f>image("https://i.imgur.com/g70dUrG.png")</f>
        <v/>
      </c>
      <c r="C818" s="22" t="str">
        <f>HYPERLINK("https://imgur.com/a/FqgWjIt","Yes")</f>
        <v>Yes</v>
      </c>
      <c r="D818" s="42" t="s">
        <v>28</v>
      </c>
      <c r="E818" s="42" t="s">
        <v>28</v>
      </c>
      <c r="F818" s="38">
        <v>1400.0</v>
      </c>
      <c r="G818" s="38">
        <v>350.0</v>
      </c>
      <c r="H818" s="19">
        <v>3431.0</v>
      </c>
      <c r="I818" s="19" t="s">
        <v>61</v>
      </c>
      <c r="J818" s="19" t="s">
        <v>80</v>
      </c>
      <c r="K818" s="19"/>
      <c r="L818" s="19"/>
      <c r="M818" s="19" t="s">
        <v>1340</v>
      </c>
      <c r="N818" s="19">
        <v>1.0</v>
      </c>
      <c r="O818" s="19" t="s">
        <v>53</v>
      </c>
      <c r="P818" s="19" t="s">
        <v>41</v>
      </c>
      <c r="Q818" s="19" t="s">
        <v>43</v>
      </c>
      <c r="R818" s="19" t="s">
        <v>44</v>
      </c>
      <c r="S818" s="19" t="s">
        <v>68</v>
      </c>
      <c r="T818" s="19"/>
      <c r="U818" s="19"/>
      <c r="V818" s="19"/>
      <c r="W818" s="19"/>
      <c r="X818" s="19"/>
      <c r="Y818" s="19"/>
    </row>
    <row r="819" ht="56.25" customHeight="1">
      <c r="A819" s="13" t="s">
        <v>1227</v>
      </c>
      <c r="B819" s="41" t="str">
        <f>image("https://i.imgur.com/xjgKxAg.png")</f>
        <v/>
      </c>
      <c r="C819" s="22" t="str">
        <f>HYPERLINK("https://imgur.com/a/ASeaJED","Yes")</f>
        <v>Yes</v>
      </c>
      <c r="D819" s="44" t="s">
        <v>28</v>
      </c>
      <c r="E819" s="44" t="s">
        <v>28</v>
      </c>
      <c r="F819" s="38">
        <v>800.0</v>
      </c>
      <c r="G819" s="38">
        <v>200.0</v>
      </c>
      <c r="H819" s="19">
        <v>5165.0</v>
      </c>
      <c r="I819" s="19" t="s">
        <v>346</v>
      </c>
      <c r="J819" s="19"/>
      <c r="K819" s="19"/>
      <c r="L819" s="19"/>
      <c r="M819" s="19" t="s">
        <v>1340</v>
      </c>
      <c r="N819" s="19">
        <v>1.0</v>
      </c>
      <c r="O819" s="19" t="s">
        <v>53</v>
      </c>
      <c r="P819" s="19" t="s">
        <v>164</v>
      </c>
      <c r="Q819" s="19" t="s">
        <v>43</v>
      </c>
      <c r="R819" s="19" t="s">
        <v>44</v>
      </c>
      <c r="S819" s="19" t="s">
        <v>63</v>
      </c>
      <c r="T819" s="19"/>
      <c r="U819" s="19"/>
      <c r="V819" s="19"/>
      <c r="W819" s="19"/>
      <c r="X819" s="19"/>
      <c r="Y819" s="19"/>
    </row>
    <row r="820" ht="56.25" customHeight="1">
      <c r="A820" s="13" t="s">
        <v>1239</v>
      </c>
      <c r="B820" s="41" t="str">
        <f>image("https://i.imgur.com/3AFGXN9.png")</f>
        <v/>
      </c>
      <c r="C820" s="22" t="str">
        <f>HYPERLINK("https://imgur.com/a/21wT0df","Yes")</f>
        <v>Yes</v>
      </c>
      <c r="D820" s="44" t="s">
        <v>28</v>
      </c>
      <c r="E820" s="44" t="s">
        <v>28</v>
      </c>
      <c r="F820" s="38">
        <v>1300.0</v>
      </c>
      <c r="G820" s="38">
        <v>325.0</v>
      </c>
      <c r="H820" s="19">
        <v>3987.0</v>
      </c>
      <c r="I820" s="19" t="s">
        <v>60</v>
      </c>
      <c r="J820" s="19"/>
      <c r="K820" s="19"/>
      <c r="L820" s="19"/>
      <c r="M820" s="19" t="s">
        <v>1340</v>
      </c>
      <c r="N820" s="19">
        <v>1.0</v>
      </c>
      <c r="O820" s="19" t="s">
        <v>53</v>
      </c>
      <c r="P820" s="19" t="s">
        <v>41</v>
      </c>
      <c r="Q820" s="19" t="s">
        <v>43</v>
      </c>
      <c r="R820" s="19" t="s">
        <v>44</v>
      </c>
      <c r="S820" s="19" t="s">
        <v>68</v>
      </c>
      <c r="T820" s="19"/>
      <c r="U820" s="19"/>
      <c r="V820" s="19"/>
      <c r="W820" s="19"/>
      <c r="X820" s="19"/>
      <c r="Y820" s="19"/>
    </row>
    <row r="821" ht="56.25" customHeight="1">
      <c r="A821" s="13" t="s">
        <v>1251</v>
      </c>
      <c r="B821" s="41" t="str">
        <f>image("https://i.imgur.com/YADhZjA.png")</f>
        <v/>
      </c>
      <c r="C821" s="22" t="str">
        <f>HYPERLINK("https://imgur.com/a/KLTJtOF","Yes")</f>
        <v>Yes</v>
      </c>
      <c r="D821" s="44" t="s">
        <v>28</v>
      </c>
      <c r="E821" s="44" t="s">
        <v>28</v>
      </c>
      <c r="F821" s="38">
        <v>1500.0</v>
      </c>
      <c r="G821" s="38">
        <v>375.0</v>
      </c>
      <c r="H821" s="19">
        <v>8417.0</v>
      </c>
      <c r="I821" s="19" t="s">
        <v>243</v>
      </c>
      <c r="J821" s="19"/>
      <c r="K821" s="19"/>
      <c r="L821" s="19"/>
      <c r="M821" s="19" t="s">
        <v>1384</v>
      </c>
      <c r="N821" s="19">
        <v>1.0</v>
      </c>
      <c r="O821" s="19" t="s">
        <v>40</v>
      </c>
      <c r="P821" s="19" t="s">
        <v>41</v>
      </c>
      <c r="Q821" s="19" t="s">
        <v>43</v>
      </c>
      <c r="R821" s="19" t="s">
        <v>44</v>
      </c>
      <c r="S821" s="19" t="s">
        <v>63</v>
      </c>
      <c r="T821" s="19"/>
      <c r="U821" s="19"/>
      <c r="V821" s="19"/>
      <c r="W821" s="19"/>
      <c r="X821" s="19"/>
      <c r="Y821" s="19"/>
    </row>
    <row r="822" ht="56.25" customHeight="1">
      <c r="A822" s="13" t="s">
        <v>1265</v>
      </c>
      <c r="B822" s="41" t="str">
        <f>image("https://i.imgur.com/HnI99Gm.png")</f>
        <v/>
      </c>
      <c r="C822" s="22" t="str">
        <f>HYPERLINK("https://imgur.com/a/eewIGID","Yes")</f>
        <v>Yes</v>
      </c>
      <c r="D822" s="42" t="s">
        <v>28</v>
      </c>
      <c r="E822" s="42" t="s">
        <v>28</v>
      </c>
      <c r="F822" s="38">
        <v>8900.0</v>
      </c>
      <c r="G822" s="38">
        <v>2225.0</v>
      </c>
      <c r="H822" s="19">
        <v>3986.0</v>
      </c>
      <c r="I822" s="19" t="s">
        <v>60</v>
      </c>
      <c r="J822" s="19"/>
      <c r="K822" s="19"/>
      <c r="L822" s="19"/>
      <c r="M822" s="19" t="s">
        <v>1340</v>
      </c>
      <c r="N822" s="19">
        <v>3.0</v>
      </c>
      <c r="O822" s="19" t="s">
        <v>53</v>
      </c>
      <c r="P822" s="19" t="s">
        <v>215</v>
      </c>
      <c r="Q822" s="19" t="s">
        <v>43</v>
      </c>
      <c r="R822" s="19" t="s">
        <v>44</v>
      </c>
      <c r="S822" s="19" t="s">
        <v>65</v>
      </c>
      <c r="T822" s="19"/>
      <c r="U822" s="19"/>
      <c r="V822" s="19"/>
      <c r="W822" s="19"/>
      <c r="X822" s="19"/>
      <c r="Y822" s="19"/>
    </row>
    <row r="823" ht="56.25" customHeight="1">
      <c r="A823" s="13" t="s">
        <v>1280</v>
      </c>
      <c r="B823" s="41" t="str">
        <f>image("https://i.imgur.com/4dBaXkk.png")</f>
        <v/>
      </c>
      <c r="C823" s="22" t="str">
        <f>HYPERLINK("https://imgur.com/a/C0kFKx9","Yes")</f>
        <v>Yes</v>
      </c>
      <c r="D823" s="42" t="s">
        <v>28</v>
      </c>
      <c r="E823" s="42" t="s">
        <v>28</v>
      </c>
      <c r="F823" s="38">
        <v>22000.0</v>
      </c>
      <c r="G823" s="38">
        <v>5500.0</v>
      </c>
      <c r="H823" s="19">
        <v>3428.0</v>
      </c>
      <c r="I823" s="19" t="s">
        <v>60</v>
      </c>
      <c r="J823" s="19"/>
      <c r="K823" s="19"/>
      <c r="L823" s="19"/>
      <c r="M823" s="19" t="s">
        <v>1384</v>
      </c>
      <c r="N823" s="19">
        <v>7.0</v>
      </c>
      <c r="O823" s="19" t="s">
        <v>53</v>
      </c>
      <c r="P823" s="19" t="s">
        <v>215</v>
      </c>
      <c r="Q823" s="19" t="s">
        <v>43</v>
      </c>
      <c r="R823" s="19" t="s">
        <v>44</v>
      </c>
      <c r="S823" s="19" t="s">
        <v>65</v>
      </c>
      <c r="T823" s="19"/>
      <c r="U823" s="19"/>
      <c r="V823" s="19"/>
      <c r="W823" s="19"/>
      <c r="X823" s="19"/>
      <c r="Y823" s="19"/>
    </row>
    <row r="824" ht="56.25" customHeight="1">
      <c r="A824" s="13" t="s">
        <v>1290</v>
      </c>
      <c r="B824" s="41" t="str">
        <f>image("https://i.imgur.com/Ka1fwPz.png")</f>
        <v/>
      </c>
      <c r="C824" s="25" t="s">
        <v>40</v>
      </c>
      <c r="D824" s="44" t="s">
        <v>28</v>
      </c>
      <c r="E824" s="44" t="s">
        <v>28</v>
      </c>
      <c r="F824" s="38">
        <v>2500.0</v>
      </c>
      <c r="G824" s="38">
        <v>625.0</v>
      </c>
      <c r="H824" s="19">
        <v>11100.0</v>
      </c>
      <c r="I824" s="19" t="s">
        <v>90</v>
      </c>
      <c r="J824" s="19"/>
      <c r="K824" s="19"/>
      <c r="L824" s="19"/>
      <c r="M824" s="19" t="s">
        <v>1340</v>
      </c>
      <c r="N824" s="19"/>
      <c r="O824" s="19" t="s">
        <v>40</v>
      </c>
      <c r="P824" s="19" t="s">
        <v>41</v>
      </c>
      <c r="Q824" s="19" t="s">
        <v>43</v>
      </c>
      <c r="R824" s="19" t="s">
        <v>44</v>
      </c>
      <c r="S824" s="19" t="s">
        <v>68</v>
      </c>
      <c r="T824" s="19"/>
      <c r="U824" s="19"/>
      <c r="V824" s="19"/>
      <c r="W824" s="19"/>
      <c r="X824" s="19"/>
      <c r="Y824" s="19"/>
    </row>
    <row r="825" ht="56.25" customHeight="1">
      <c r="A825" s="13" t="s">
        <v>1295</v>
      </c>
      <c r="B825" s="41" t="str">
        <f>image("https://i.imgur.com/5ODvkTv.png")</f>
        <v/>
      </c>
      <c r="C825" s="25" t="s">
        <v>40</v>
      </c>
      <c r="D825" s="42" t="s">
        <v>50</v>
      </c>
      <c r="E825" s="42" t="s">
        <v>28</v>
      </c>
      <c r="F825" s="38" t="s">
        <v>51</v>
      </c>
      <c r="G825" s="38">
        <v>720.0</v>
      </c>
      <c r="H825" s="19">
        <v>5436.0</v>
      </c>
      <c r="I825" s="19" t="s">
        <v>36</v>
      </c>
      <c r="J825" s="19"/>
      <c r="K825" s="19"/>
      <c r="L825" s="19"/>
      <c r="M825" s="19" t="s">
        <v>1340</v>
      </c>
      <c r="N825" s="19"/>
      <c r="O825" s="19" t="s">
        <v>40</v>
      </c>
      <c r="P825" s="19" t="s">
        <v>41</v>
      </c>
      <c r="Q825" s="19" t="s">
        <v>54</v>
      </c>
      <c r="R825" s="19" t="s">
        <v>55</v>
      </c>
      <c r="S825" s="19"/>
      <c r="T825" s="19"/>
      <c r="U825" s="19"/>
      <c r="V825" s="19"/>
      <c r="W825" s="19"/>
      <c r="X825" s="19"/>
      <c r="Y825" s="19"/>
    </row>
    <row r="826" ht="56.25" customHeight="1">
      <c r="A826" s="13" t="s">
        <v>1298</v>
      </c>
      <c r="B826" s="41" t="str">
        <f>image("https://i.imgur.com/27qECu1.png")</f>
        <v/>
      </c>
      <c r="C826" s="22" t="str">
        <f>HYPERLINK("https://imgur.com/a/IWiywdP","Yes")</f>
        <v>Yes</v>
      </c>
      <c r="D826" s="42" t="s">
        <v>50</v>
      </c>
      <c r="E826" s="42" t="s">
        <v>50</v>
      </c>
      <c r="F826" s="38" t="s">
        <v>51</v>
      </c>
      <c r="G826" s="38">
        <v>1350.0</v>
      </c>
      <c r="H826" s="19">
        <v>3208.0</v>
      </c>
      <c r="I826" s="19" t="s">
        <v>113</v>
      </c>
      <c r="J826" s="19"/>
      <c r="K826" s="19"/>
      <c r="L826" s="19"/>
      <c r="M826" s="19" t="s">
        <v>1340</v>
      </c>
      <c r="N826" s="19">
        <v>2.0</v>
      </c>
      <c r="O826" s="19" t="s">
        <v>53</v>
      </c>
      <c r="P826" s="19" t="s">
        <v>41</v>
      </c>
      <c r="Q826" s="19" t="s">
        <v>54</v>
      </c>
      <c r="R826" s="19" t="s">
        <v>55</v>
      </c>
      <c r="S826" s="19"/>
      <c r="T826" s="19"/>
      <c r="U826" s="19"/>
      <c r="V826" s="19"/>
      <c r="W826" s="19"/>
      <c r="X826" s="19"/>
      <c r="Y826" s="19"/>
    </row>
    <row r="827" ht="56.25" customHeight="1">
      <c r="A827" s="13" t="s">
        <v>1313</v>
      </c>
      <c r="B827" s="41" t="str">
        <f>image("https://i.imgur.com/HxUmcq3.png")</f>
        <v/>
      </c>
      <c r="C827" s="22" t="str">
        <f>HYPERLINK("https://imgur.com/a/PrTAQuW","Yes")</f>
        <v>Yes</v>
      </c>
      <c r="D827" s="42" t="s">
        <v>50</v>
      </c>
      <c r="E827" s="42" t="s">
        <v>50</v>
      </c>
      <c r="F827" s="38" t="s">
        <v>51</v>
      </c>
      <c r="G827" s="38">
        <v>600.0</v>
      </c>
      <c r="H827" s="19">
        <v>5636.0</v>
      </c>
      <c r="I827" s="19" t="s">
        <v>161</v>
      </c>
      <c r="J827" s="19"/>
      <c r="K827" s="19"/>
      <c r="L827" s="19"/>
      <c r="M827" s="19" t="s">
        <v>1384</v>
      </c>
      <c r="N827" s="19">
        <v>1.0</v>
      </c>
      <c r="O827" s="19" t="s">
        <v>40</v>
      </c>
      <c r="P827" s="19" t="s">
        <v>41</v>
      </c>
      <c r="Q827" s="19" t="s">
        <v>54</v>
      </c>
      <c r="R827" s="19" t="s">
        <v>55</v>
      </c>
      <c r="S827" s="19"/>
      <c r="T827" s="19"/>
      <c r="U827" s="19"/>
      <c r="V827" s="19"/>
      <c r="W827" s="19"/>
      <c r="X827" s="19"/>
      <c r="Y827" s="19"/>
    </row>
    <row r="828" ht="56.25" customHeight="1">
      <c r="A828" s="13" t="s">
        <v>1322</v>
      </c>
      <c r="B828" s="41" t="str">
        <f>image("https://i.imgur.com/OikQ6Oi.png")</f>
        <v/>
      </c>
      <c r="C828" s="22" t="str">
        <f>HYPERLINK("https://imgur.com/a/NCXqckh","Yes")</f>
        <v>Yes</v>
      </c>
      <c r="D828" s="42" t="s">
        <v>28</v>
      </c>
      <c r="E828" s="42" t="s">
        <v>28</v>
      </c>
      <c r="F828" s="38">
        <v>400.0</v>
      </c>
      <c r="G828" s="38">
        <v>160.0</v>
      </c>
      <c r="H828" s="19">
        <v>3584.0</v>
      </c>
      <c r="I828" s="19" t="s">
        <v>113</v>
      </c>
      <c r="J828" s="19" t="s">
        <v>80</v>
      </c>
      <c r="K828" s="19"/>
      <c r="L828" s="19"/>
      <c r="M828" s="19" t="s">
        <v>1384</v>
      </c>
      <c r="N828" s="19">
        <v>1.0</v>
      </c>
      <c r="O828" s="19" t="s">
        <v>40</v>
      </c>
      <c r="P828" s="19" t="s">
        <v>41</v>
      </c>
      <c r="Q828" s="19" t="s">
        <v>43</v>
      </c>
      <c r="R828" s="19" t="s">
        <v>44</v>
      </c>
      <c r="S828" s="19" t="s">
        <v>68</v>
      </c>
      <c r="T828" s="19"/>
      <c r="U828" s="19"/>
      <c r="V828" s="19"/>
      <c r="W828" s="19"/>
      <c r="X828" s="19"/>
      <c r="Y828" s="1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57"/>
    <col customWidth="1" min="2" max="2" width="10.86"/>
    <col customWidth="1" min="3" max="3" width="5.14"/>
    <col customWidth="1" min="4" max="4" width="4.29"/>
    <col customWidth="1" min="5" max="5" width="7.14"/>
    <col customWidth="1" min="6" max="6" width="6.14"/>
    <col customWidth="1" min="7" max="7" width="10.57"/>
    <col customWidth="1" min="8" max="9" width="9.43"/>
    <col customWidth="1" min="10" max="11" width="16.0"/>
    <col customWidth="1" min="12" max="12" width="5.14"/>
    <col customWidth="1" min="13" max="13" width="10.57"/>
    <col customWidth="1" min="14" max="14" width="15.29"/>
    <col customWidth="1" min="15" max="15" width="24.57"/>
  </cols>
  <sheetData>
    <row r="1" ht="30.0" customHeight="1">
      <c r="A1" s="47" t="s">
        <v>0</v>
      </c>
      <c r="B1" s="3" t="s">
        <v>1</v>
      </c>
      <c r="C1" s="5" t="s">
        <v>1601</v>
      </c>
      <c r="D1" s="3" t="s">
        <v>4</v>
      </c>
      <c r="E1" s="1" t="s">
        <v>6</v>
      </c>
      <c r="F1" s="1" t="s">
        <v>7</v>
      </c>
      <c r="G1" s="7" t="s">
        <v>8</v>
      </c>
      <c r="H1" s="7" t="s">
        <v>1602</v>
      </c>
      <c r="I1" s="7" t="s">
        <v>1603</v>
      </c>
      <c r="J1" s="7" t="s">
        <v>9</v>
      </c>
      <c r="K1" s="7" t="s">
        <v>10</v>
      </c>
      <c r="L1" s="7" t="s">
        <v>12</v>
      </c>
      <c r="M1" s="7" t="s">
        <v>18</v>
      </c>
      <c r="N1" s="7" t="s">
        <v>19</v>
      </c>
      <c r="O1" s="7" t="s">
        <v>20</v>
      </c>
    </row>
    <row r="2" ht="56.25" customHeight="1">
      <c r="A2" s="23" t="s">
        <v>1604</v>
      </c>
      <c r="B2" s="15" t="str">
        <f>IMAGE("https://imgur.com/tJqqYm2.png")</f>
        <v/>
      </c>
      <c r="C2" s="15" t="s">
        <v>28</v>
      </c>
      <c r="D2" s="25" t="s">
        <v>28</v>
      </c>
      <c r="E2" s="13">
        <v>1560.0</v>
      </c>
      <c r="F2" s="13">
        <v>390.0</v>
      </c>
      <c r="G2" s="19">
        <v>4873.0</v>
      </c>
      <c r="H2" s="19" t="s">
        <v>82</v>
      </c>
      <c r="I2" s="19" t="s">
        <v>258</v>
      </c>
      <c r="J2" s="19" t="s">
        <v>37</v>
      </c>
      <c r="K2" s="19" t="s">
        <v>90</v>
      </c>
      <c r="L2" s="19" t="s">
        <v>38</v>
      </c>
      <c r="M2" s="19" t="s">
        <v>43</v>
      </c>
      <c r="N2" s="19" t="s">
        <v>44</v>
      </c>
      <c r="O2" s="19"/>
    </row>
    <row r="3" ht="56.25" customHeight="1">
      <c r="A3" s="23" t="s">
        <v>1606</v>
      </c>
      <c r="B3" s="15" t="str">
        <f>IMAGE("http://i.imgur.com/Sz25gus.png")</f>
        <v/>
      </c>
      <c r="C3" s="15" t="s">
        <v>28</v>
      </c>
      <c r="D3" s="25" t="s">
        <v>28</v>
      </c>
      <c r="E3" s="24" t="s">
        <v>51</v>
      </c>
      <c r="F3" s="13">
        <v>750.0</v>
      </c>
      <c r="G3" s="19">
        <v>4936.0</v>
      </c>
      <c r="H3" s="19" t="s">
        <v>1608</v>
      </c>
      <c r="I3" s="19" t="s">
        <v>118</v>
      </c>
      <c r="J3" s="19" t="s">
        <v>284</v>
      </c>
      <c r="K3" s="19" t="s">
        <v>346</v>
      </c>
      <c r="L3" s="19" t="s">
        <v>38</v>
      </c>
      <c r="M3" s="19" t="s">
        <v>54</v>
      </c>
      <c r="N3" s="19" t="s">
        <v>1609</v>
      </c>
      <c r="O3" s="19"/>
    </row>
    <row r="4" ht="56.25" customHeight="1">
      <c r="A4" s="23" t="s">
        <v>1610</v>
      </c>
      <c r="B4" s="15" t="str">
        <f>IMAGE("https://imgur.com/7lgKSfa.png")</f>
        <v/>
      </c>
      <c r="C4" s="15" t="s">
        <v>28</v>
      </c>
      <c r="D4" s="25" t="s">
        <v>50</v>
      </c>
      <c r="E4" s="24" t="s">
        <v>51</v>
      </c>
      <c r="F4" s="13">
        <v>4000.0</v>
      </c>
      <c r="G4" s="19">
        <v>4916.0</v>
      </c>
      <c r="H4" s="19" t="s">
        <v>208</v>
      </c>
      <c r="I4" s="19" t="s">
        <v>208</v>
      </c>
      <c r="J4" s="19" t="s">
        <v>36</v>
      </c>
      <c r="K4" s="19" t="s">
        <v>113</v>
      </c>
      <c r="L4" s="19" t="s">
        <v>38</v>
      </c>
      <c r="M4" s="19" t="s">
        <v>54</v>
      </c>
      <c r="N4" s="19" t="s">
        <v>55</v>
      </c>
      <c r="O4" s="19"/>
    </row>
    <row r="5" ht="56.25" customHeight="1">
      <c r="A5" s="23" t="s">
        <v>1612</v>
      </c>
      <c r="B5" s="15" t="str">
        <f>IMAGE("https://imgur.com/YQdVCwu.png")</f>
        <v/>
      </c>
      <c r="C5" s="15" t="s">
        <v>28</v>
      </c>
      <c r="D5" s="25" t="s">
        <v>28</v>
      </c>
      <c r="E5" s="13">
        <v>1420.0</v>
      </c>
      <c r="F5" s="13">
        <v>355.0</v>
      </c>
      <c r="G5" s="19">
        <v>4930.0</v>
      </c>
      <c r="H5" s="19" t="s">
        <v>1614</v>
      </c>
      <c r="I5" s="19" t="s">
        <v>1614</v>
      </c>
      <c r="J5" s="19" t="s">
        <v>183</v>
      </c>
      <c r="K5" s="19" t="s">
        <v>90</v>
      </c>
      <c r="L5" s="19" t="s">
        <v>38</v>
      </c>
      <c r="M5" s="19" t="s">
        <v>43</v>
      </c>
      <c r="N5" s="19" t="s">
        <v>44</v>
      </c>
      <c r="O5" s="19"/>
    </row>
    <row r="6" ht="56.25" customHeight="1">
      <c r="A6" s="23" t="s">
        <v>1615</v>
      </c>
      <c r="B6" s="15" t="str">
        <f>IMAGE("https://imgur.com/QKZT2PQ.png")</f>
        <v/>
      </c>
      <c r="C6" s="15" t="s">
        <v>50</v>
      </c>
      <c r="D6" s="25" t="s">
        <v>28</v>
      </c>
      <c r="E6" s="13">
        <v>2150.0</v>
      </c>
      <c r="F6" s="24">
        <v>537.0</v>
      </c>
      <c r="G6" s="19">
        <v>5482.0</v>
      </c>
      <c r="H6" s="19" t="s">
        <v>118</v>
      </c>
      <c r="I6" s="19" t="s">
        <v>1614</v>
      </c>
      <c r="J6" s="19" t="s">
        <v>37</v>
      </c>
      <c r="K6" s="19" t="s">
        <v>62</v>
      </c>
      <c r="L6" s="19" t="s">
        <v>38</v>
      </c>
      <c r="M6" s="19" t="s">
        <v>43</v>
      </c>
      <c r="N6" s="19" t="s">
        <v>44</v>
      </c>
      <c r="O6" s="19"/>
    </row>
    <row r="7" ht="56.25" customHeight="1">
      <c r="A7" s="23" t="s">
        <v>1616</v>
      </c>
      <c r="B7" s="15" t="str">
        <f>IMAGE("https://imgur.com/LrWXfmV.png")</f>
        <v/>
      </c>
      <c r="C7" s="15" t="s">
        <v>50</v>
      </c>
      <c r="D7" s="25" t="s">
        <v>50</v>
      </c>
      <c r="E7" s="24" t="s">
        <v>51</v>
      </c>
      <c r="F7" s="13">
        <v>4700.0</v>
      </c>
      <c r="G7" s="19">
        <v>4905.0</v>
      </c>
      <c r="H7" s="19" t="s">
        <v>118</v>
      </c>
      <c r="I7" s="19" t="s">
        <v>521</v>
      </c>
      <c r="J7" s="19" t="s">
        <v>95</v>
      </c>
      <c r="K7" s="19"/>
      <c r="L7" s="19" t="s">
        <v>38</v>
      </c>
      <c r="M7" s="19" t="s">
        <v>54</v>
      </c>
      <c r="N7" s="19" t="s">
        <v>55</v>
      </c>
      <c r="O7" s="19" t="s">
        <v>1442</v>
      </c>
    </row>
    <row r="8" ht="56.25" customHeight="1">
      <c r="A8" s="23" t="s">
        <v>1618</v>
      </c>
      <c r="B8" s="15" t="str">
        <f>IMAGE("http://i.imgur.com/r5SUVbr.png")</f>
        <v/>
      </c>
      <c r="C8" s="15" t="s">
        <v>50</v>
      </c>
      <c r="D8" s="25" t="s">
        <v>28</v>
      </c>
      <c r="E8" s="24" t="s">
        <v>51</v>
      </c>
      <c r="F8" s="13">
        <v>750.0</v>
      </c>
      <c r="G8" s="19">
        <v>5481.0</v>
      </c>
      <c r="H8" s="19" t="s">
        <v>1614</v>
      </c>
      <c r="I8" s="19" t="s">
        <v>82</v>
      </c>
      <c r="J8" s="19" t="s">
        <v>95</v>
      </c>
      <c r="K8" s="19"/>
      <c r="L8" s="19" t="s">
        <v>38</v>
      </c>
      <c r="M8" s="19" t="s">
        <v>54</v>
      </c>
      <c r="N8" s="19" t="s">
        <v>1609</v>
      </c>
      <c r="O8" s="19"/>
    </row>
    <row r="9" ht="56.25" customHeight="1">
      <c r="A9" s="23" t="s">
        <v>1620</v>
      </c>
      <c r="B9" s="15" t="str">
        <f>IMAGE("https://imgur.com/eAzghjs.png")</f>
        <v/>
      </c>
      <c r="C9" s="15" t="s">
        <v>28</v>
      </c>
      <c r="D9" s="25" t="s">
        <v>50</v>
      </c>
      <c r="E9" s="24" t="s">
        <v>51</v>
      </c>
      <c r="F9" s="13">
        <v>2400.0</v>
      </c>
      <c r="G9" s="19">
        <v>4833.0</v>
      </c>
      <c r="H9" s="19" t="s">
        <v>369</v>
      </c>
      <c r="I9" s="19" t="s">
        <v>1608</v>
      </c>
      <c r="J9" s="19" t="s">
        <v>161</v>
      </c>
      <c r="K9" s="19"/>
      <c r="L9" s="19" t="s">
        <v>38</v>
      </c>
      <c r="M9" s="19" t="s">
        <v>54</v>
      </c>
      <c r="N9" s="19" t="s">
        <v>55</v>
      </c>
      <c r="O9" s="19"/>
    </row>
    <row r="10" ht="56.25" customHeight="1">
      <c r="A10" s="37" t="s">
        <v>1622</v>
      </c>
      <c r="B10" s="15" t="str">
        <f>IMAGE("https://imgur.com/LBXyuZA.png")</f>
        <v/>
      </c>
      <c r="C10" s="15" t="s">
        <v>28</v>
      </c>
      <c r="D10" s="25" t="s">
        <v>50</v>
      </c>
      <c r="E10" s="24" t="s">
        <v>51</v>
      </c>
      <c r="F10" s="13">
        <v>4300.0</v>
      </c>
      <c r="G10" s="19">
        <v>4853.0</v>
      </c>
      <c r="H10" s="19" t="s">
        <v>369</v>
      </c>
      <c r="I10" s="19" t="s">
        <v>369</v>
      </c>
      <c r="J10" s="19" t="s">
        <v>161</v>
      </c>
      <c r="K10" s="19"/>
      <c r="L10" s="19" t="s">
        <v>38</v>
      </c>
      <c r="M10" s="19" t="s">
        <v>54</v>
      </c>
      <c r="N10" s="19" t="s">
        <v>55</v>
      </c>
      <c r="O10" s="19" t="s">
        <v>172</v>
      </c>
    </row>
    <row r="11" ht="56.25" customHeight="1">
      <c r="A11" s="23" t="s">
        <v>1624</v>
      </c>
      <c r="B11" s="15" t="str">
        <f>IMAGE("https://imgur.com/szlSwWb.png")</f>
        <v/>
      </c>
      <c r="C11" s="15" t="s">
        <v>28</v>
      </c>
      <c r="D11" s="25" t="s">
        <v>28</v>
      </c>
      <c r="E11" s="13">
        <v>1770.0</v>
      </c>
      <c r="F11" s="24">
        <v>442.0</v>
      </c>
      <c r="G11" s="19">
        <v>4836.0</v>
      </c>
      <c r="H11" s="19" t="s">
        <v>118</v>
      </c>
      <c r="I11" s="19" t="s">
        <v>118</v>
      </c>
      <c r="J11" s="19" t="s">
        <v>161</v>
      </c>
      <c r="K11" s="19"/>
      <c r="L11" s="19" t="s">
        <v>38</v>
      </c>
      <c r="M11" s="19" t="s">
        <v>43</v>
      </c>
      <c r="N11" s="19" t="s">
        <v>44</v>
      </c>
      <c r="O11" s="19"/>
    </row>
    <row r="12" ht="56.25" customHeight="1">
      <c r="A12" s="23" t="s">
        <v>1625</v>
      </c>
      <c r="B12" s="15" t="str">
        <f>IMAGE("https://imgur.com/9vgfHBo.png")</f>
        <v/>
      </c>
      <c r="C12" s="15" t="s">
        <v>28</v>
      </c>
      <c r="D12" s="15" t="s">
        <v>28</v>
      </c>
      <c r="E12" s="24" t="s">
        <v>51</v>
      </c>
      <c r="F12" s="13">
        <v>750.0</v>
      </c>
      <c r="G12" s="19">
        <v>4839.0</v>
      </c>
      <c r="H12" s="19" t="s">
        <v>94</v>
      </c>
      <c r="I12" s="19" t="s">
        <v>94</v>
      </c>
      <c r="J12" s="19" t="s">
        <v>90</v>
      </c>
      <c r="K12" s="19" t="s">
        <v>62</v>
      </c>
      <c r="L12" s="19" t="s">
        <v>38</v>
      </c>
      <c r="M12" s="19" t="s">
        <v>54</v>
      </c>
      <c r="N12" s="19" t="s">
        <v>1609</v>
      </c>
      <c r="O12" s="19"/>
    </row>
    <row r="13" ht="56.25" customHeight="1">
      <c r="A13" s="23" t="s">
        <v>1627</v>
      </c>
      <c r="B13" s="15" t="str">
        <f>IMAGE("https://imgur.com/8cQlspF.png")</f>
        <v/>
      </c>
      <c r="C13" s="15" t="s">
        <v>50</v>
      </c>
      <c r="D13" s="25" t="s">
        <v>28</v>
      </c>
      <c r="E13" s="13">
        <v>600.0</v>
      </c>
      <c r="F13" s="13">
        <v>150.0</v>
      </c>
      <c r="G13" s="19">
        <v>5559.0</v>
      </c>
      <c r="H13" s="19" t="s">
        <v>82</v>
      </c>
      <c r="I13" s="19" t="s">
        <v>82</v>
      </c>
      <c r="J13" s="19" t="s">
        <v>61</v>
      </c>
      <c r="K13" s="19" t="s">
        <v>90</v>
      </c>
      <c r="L13" s="19" t="s">
        <v>38</v>
      </c>
      <c r="M13" s="19" t="s">
        <v>43</v>
      </c>
      <c r="N13" s="19" t="s">
        <v>44</v>
      </c>
      <c r="O13" s="19"/>
    </row>
    <row r="14" ht="55.5" customHeight="1">
      <c r="A14" s="23" t="s">
        <v>1628</v>
      </c>
      <c r="B14" s="15" t="str">
        <f>IMAGE("https://imgur.com/eT5W0oD.png")</f>
        <v/>
      </c>
      <c r="C14" s="15" t="s">
        <v>28</v>
      </c>
      <c r="D14" s="25" t="s">
        <v>28</v>
      </c>
      <c r="E14" s="13">
        <v>1720.0</v>
      </c>
      <c r="F14" s="13">
        <v>430.0</v>
      </c>
      <c r="G14" s="19">
        <v>4877.0</v>
      </c>
      <c r="H14" s="19" t="s">
        <v>82</v>
      </c>
      <c r="I14" s="19" t="s">
        <v>521</v>
      </c>
      <c r="J14" s="19" t="s">
        <v>37</v>
      </c>
      <c r="K14" s="19" t="s">
        <v>86</v>
      </c>
      <c r="L14" s="19" t="s">
        <v>38</v>
      </c>
      <c r="M14" s="19" t="s">
        <v>43</v>
      </c>
      <c r="N14" s="19" t="s">
        <v>44</v>
      </c>
      <c r="O14" s="19"/>
    </row>
    <row r="15" ht="56.25" customHeight="1">
      <c r="A15" s="23" t="s">
        <v>1630</v>
      </c>
      <c r="B15" s="15" t="str">
        <f>IMAGE("https://imgur.com/Pqp7VGN.png")</f>
        <v/>
      </c>
      <c r="C15" s="15" t="s">
        <v>28</v>
      </c>
      <c r="D15" s="15" t="s">
        <v>28</v>
      </c>
      <c r="E15" s="13">
        <v>2780.0</v>
      </c>
      <c r="F15" s="13">
        <v>695.0</v>
      </c>
      <c r="G15" s="19">
        <v>4817.0</v>
      </c>
      <c r="H15" s="19" t="s">
        <v>1608</v>
      </c>
      <c r="I15" s="19" t="s">
        <v>1608</v>
      </c>
      <c r="J15" s="19" t="s">
        <v>113</v>
      </c>
      <c r="K15" s="19" t="s">
        <v>60</v>
      </c>
      <c r="L15" s="19" t="s">
        <v>38</v>
      </c>
      <c r="M15" s="19" t="s">
        <v>43</v>
      </c>
      <c r="N15" s="19" t="s">
        <v>44</v>
      </c>
      <c r="O15" s="19"/>
    </row>
    <row r="16" ht="56.25" customHeight="1">
      <c r="A16" s="23" t="s">
        <v>1632</v>
      </c>
      <c r="B16" s="15" t="str">
        <f>IMAGE("https://imgur.com/vTdxfh7.png")</f>
        <v/>
      </c>
      <c r="C16" s="15" t="s">
        <v>28</v>
      </c>
      <c r="D16" s="25" t="s">
        <v>28</v>
      </c>
      <c r="E16" s="13">
        <v>1760.0</v>
      </c>
      <c r="F16" s="13">
        <v>440.0</v>
      </c>
      <c r="G16" s="19">
        <v>4831.0</v>
      </c>
      <c r="H16" s="19" t="s">
        <v>1608</v>
      </c>
      <c r="I16" s="19" t="s">
        <v>118</v>
      </c>
      <c r="J16" s="19" t="s">
        <v>36</v>
      </c>
      <c r="K16" s="19" t="s">
        <v>60</v>
      </c>
      <c r="L16" s="19" t="s">
        <v>38</v>
      </c>
      <c r="M16" s="19" t="s">
        <v>43</v>
      </c>
      <c r="N16" s="19" t="s">
        <v>44</v>
      </c>
      <c r="O16" s="19"/>
    </row>
    <row r="17" ht="56.25" customHeight="1">
      <c r="A17" s="23" t="s">
        <v>1634</v>
      </c>
      <c r="B17" s="15" t="str">
        <f>IMAGE("https://imgur.com/Tutuiq1.png")</f>
        <v/>
      </c>
      <c r="C17" s="15" t="s">
        <v>28</v>
      </c>
      <c r="D17" s="15" t="s">
        <v>28</v>
      </c>
      <c r="E17" s="13">
        <v>2440.0</v>
      </c>
      <c r="F17" s="13">
        <v>610.0</v>
      </c>
      <c r="G17" s="19">
        <v>4834.0</v>
      </c>
      <c r="H17" s="19" t="s">
        <v>1608</v>
      </c>
      <c r="I17" s="19" t="s">
        <v>1608</v>
      </c>
      <c r="J17" s="19" t="s">
        <v>183</v>
      </c>
      <c r="K17" s="19" t="s">
        <v>90</v>
      </c>
      <c r="L17" s="19" t="s">
        <v>38</v>
      </c>
      <c r="M17" s="19" t="s">
        <v>43</v>
      </c>
      <c r="N17" s="19" t="s">
        <v>44</v>
      </c>
      <c r="O17" s="19"/>
    </row>
    <row r="18" ht="56.25" customHeight="1">
      <c r="A18" s="23" t="s">
        <v>1636</v>
      </c>
      <c r="B18" s="15" t="str">
        <f>IMAGE("https://imgur.com/IL1KRFB.png")</f>
        <v/>
      </c>
      <c r="C18" s="15" t="s">
        <v>28</v>
      </c>
      <c r="D18" s="25" t="s">
        <v>28</v>
      </c>
      <c r="E18" s="13">
        <v>1240.0</v>
      </c>
      <c r="F18" s="13">
        <v>310.0</v>
      </c>
      <c r="G18" s="19">
        <v>6877.0</v>
      </c>
      <c r="H18" s="19" t="s">
        <v>99</v>
      </c>
      <c r="I18" s="19" t="s">
        <v>99</v>
      </c>
      <c r="J18" s="19" t="s">
        <v>90</v>
      </c>
      <c r="K18" s="19" t="s">
        <v>62</v>
      </c>
      <c r="L18" s="19" t="s">
        <v>38</v>
      </c>
      <c r="M18" s="19" t="s">
        <v>43</v>
      </c>
      <c r="N18" s="19" t="s">
        <v>44</v>
      </c>
      <c r="O18" s="19"/>
    </row>
    <row r="19" ht="56.25" customHeight="1">
      <c r="A19" s="23" t="s">
        <v>1637</v>
      </c>
      <c r="B19" s="15" t="str">
        <f>IMAGE("https://imgur.com/HXEtzqU.png")</f>
        <v/>
      </c>
      <c r="C19" s="15" t="s">
        <v>28</v>
      </c>
      <c r="D19" s="15" t="s">
        <v>50</v>
      </c>
      <c r="E19" s="13">
        <v>2000.0</v>
      </c>
      <c r="F19" s="13">
        <v>500.0</v>
      </c>
      <c r="G19" s="19">
        <v>6862.0</v>
      </c>
      <c r="H19" s="19" t="s">
        <v>99</v>
      </c>
      <c r="I19" s="19" t="s">
        <v>99</v>
      </c>
      <c r="J19" s="19" t="s">
        <v>90</v>
      </c>
      <c r="K19" s="19" t="s">
        <v>52</v>
      </c>
      <c r="L19" s="19" t="s">
        <v>38</v>
      </c>
      <c r="M19" s="19" t="s">
        <v>43</v>
      </c>
      <c r="N19" s="19" t="s">
        <v>44</v>
      </c>
      <c r="O19" s="19"/>
    </row>
    <row r="20" ht="56.25" customHeight="1">
      <c r="A20" s="23" t="s">
        <v>1639</v>
      </c>
      <c r="B20" s="15" t="str">
        <f>IMAGE("https://imgur.com/8yMAugE.png")</f>
        <v/>
      </c>
      <c r="C20" s="15" t="s">
        <v>28</v>
      </c>
      <c r="D20" s="25" t="s">
        <v>28</v>
      </c>
      <c r="E20" s="13">
        <v>1180.0</v>
      </c>
      <c r="F20" s="13">
        <v>295.0</v>
      </c>
      <c r="G20" s="19">
        <v>4922.0</v>
      </c>
      <c r="H20" s="19" t="s">
        <v>99</v>
      </c>
      <c r="I20" s="19" t="s">
        <v>99</v>
      </c>
      <c r="J20" s="19" t="s">
        <v>52</v>
      </c>
      <c r="K20" s="19" t="s">
        <v>90</v>
      </c>
      <c r="L20" s="19" t="s">
        <v>38</v>
      </c>
      <c r="M20" s="19" t="s">
        <v>43</v>
      </c>
      <c r="N20" s="19" t="s">
        <v>44</v>
      </c>
      <c r="O20" s="19"/>
    </row>
    <row r="21" ht="56.25" customHeight="1">
      <c r="A21" s="23" t="s">
        <v>1641</v>
      </c>
      <c r="B21" s="15" t="str">
        <f>IMAGE("https://i.imgur.com/4w8uK5x.png")</f>
        <v/>
      </c>
      <c r="C21" s="15" t="s">
        <v>28</v>
      </c>
      <c r="D21" s="25" t="s">
        <v>28</v>
      </c>
      <c r="E21" s="13">
        <v>1850.0</v>
      </c>
      <c r="F21" s="13">
        <v>462.0</v>
      </c>
      <c r="G21" s="19">
        <v>6859.0</v>
      </c>
      <c r="H21" s="19" t="s">
        <v>99</v>
      </c>
      <c r="I21" s="19" t="s">
        <v>99</v>
      </c>
      <c r="J21" s="19" t="s">
        <v>183</v>
      </c>
      <c r="K21" s="19" t="s">
        <v>90</v>
      </c>
      <c r="L21" s="19" t="s">
        <v>38</v>
      </c>
      <c r="M21" s="19" t="s">
        <v>43</v>
      </c>
      <c r="N21" s="19" t="s">
        <v>44</v>
      </c>
      <c r="O21" s="19"/>
    </row>
    <row r="22" ht="56.25" customHeight="1">
      <c r="A22" s="23" t="s">
        <v>1643</v>
      </c>
      <c r="B22" s="15" t="str">
        <f>IMAGE("https://imgur.com/D6DQedV.png")</f>
        <v/>
      </c>
      <c r="C22" s="15" t="s">
        <v>28</v>
      </c>
      <c r="D22" s="25" t="s">
        <v>28</v>
      </c>
      <c r="E22" s="13">
        <v>1000.0</v>
      </c>
      <c r="F22" s="13">
        <v>250.0</v>
      </c>
      <c r="G22" s="19">
        <v>4929.0</v>
      </c>
      <c r="H22" s="19" t="s">
        <v>99</v>
      </c>
      <c r="I22" s="19" t="s">
        <v>99</v>
      </c>
      <c r="J22" s="19" t="s">
        <v>90</v>
      </c>
      <c r="K22" s="19" t="s">
        <v>37</v>
      </c>
      <c r="L22" s="19" t="s">
        <v>38</v>
      </c>
      <c r="M22" s="19" t="s">
        <v>43</v>
      </c>
      <c r="N22" s="19" t="s">
        <v>44</v>
      </c>
      <c r="O22" s="19"/>
    </row>
    <row r="23" ht="56.25" customHeight="1">
      <c r="A23" s="23" t="s">
        <v>1645</v>
      </c>
      <c r="B23" s="15" t="str">
        <f>IMAGE("https://imgur.com/nRLPKMf.png")</f>
        <v/>
      </c>
      <c r="C23" s="15" t="s">
        <v>28</v>
      </c>
      <c r="D23" s="25" t="s">
        <v>28</v>
      </c>
      <c r="E23" s="13">
        <v>2350.0</v>
      </c>
      <c r="F23" s="13">
        <v>587.0</v>
      </c>
      <c r="G23" s="19">
        <v>4815.0</v>
      </c>
      <c r="H23" s="19" t="s">
        <v>99</v>
      </c>
      <c r="I23" s="19" t="s">
        <v>99</v>
      </c>
      <c r="J23" s="19" t="s">
        <v>62</v>
      </c>
      <c r="K23" s="19"/>
      <c r="L23" s="19" t="s">
        <v>38</v>
      </c>
      <c r="M23" s="19" t="s">
        <v>43</v>
      </c>
      <c r="N23" s="19" t="s">
        <v>44</v>
      </c>
      <c r="O23" s="19"/>
    </row>
    <row r="24" ht="56.25" customHeight="1">
      <c r="A24" s="23" t="s">
        <v>1647</v>
      </c>
      <c r="B24" s="15" t="str">
        <f>IMAGE("https://i.imgur.com/ALxp7B1.png")</f>
        <v/>
      </c>
      <c r="C24" s="15" t="s">
        <v>28</v>
      </c>
      <c r="D24" s="25" t="s">
        <v>28</v>
      </c>
      <c r="E24" s="24" t="s">
        <v>51</v>
      </c>
      <c r="F24" s="13">
        <v>750.0</v>
      </c>
      <c r="G24" s="19">
        <v>4882.0</v>
      </c>
      <c r="H24" s="19" t="s">
        <v>99</v>
      </c>
      <c r="I24" s="19" t="s">
        <v>258</v>
      </c>
      <c r="J24" s="19" t="s">
        <v>37</v>
      </c>
      <c r="K24" s="19" t="s">
        <v>80</v>
      </c>
      <c r="L24" s="19" t="s">
        <v>38</v>
      </c>
      <c r="M24" s="19" t="s">
        <v>54</v>
      </c>
      <c r="N24" s="19" t="s">
        <v>1609</v>
      </c>
      <c r="O24" s="19"/>
    </row>
    <row r="25" ht="56.25" customHeight="1">
      <c r="A25" s="23" t="s">
        <v>1648</v>
      </c>
      <c r="B25" s="15" t="str">
        <f>IMAGE("https://imgur.com/1RmOFjn.png")</f>
        <v/>
      </c>
      <c r="C25" s="15" t="s">
        <v>28</v>
      </c>
      <c r="D25" s="25" t="s">
        <v>28</v>
      </c>
      <c r="E25" s="13">
        <v>1760.0</v>
      </c>
      <c r="F25" s="13">
        <v>440.0</v>
      </c>
      <c r="G25" s="19">
        <v>4896.0</v>
      </c>
      <c r="H25" s="19" t="s">
        <v>1614</v>
      </c>
      <c r="I25" s="19" t="s">
        <v>112</v>
      </c>
      <c r="J25" s="19" t="s">
        <v>36</v>
      </c>
      <c r="K25" s="19" t="s">
        <v>60</v>
      </c>
      <c r="L25" s="19" t="s">
        <v>38</v>
      </c>
      <c r="M25" s="19" t="s">
        <v>43</v>
      </c>
      <c r="N25" s="19" t="s">
        <v>44</v>
      </c>
      <c r="O25" s="19"/>
    </row>
    <row r="26" ht="56.25" customHeight="1">
      <c r="A26" s="23" t="s">
        <v>1649</v>
      </c>
      <c r="B26" s="15" t="str">
        <f>IMAGE("https://i.imgur.com/cyDedOF.png")</f>
        <v/>
      </c>
      <c r="C26" s="15" t="s">
        <v>28</v>
      </c>
      <c r="D26" s="25" t="s">
        <v>28</v>
      </c>
      <c r="E26" s="13">
        <v>1150.0</v>
      </c>
      <c r="F26" s="13">
        <v>287.0</v>
      </c>
      <c r="G26" s="19">
        <v>4884.0</v>
      </c>
      <c r="H26" s="19" t="s">
        <v>112</v>
      </c>
      <c r="I26" s="19" t="s">
        <v>112</v>
      </c>
      <c r="J26" s="19" t="s">
        <v>212</v>
      </c>
      <c r="K26" s="19" t="s">
        <v>113</v>
      </c>
      <c r="L26" s="19" t="s">
        <v>38</v>
      </c>
      <c r="M26" s="19" t="s">
        <v>43</v>
      </c>
      <c r="N26" s="19" t="s">
        <v>44</v>
      </c>
      <c r="O26" s="19"/>
    </row>
    <row r="27" ht="56.25" customHeight="1">
      <c r="A27" s="23" t="s">
        <v>1651</v>
      </c>
      <c r="B27" s="15" t="str">
        <f>IMAGE("https://imgur.com/mij376l.png")</f>
        <v/>
      </c>
      <c r="C27" s="15" t="s">
        <v>28</v>
      </c>
      <c r="D27" s="15" t="s">
        <v>28</v>
      </c>
      <c r="E27" s="13">
        <v>1900.0</v>
      </c>
      <c r="F27" s="13">
        <v>475.0</v>
      </c>
      <c r="G27" s="19">
        <v>6852.0</v>
      </c>
      <c r="H27" s="19" t="s">
        <v>112</v>
      </c>
      <c r="I27" s="19" t="s">
        <v>99</v>
      </c>
      <c r="J27" s="19" t="s">
        <v>62</v>
      </c>
      <c r="K27" s="19" t="s">
        <v>60</v>
      </c>
      <c r="L27" s="19" t="s">
        <v>38</v>
      </c>
      <c r="M27" s="19" t="s">
        <v>43</v>
      </c>
      <c r="N27" s="19" t="s">
        <v>44</v>
      </c>
      <c r="O27" s="19"/>
    </row>
    <row r="28" ht="56.25" customHeight="1">
      <c r="A28" s="23" t="s">
        <v>1653</v>
      </c>
      <c r="B28" s="15" t="str">
        <f>IMAGE("https://imgur.com/JSGUKIr.png")</f>
        <v/>
      </c>
      <c r="C28" s="15" t="s">
        <v>28</v>
      </c>
      <c r="D28" s="25" t="s">
        <v>28</v>
      </c>
      <c r="E28" s="13">
        <v>2440.0</v>
      </c>
      <c r="F28" s="13">
        <v>610.0</v>
      </c>
      <c r="G28" s="19">
        <v>4835.0</v>
      </c>
      <c r="H28" s="19" t="s">
        <v>112</v>
      </c>
      <c r="I28" s="19" t="s">
        <v>82</v>
      </c>
      <c r="J28" s="19" t="s">
        <v>183</v>
      </c>
      <c r="K28" s="19" t="s">
        <v>90</v>
      </c>
      <c r="L28" s="19" t="s">
        <v>38</v>
      </c>
      <c r="M28" s="19" t="s">
        <v>43</v>
      </c>
      <c r="N28" s="19" t="s">
        <v>44</v>
      </c>
      <c r="O28" s="19"/>
    </row>
    <row r="29" ht="56.25" customHeight="1">
      <c r="A29" s="23" t="s">
        <v>1655</v>
      </c>
      <c r="B29" s="15" t="str">
        <f>IMAGE("https://imgur.com/bZFIkOh.png")</f>
        <v/>
      </c>
      <c r="C29" s="15" t="s">
        <v>28</v>
      </c>
      <c r="D29" s="25" t="s">
        <v>28</v>
      </c>
      <c r="E29" s="13">
        <v>2420.0</v>
      </c>
      <c r="F29" s="13">
        <v>605.0</v>
      </c>
      <c r="G29" s="19">
        <v>7241.0</v>
      </c>
      <c r="H29" s="19" t="s">
        <v>112</v>
      </c>
      <c r="I29" s="19" t="s">
        <v>1614</v>
      </c>
      <c r="J29" s="19" t="s">
        <v>36</v>
      </c>
      <c r="K29" s="19" t="s">
        <v>37</v>
      </c>
      <c r="L29" s="19" t="s">
        <v>38</v>
      </c>
      <c r="M29" s="19" t="s">
        <v>43</v>
      </c>
      <c r="N29" s="19" t="s">
        <v>44</v>
      </c>
      <c r="O29" s="19"/>
    </row>
    <row r="30" ht="56.25" customHeight="1">
      <c r="A30" s="23" t="s">
        <v>1657</v>
      </c>
      <c r="B30" s="15" t="str">
        <f>IMAGE("http://i.imgur.com/08pCrAO.png")</f>
        <v/>
      </c>
      <c r="C30" s="15" t="s">
        <v>28</v>
      </c>
      <c r="D30" s="25" t="s">
        <v>28</v>
      </c>
      <c r="E30" s="13">
        <v>1780.0</v>
      </c>
      <c r="F30" s="13">
        <v>445.0</v>
      </c>
      <c r="G30" s="19">
        <v>6873.0</v>
      </c>
      <c r="H30" s="19" t="s">
        <v>112</v>
      </c>
      <c r="I30" s="19" t="s">
        <v>1614</v>
      </c>
      <c r="J30" s="19" t="s">
        <v>36</v>
      </c>
      <c r="K30" s="19" t="s">
        <v>60</v>
      </c>
      <c r="L30" s="19" t="s">
        <v>38</v>
      </c>
      <c r="M30" s="19" t="s">
        <v>43</v>
      </c>
      <c r="N30" s="19" t="s">
        <v>44</v>
      </c>
      <c r="O30" s="19"/>
    </row>
    <row r="31" ht="56.25" customHeight="1">
      <c r="A31" s="23" t="s">
        <v>1659</v>
      </c>
      <c r="B31" s="15" t="str">
        <f>IMAGE("https://imgur.com/HXngtLZ.png")</f>
        <v/>
      </c>
      <c r="C31" s="15" t="s">
        <v>28</v>
      </c>
      <c r="D31" s="15" t="s">
        <v>28</v>
      </c>
      <c r="E31" s="13">
        <v>1280.0</v>
      </c>
      <c r="F31" s="13">
        <v>320.0</v>
      </c>
      <c r="G31" s="19">
        <v>4874.0</v>
      </c>
      <c r="H31" s="19" t="s">
        <v>112</v>
      </c>
      <c r="I31" s="19" t="s">
        <v>1614</v>
      </c>
      <c r="J31" s="19" t="s">
        <v>36</v>
      </c>
      <c r="K31" s="19" t="s">
        <v>113</v>
      </c>
      <c r="L31" s="19" t="s">
        <v>38</v>
      </c>
      <c r="M31" s="19" t="s">
        <v>43</v>
      </c>
      <c r="N31" s="19" t="s">
        <v>44</v>
      </c>
      <c r="O31" s="19"/>
    </row>
    <row r="32" ht="56.25" customHeight="1">
      <c r="A32" s="37" t="s">
        <v>1661</v>
      </c>
      <c r="B32" s="15" t="str">
        <f>IMAGE("https://imgur.com/vbIk6Cr.png")</f>
        <v/>
      </c>
      <c r="C32" s="15" t="s">
        <v>28</v>
      </c>
      <c r="D32" s="25" t="s">
        <v>28</v>
      </c>
      <c r="E32" s="13">
        <v>1680.0</v>
      </c>
      <c r="F32" s="13">
        <v>420.0</v>
      </c>
      <c r="G32" s="19">
        <v>4912.0</v>
      </c>
      <c r="H32" s="19" t="s">
        <v>112</v>
      </c>
      <c r="I32" s="19" t="s">
        <v>112</v>
      </c>
      <c r="J32" s="19" t="s">
        <v>183</v>
      </c>
      <c r="K32" s="19" t="s">
        <v>90</v>
      </c>
      <c r="L32" s="19" t="s">
        <v>38</v>
      </c>
      <c r="M32" s="19" t="s">
        <v>43</v>
      </c>
      <c r="N32" s="19" t="s">
        <v>44</v>
      </c>
      <c r="O32" s="19"/>
    </row>
    <row r="33" ht="56.25" customHeight="1">
      <c r="A33" s="23" t="s">
        <v>1663</v>
      </c>
      <c r="B33" s="15" t="str">
        <f>IMAGE("https://imgur.com/4aSgvp8.png")</f>
        <v/>
      </c>
      <c r="C33" s="15" t="s">
        <v>28</v>
      </c>
      <c r="D33" s="25" t="s">
        <v>28</v>
      </c>
      <c r="E33" s="13">
        <v>1570.0</v>
      </c>
      <c r="F33" s="13">
        <v>392.0</v>
      </c>
      <c r="G33" s="19">
        <v>4848.0</v>
      </c>
      <c r="H33" s="19" t="s">
        <v>112</v>
      </c>
      <c r="I33" s="19" t="s">
        <v>82</v>
      </c>
      <c r="J33" s="19" t="s">
        <v>60</v>
      </c>
      <c r="K33" s="19" t="s">
        <v>37</v>
      </c>
      <c r="L33" s="19" t="s">
        <v>38</v>
      </c>
      <c r="M33" s="19" t="s">
        <v>43</v>
      </c>
      <c r="N33" s="19" t="s">
        <v>44</v>
      </c>
      <c r="O33" s="19"/>
    </row>
    <row r="34" ht="56.25" customHeight="1">
      <c r="A34" s="23" t="s">
        <v>1664</v>
      </c>
      <c r="B34" s="15" t="str">
        <f>IMAGE("https://imgur.com/TnPVnsb.png")</f>
        <v/>
      </c>
      <c r="C34" s="15" t="s">
        <v>28</v>
      </c>
      <c r="D34" s="25" t="s">
        <v>28</v>
      </c>
      <c r="E34" s="13">
        <v>1980.0</v>
      </c>
      <c r="F34" s="13">
        <v>495.0</v>
      </c>
      <c r="G34" s="19">
        <v>4871.0</v>
      </c>
      <c r="H34" s="19" t="s">
        <v>112</v>
      </c>
      <c r="I34" s="19" t="s">
        <v>118</v>
      </c>
      <c r="J34" s="19" t="s">
        <v>62</v>
      </c>
      <c r="K34" s="19" t="s">
        <v>37</v>
      </c>
      <c r="L34" s="19" t="s">
        <v>38</v>
      </c>
      <c r="M34" s="19" t="s">
        <v>43</v>
      </c>
      <c r="N34" s="19" t="s">
        <v>44</v>
      </c>
      <c r="O34" s="19"/>
    </row>
    <row r="35" ht="56.25" customHeight="1">
      <c r="A35" s="23" t="s">
        <v>1666</v>
      </c>
      <c r="B35" s="15" t="str">
        <f>IMAGE("https://imgur.com/k3UAWEE.png")</f>
        <v/>
      </c>
      <c r="C35" s="15" t="s">
        <v>28</v>
      </c>
      <c r="D35" s="25" t="s">
        <v>28</v>
      </c>
      <c r="E35" s="13">
        <v>1650.0</v>
      </c>
      <c r="F35" s="13">
        <v>412.0</v>
      </c>
      <c r="G35" s="19">
        <v>4948.0</v>
      </c>
      <c r="H35" s="19" t="s">
        <v>112</v>
      </c>
      <c r="I35" s="19" t="s">
        <v>1614</v>
      </c>
      <c r="J35" s="19" t="s">
        <v>36</v>
      </c>
      <c r="K35" s="19" t="s">
        <v>60</v>
      </c>
      <c r="L35" s="19" t="s">
        <v>38</v>
      </c>
      <c r="M35" s="19" t="s">
        <v>43</v>
      </c>
      <c r="N35" s="19" t="s">
        <v>44</v>
      </c>
      <c r="O35" s="19"/>
    </row>
    <row r="36" ht="56.25" customHeight="1">
      <c r="A36" s="23" t="s">
        <v>1668</v>
      </c>
      <c r="B36" s="15" t="str">
        <f>IMAGE("https://imgur.com/u3zP4k7.png")</f>
        <v/>
      </c>
      <c r="C36" s="15" t="s">
        <v>28</v>
      </c>
      <c r="D36" s="15" t="s">
        <v>28</v>
      </c>
      <c r="E36" s="13">
        <v>2540.0</v>
      </c>
      <c r="F36" s="13">
        <v>635.0</v>
      </c>
      <c r="G36" s="19">
        <v>4888.0</v>
      </c>
      <c r="H36" s="19" t="s">
        <v>1614</v>
      </c>
      <c r="I36" s="19" t="s">
        <v>112</v>
      </c>
      <c r="J36" s="19" t="s">
        <v>113</v>
      </c>
      <c r="K36" s="19" t="s">
        <v>36</v>
      </c>
      <c r="L36" s="19" t="s">
        <v>38</v>
      </c>
      <c r="M36" s="19" t="s">
        <v>43</v>
      </c>
      <c r="N36" s="19" t="s">
        <v>44</v>
      </c>
      <c r="O36" s="19"/>
    </row>
    <row r="37" ht="56.25" customHeight="1">
      <c r="A37" s="23" t="s">
        <v>1669</v>
      </c>
      <c r="B37" s="15" t="str">
        <f>IMAGE("https://imgur.com/Rk2GQIl.png")</f>
        <v/>
      </c>
      <c r="C37" s="15" t="s">
        <v>28</v>
      </c>
      <c r="D37" s="15" t="s">
        <v>28</v>
      </c>
      <c r="E37" s="13">
        <v>2150.0</v>
      </c>
      <c r="F37" s="13">
        <v>537.0</v>
      </c>
      <c r="G37" s="19">
        <v>7277.0</v>
      </c>
      <c r="H37" s="19" t="s">
        <v>112</v>
      </c>
      <c r="I37" s="19" t="s">
        <v>82</v>
      </c>
      <c r="J37" s="19" t="s">
        <v>36</v>
      </c>
      <c r="K37" s="19" t="s">
        <v>113</v>
      </c>
      <c r="L37" s="19" t="s">
        <v>38</v>
      </c>
      <c r="M37" s="19" t="s">
        <v>43</v>
      </c>
      <c r="N37" s="19" t="s">
        <v>44</v>
      </c>
      <c r="O37" s="19"/>
    </row>
    <row r="38" ht="56.25" customHeight="1">
      <c r="A38" s="23" t="s">
        <v>1671</v>
      </c>
      <c r="B38" s="15" t="str">
        <f>IMAGE("https://imgur.com/cks8uo4.png")</f>
        <v/>
      </c>
      <c r="C38" s="15" t="s">
        <v>28</v>
      </c>
      <c r="D38" s="25" t="s">
        <v>28</v>
      </c>
      <c r="E38" s="13">
        <v>620.0</v>
      </c>
      <c r="F38" s="13">
        <v>155.0</v>
      </c>
      <c r="G38" s="19">
        <v>4925.0</v>
      </c>
      <c r="H38" s="19" t="s">
        <v>112</v>
      </c>
      <c r="I38" s="19" t="s">
        <v>112</v>
      </c>
      <c r="J38" s="19" t="s">
        <v>243</v>
      </c>
      <c r="K38" s="19"/>
      <c r="L38" s="19" t="s">
        <v>38</v>
      </c>
      <c r="M38" s="19" t="s">
        <v>43</v>
      </c>
      <c r="N38" s="19" t="s">
        <v>44</v>
      </c>
      <c r="O38" s="19"/>
    </row>
    <row r="39" ht="56.25" customHeight="1">
      <c r="A39" s="23" t="s">
        <v>1672</v>
      </c>
      <c r="B39" s="15" t="str">
        <f>IMAGE("https://imgur.com/IdGZxf4.png")</f>
        <v/>
      </c>
      <c r="C39" s="15" t="s">
        <v>28</v>
      </c>
      <c r="D39" s="25" t="s">
        <v>28</v>
      </c>
      <c r="E39" s="13">
        <v>750.0</v>
      </c>
      <c r="F39" s="13">
        <v>187.0</v>
      </c>
      <c r="G39" s="19">
        <v>4869.0</v>
      </c>
      <c r="H39" s="19" t="s">
        <v>112</v>
      </c>
      <c r="I39" s="19" t="s">
        <v>1614</v>
      </c>
      <c r="J39" s="19" t="s">
        <v>113</v>
      </c>
      <c r="K39" s="19" t="s">
        <v>60</v>
      </c>
      <c r="L39" s="19" t="s">
        <v>38</v>
      </c>
      <c r="M39" s="19" t="s">
        <v>43</v>
      </c>
      <c r="N39" s="19" t="s">
        <v>44</v>
      </c>
      <c r="O39" s="19"/>
    </row>
    <row r="40" ht="56.25" customHeight="1">
      <c r="A40" s="23" t="s">
        <v>1674</v>
      </c>
      <c r="B40" s="15" t="str">
        <f>IMAGE("https://i.imgur.com/dGxkHuy.png")</f>
        <v/>
      </c>
      <c r="C40" s="15" t="s">
        <v>28</v>
      </c>
      <c r="D40" s="25" t="s">
        <v>28</v>
      </c>
      <c r="E40" s="13">
        <v>1340.0</v>
      </c>
      <c r="F40" s="13">
        <v>335.0</v>
      </c>
      <c r="G40" s="19">
        <v>4940.0</v>
      </c>
      <c r="H40" s="19" t="s">
        <v>112</v>
      </c>
      <c r="I40" s="19" t="s">
        <v>1614</v>
      </c>
      <c r="J40" s="19" t="s">
        <v>90</v>
      </c>
      <c r="K40" s="19" t="s">
        <v>37</v>
      </c>
      <c r="L40" s="19" t="s">
        <v>38</v>
      </c>
      <c r="M40" s="19" t="s">
        <v>43</v>
      </c>
      <c r="N40" s="19" t="s">
        <v>44</v>
      </c>
      <c r="O40" s="19"/>
    </row>
    <row r="41" ht="56.25" customHeight="1">
      <c r="A41" s="23" t="s">
        <v>1676</v>
      </c>
      <c r="B41" s="15" t="str">
        <f>IMAGE("https://imgur.com/a2XnqRl.png")</f>
        <v/>
      </c>
      <c r="C41" s="15" t="s">
        <v>28</v>
      </c>
      <c r="D41" s="15" t="s">
        <v>28</v>
      </c>
      <c r="E41" s="13">
        <v>1420.0</v>
      </c>
      <c r="F41" s="13">
        <v>355.0</v>
      </c>
      <c r="G41" s="19">
        <v>7127.0</v>
      </c>
      <c r="H41" s="19" t="s">
        <v>112</v>
      </c>
      <c r="I41" s="19" t="s">
        <v>112</v>
      </c>
      <c r="J41" s="19" t="s">
        <v>183</v>
      </c>
      <c r="K41" s="19" t="s">
        <v>90</v>
      </c>
      <c r="L41" s="19" t="s">
        <v>38</v>
      </c>
      <c r="M41" s="19" t="s">
        <v>43</v>
      </c>
      <c r="N41" s="19" t="s">
        <v>44</v>
      </c>
      <c r="O41" s="19"/>
    </row>
    <row r="42" ht="56.25" customHeight="1">
      <c r="A42" s="23" t="s">
        <v>1677</v>
      </c>
      <c r="B42" s="15" t="str">
        <f>IMAGE("https://imgur.com/BGxWKhm.png")</f>
        <v/>
      </c>
      <c r="C42" s="15" t="s">
        <v>28</v>
      </c>
      <c r="D42" s="15" t="s">
        <v>28</v>
      </c>
      <c r="E42" s="13">
        <v>1850.0</v>
      </c>
      <c r="F42" s="13">
        <v>462.0</v>
      </c>
      <c r="G42" s="19">
        <v>6858.0</v>
      </c>
      <c r="H42" s="19" t="s">
        <v>112</v>
      </c>
      <c r="I42" s="19" t="s">
        <v>112</v>
      </c>
      <c r="J42" s="19" t="s">
        <v>183</v>
      </c>
      <c r="K42" s="19" t="s">
        <v>90</v>
      </c>
      <c r="L42" s="19" t="s">
        <v>38</v>
      </c>
      <c r="M42" s="19" t="s">
        <v>43</v>
      </c>
      <c r="N42" s="19" t="s">
        <v>44</v>
      </c>
      <c r="O42" s="19"/>
    </row>
    <row r="43" ht="56.25" customHeight="1">
      <c r="A43" s="23" t="s">
        <v>1679</v>
      </c>
      <c r="B43" s="15" t="str">
        <f>IMAGE("https://imgur.com/4lvrF3I.png")</f>
        <v/>
      </c>
      <c r="C43" s="15" t="s">
        <v>28</v>
      </c>
      <c r="D43" s="25" t="s">
        <v>28</v>
      </c>
      <c r="E43" s="13">
        <v>2350.0</v>
      </c>
      <c r="F43" s="13">
        <v>587.0</v>
      </c>
      <c r="G43" s="19">
        <v>4814.0</v>
      </c>
      <c r="H43" s="19" t="s">
        <v>112</v>
      </c>
      <c r="I43" s="19" t="s">
        <v>99</v>
      </c>
      <c r="J43" s="19" t="s">
        <v>62</v>
      </c>
      <c r="K43" s="19"/>
      <c r="L43" s="19" t="s">
        <v>38</v>
      </c>
      <c r="M43" s="19" t="s">
        <v>43</v>
      </c>
      <c r="N43" s="19" t="s">
        <v>44</v>
      </c>
      <c r="O43" s="19"/>
    </row>
    <row r="44" ht="56.25" customHeight="1">
      <c r="A44" s="23" t="s">
        <v>1680</v>
      </c>
      <c r="B44" s="15" t="str">
        <f>IMAGE("https://imgur.com/D8f79Jd.png")</f>
        <v/>
      </c>
      <c r="C44" s="15" t="s">
        <v>28</v>
      </c>
      <c r="D44" s="25" t="s">
        <v>28</v>
      </c>
      <c r="E44" s="13">
        <v>1600.0</v>
      </c>
      <c r="F44" s="13">
        <v>400.0</v>
      </c>
      <c r="G44" s="19">
        <v>4811.0</v>
      </c>
      <c r="H44" s="19" t="s">
        <v>112</v>
      </c>
      <c r="I44" s="19" t="s">
        <v>112</v>
      </c>
      <c r="J44" s="19" t="s">
        <v>36</v>
      </c>
      <c r="K44" s="19" t="s">
        <v>60</v>
      </c>
      <c r="L44" s="19" t="s">
        <v>38</v>
      </c>
      <c r="M44" s="19" t="s">
        <v>43</v>
      </c>
      <c r="N44" s="19" t="s">
        <v>44</v>
      </c>
      <c r="O44" s="19"/>
    </row>
    <row r="45" ht="56.25" customHeight="1">
      <c r="A45" s="37" t="s">
        <v>1681</v>
      </c>
      <c r="B45" s="15" t="str">
        <f>IMAGE("https://imgur.com/vqoc65r.png")</f>
        <v/>
      </c>
      <c r="C45" s="15" t="s">
        <v>28</v>
      </c>
      <c r="D45" s="25" t="s">
        <v>28</v>
      </c>
      <c r="E45" s="13">
        <v>1720.0</v>
      </c>
      <c r="F45" s="13">
        <v>430.0</v>
      </c>
      <c r="G45" s="19">
        <v>6869.0</v>
      </c>
      <c r="H45" s="19" t="s">
        <v>112</v>
      </c>
      <c r="I45" s="19" t="s">
        <v>1614</v>
      </c>
      <c r="J45" s="19" t="s">
        <v>36</v>
      </c>
      <c r="K45" s="19" t="s">
        <v>60</v>
      </c>
      <c r="L45" s="19" t="s">
        <v>38</v>
      </c>
      <c r="M45" s="19" t="s">
        <v>43</v>
      </c>
      <c r="N45" s="19" t="s">
        <v>44</v>
      </c>
      <c r="O45" s="19"/>
    </row>
    <row r="46" ht="56.25" customHeight="1">
      <c r="A46" s="23" t="s">
        <v>1683</v>
      </c>
      <c r="B46" s="15" t="str">
        <f>IMAGE("https://imgur.com/Z8StApv.png")</f>
        <v/>
      </c>
      <c r="C46" s="15" t="s">
        <v>28</v>
      </c>
      <c r="D46" s="15" t="s">
        <v>28</v>
      </c>
      <c r="E46" s="13">
        <v>1520.0</v>
      </c>
      <c r="F46" s="13">
        <v>380.0</v>
      </c>
      <c r="G46" s="19">
        <v>4945.0</v>
      </c>
      <c r="H46" s="19" t="s">
        <v>112</v>
      </c>
      <c r="I46" s="19" t="s">
        <v>82</v>
      </c>
      <c r="J46" s="19" t="s">
        <v>36</v>
      </c>
      <c r="K46" s="19" t="s">
        <v>113</v>
      </c>
      <c r="L46" s="19" t="s">
        <v>38</v>
      </c>
      <c r="M46" s="19" t="s">
        <v>43</v>
      </c>
      <c r="N46" s="19" t="s">
        <v>44</v>
      </c>
      <c r="O46" s="19"/>
    </row>
    <row r="47" ht="56.25" customHeight="1">
      <c r="A47" s="23" t="s">
        <v>1685</v>
      </c>
      <c r="B47" s="15" t="str">
        <f>IMAGE("https://imgur.com/vygNM1n.png")</f>
        <v/>
      </c>
      <c r="C47" s="15" t="s">
        <v>28</v>
      </c>
      <c r="D47" s="25" t="s">
        <v>28</v>
      </c>
      <c r="E47" s="13">
        <v>1240.0</v>
      </c>
      <c r="F47" s="13">
        <v>310.0</v>
      </c>
      <c r="G47" s="19">
        <v>6876.0</v>
      </c>
      <c r="H47" s="19" t="s">
        <v>1608</v>
      </c>
      <c r="I47" s="19" t="s">
        <v>211</v>
      </c>
      <c r="J47" s="19" t="s">
        <v>90</v>
      </c>
      <c r="K47" s="19" t="s">
        <v>62</v>
      </c>
      <c r="L47" s="19" t="s">
        <v>38</v>
      </c>
      <c r="M47" s="19" t="s">
        <v>43</v>
      </c>
      <c r="N47" s="19" t="s">
        <v>44</v>
      </c>
      <c r="O47" s="19"/>
    </row>
    <row r="48" ht="56.25" customHeight="1">
      <c r="A48" s="23" t="s">
        <v>1686</v>
      </c>
      <c r="B48" s="15" t="str">
        <f>IMAGE("https://imgur.com/cBlv1x6.png")</f>
        <v/>
      </c>
      <c r="C48" s="15" t="s">
        <v>28</v>
      </c>
      <c r="D48" s="25" t="s">
        <v>28</v>
      </c>
      <c r="E48" s="13">
        <v>1240.0</v>
      </c>
      <c r="F48" s="13">
        <v>310.0</v>
      </c>
      <c r="G48" s="19">
        <v>4827.0</v>
      </c>
      <c r="H48" s="19" t="s">
        <v>118</v>
      </c>
      <c r="I48" s="19" t="s">
        <v>118</v>
      </c>
      <c r="J48" s="19" t="s">
        <v>90</v>
      </c>
      <c r="K48" s="19" t="s">
        <v>62</v>
      </c>
      <c r="L48" s="19" t="s">
        <v>38</v>
      </c>
      <c r="M48" s="19" t="s">
        <v>43</v>
      </c>
      <c r="N48" s="19" t="s">
        <v>44</v>
      </c>
      <c r="O48" s="19"/>
    </row>
    <row r="49" ht="56.25" customHeight="1">
      <c r="A49" s="23" t="s">
        <v>1688</v>
      </c>
      <c r="B49" s="15" t="str">
        <f>IMAGE("https://imgur.com/OzijNCq.png")</f>
        <v/>
      </c>
      <c r="C49" s="15" t="s">
        <v>28</v>
      </c>
      <c r="D49" s="15" t="s">
        <v>28</v>
      </c>
      <c r="E49" s="13">
        <v>2420.0</v>
      </c>
      <c r="F49" s="13">
        <v>605.0</v>
      </c>
      <c r="G49" s="19">
        <v>7244.0</v>
      </c>
      <c r="H49" s="19" t="s">
        <v>118</v>
      </c>
      <c r="I49" s="19" t="s">
        <v>258</v>
      </c>
      <c r="J49" s="19" t="s">
        <v>36</v>
      </c>
      <c r="K49" s="19" t="s">
        <v>37</v>
      </c>
      <c r="L49" s="19" t="s">
        <v>38</v>
      </c>
      <c r="M49" s="19" t="s">
        <v>43</v>
      </c>
      <c r="N49" s="19" t="s">
        <v>44</v>
      </c>
      <c r="O49" s="19"/>
    </row>
    <row r="50" ht="56.25" customHeight="1">
      <c r="A50" s="23" t="s">
        <v>1689</v>
      </c>
      <c r="B50" s="15" t="str">
        <f>IMAGE("https://i.imgur.com/h7bTIXD.png")</f>
        <v/>
      </c>
      <c r="C50" s="15" t="s">
        <v>28</v>
      </c>
      <c r="D50" s="25" t="s">
        <v>28</v>
      </c>
      <c r="E50" s="13">
        <v>2000.0</v>
      </c>
      <c r="F50" s="13">
        <v>500.0</v>
      </c>
      <c r="G50" s="19">
        <v>4806.0</v>
      </c>
      <c r="H50" s="19" t="s">
        <v>118</v>
      </c>
      <c r="I50" s="19" t="s">
        <v>118</v>
      </c>
      <c r="J50" s="19" t="s">
        <v>90</v>
      </c>
      <c r="K50" s="19" t="s">
        <v>52</v>
      </c>
      <c r="L50" s="19" t="s">
        <v>38</v>
      </c>
      <c r="M50" s="19" t="s">
        <v>43</v>
      </c>
      <c r="N50" s="19" t="s">
        <v>44</v>
      </c>
      <c r="O50" s="19"/>
    </row>
    <row r="51" ht="56.25" customHeight="1">
      <c r="A51" s="23" t="s">
        <v>1691</v>
      </c>
      <c r="B51" s="15" t="str">
        <f>IMAGE("https://imgur.com/W50dkB6.png")</f>
        <v/>
      </c>
      <c r="C51" s="15" t="s">
        <v>28</v>
      </c>
      <c r="D51" s="25" t="s">
        <v>50</v>
      </c>
      <c r="E51" s="24" t="s">
        <v>51</v>
      </c>
      <c r="F51" s="13">
        <v>1800.0</v>
      </c>
      <c r="G51" s="19">
        <v>4804.0</v>
      </c>
      <c r="H51" s="19" t="s">
        <v>118</v>
      </c>
      <c r="I51" s="19" t="s">
        <v>118</v>
      </c>
      <c r="J51" s="19" t="s">
        <v>60</v>
      </c>
      <c r="K51" s="19" t="s">
        <v>37</v>
      </c>
      <c r="L51" s="19" t="s">
        <v>38</v>
      </c>
      <c r="M51" s="19" t="s">
        <v>54</v>
      </c>
      <c r="N51" s="19" t="s">
        <v>55</v>
      </c>
      <c r="O51" s="19"/>
    </row>
    <row r="52" ht="56.25" customHeight="1">
      <c r="A52" s="23" t="s">
        <v>1692</v>
      </c>
      <c r="B52" s="15" t="str">
        <f>IMAGE("https://imgur.com/tdmSIOC.png")</f>
        <v/>
      </c>
      <c r="C52" s="15" t="s">
        <v>28</v>
      </c>
      <c r="D52" s="25" t="s">
        <v>28</v>
      </c>
      <c r="E52" s="13">
        <v>620.0</v>
      </c>
      <c r="F52" s="13">
        <v>155.0</v>
      </c>
      <c r="G52" s="19">
        <v>4926.0</v>
      </c>
      <c r="H52" s="19" t="s">
        <v>118</v>
      </c>
      <c r="I52" s="19" t="s">
        <v>118</v>
      </c>
      <c r="J52" s="19" t="s">
        <v>243</v>
      </c>
      <c r="K52" s="19"/>
      <c r="L52" s="19" t="s">
        <v>38</v>
      </c>
      <c r="M52" s="19" t="s">
        <v>43</v>
      </c>
      <c r="N52" s="19" t="s">
        <v>44</v>
      </c>
      <c r="O52" s="19"/>
    </row>
    <row r="53" ht="56.25" customHeight="1">
      <c r="A53" s="23" t="s">
        <v>1694</v>
      </c>
      <c r="B53" s="15" t="str">
        <f>IMAGE("https://i.imgur.com/COMwPmA.png")</f>
        <v/>
      </c>
      <c r="C53" s="15" t="s">
        <v>28</v>
      </c>
      <c r="D53" s="25" t="s">
        <v>28</v>
      </c>
      <c r="E53" s="13">
        <v>1000.0</v>
      </c>
      <c r="F53" s="13">
        <v>250.0</v>
      </c>
      <c r="G53" s="19">
        <v>6850.0</v>
      </c>
      <c r="H53" s="19" t="s">
        <v>118</v>
      </c>
      <c r="I53" s="19" t="s">
        <v>118</v>
      </c>
      <c r="J53" s="19" t="s">
        <v>90</v>
      </c>
      <c r="K53" s="19" t="s">
        <v>37</v>
      </c>
      <c r="L53" s="19" t="s">
        <v>38</v>
      </c>
      <c r="M53" s="19" t="s">
        <v>43</v>
      </c>
      <c r="N53" s="19" t="s">
        <v>44</v>
      </c>
      <c r="O53" s="19"/>
    </row>
    <row r="54" ht="56.25" customHeight="1">
      <c r="A54" s="23" t="s">
        <v>1695</v>
      </c>
      <c r="B54" s="15" t="str">
        <f>IMAGE("https://imgur.com/tCVC72s.png")</f>
        <v/>
      </c>
      <c r="C54" s="15" t="s">
        <v>28</v>
      </c>
      <c r="D54" s="25" t="s">
        <v>28</v>
      </c>
      <c r="E54" s="13">
        <v>2350.0</v>
      </c>
      <c r="F54" s="13">
        <v>587.0</v>
      </c>
      <c r="G54" s="19">
        <v>6851.0</v>
      </c>
      <c r="H54" s="19" t="s">
        <v>118</v>
      </c>
      <c r="I54" s="19" t="s">
        <v>118</v>
      </c>
      <c r="J54" s="19" t="s">
        <v>62</v>
      </c>
      <c r="K54" s="19"/>
      <c r="L54" s="19" t="s">
        <v>38</v>
      </c>
      <c r="M54" s="19" t="s">
        <v>43</v>
      </c>
      <c r="N54" s="19" t="s">
        <v>44</v>
      </c>
      <c r="O54" s="19"/>
    </row>
    <row r="55" ht="56.25" customHeight="1">
      <c r="A55" s="23" t="s">
        <v>1697</v>
      </c>
      <c r="B55" s="15" t="str">
        <f>IMAGE("https://i.imgur.com/yxkcfle.png")</f>
        <v/>
      </c>
      <c r="C55" s="25" t="s">
        <v>28</v>
      </c>
      <c r="D55" s="25" t="s">
        <v>50</v>
      </c>
      <c r="E55" s="24" t="s">
        <v>51</v>
      </c>
      <c r="F55" s="24">
        <v>4800.0</v>
      </c>
      <c r="G55" s="19"/>
      <c r="H55" s="19"/>
      <c r="I55" s="19"/>
      <c r="J55" s="19"/>
      <c r="K55" s="19"/>
      <c r="L55" s="19"/>
      <c r="M55" s="19"/>
      <c r="N55" s="19"/>
      <c r="O55" s="19"/>
    </row>
    <row r="56" ht="56.25" customHeight="1">
      <c r="A56" s="37" t="s">
        <v>1699</v>
      </c>
      <c r="B56" s="15" t="str">
        <f>IMAGE("https://imgur.com/APQVawO.png")</f>
        <v/>
      </c>
      <c r="C56" s="15" t="s">
        <v>28</v>
      </c>
      <c r="D56" s="25" t="s">
        <v>28</v>
      </c>
      <c r="E56" s="24" t="s">
        <v>51</v>
      </c>
      <c r="F56" s="13">
        <v>840.0</v>
      </c>
      <c r="G56" s="19">
        <v>4880.0</v>
      </c>
      <c r="H56" s="19" t="s">
        <v>82</v>
      </c>
      <c r="I56" s="19" t="s">
        <v>258</v>
      </c>
      <c r="J56" s="19" t="s">
        <v>36</v>
      </c>
      <c r="K56" s="19" t="s">
        <v>90</v>
      </c>
      <c r="L56" s="19" t="s">
        <v>38</v>
      </c>
      <c r="M56" s="19" t="s">
        <v>54</v>
      </c>
      <c r="N56" s="19" t="s">
        <v>264</v>
      </c>
      <c r="O56" s="19"/>
    </row>
    <row r="57" ht="56.25" customHeight="1">
      <c r="A57" s="23" t="s">
        <v>1700</v>
      </c>
      <c r="B57" s="15" t="str">
        <f>IMAGE("https://i.imgur.com/5Or2kPL.png")</f>
        <v/>
      </c>
      <c r="C57" s="15" t="s">
        <v>28</v>
      </c>
      <c r="D57" s="25" t="s">
        <v>50</v>
      </c>
      <c r="E57" s="24" t="s">
        <v>51</v>
      </c>
      <c r="F57" s="13">
        <v>1800.0</v>
      </c>
      <c r="G57" s="19">
        <v>4840.0</v>
      </c>
      <c r="H57" s="19" t="s">
        <v>1608</v>
      </c>
      <c r="I57" s="19" t="s">
        <v>1608</v>
      </c>
      <c r="J57" s="19" t="s">
        <v>60</v>
      </c>
      <c r="K57" s="19" t="s">
        <v>90</v>
      </c>
      <c r="L57" s="19" t="s">
        <v>38</v>
      </c>
      <c r="M57" s="19" t="s">
        <v>54</v>
      </c>
      <c r="N57" s="19" t="s">
        <v>55</v>
      </c>
      <c r="O57" s="19"/>
    </row>
    <row r="58" ht="56.25" customHeight="1">
      <c r="A58" s="23" t="s">
        <v>1702</v>
      </c>
      <c r="B58" s="15" t="str">
        <f>IMAGE("https://imgur.com/DFxNfyx.png")</f>
        <v/>
      </c>
      <c r="C58" s="15" t="s">
        <v>50</v>
      </c>
      <c r="D58" s="25" t="s">
        <v>28</v>
      </c>
      <c r="E58" s="24" t="s">
        <v>51</v>
      </c>
      <c r="F58" s="13">
        <v>750.0</v>
      </c>
      <c r="G58" s="19">
        <v>5483.0</v>
      </c>
      <c r="H58" s="19" t="s">
        <v>99</v>
      </c>
      <c r="I58" s="19" t="s">
        <v>82</v>
      </c>
      <c r="J58" s="19" t="s">
        <v>37</v>
      </c>
      <c r="K58" s="19" t="s">
        <v>62</v>
      </c>
      <c r="L58" s="19" t="s">
        <v>38</v>
      </c>
      <c r="M58" s="19" t="s">
        <v>54</v>
      </c>
      <c r="N58" s="19" t="s">
        <v>1609</v>
      </c>
      <c r="O58" s="19"/>
    </row>
    <row r="59" ht="56.25" customHeight="1">
      <c r="A59" s="23" t="s">
        <v>1703</v>
      </c>
      <c r="B59" s="15" t="str">
        <f>IMAGE("https://i.imgur.com/eO4aCCu.png")</f>
        <v/>
      </c>
      <c r="C59" s="15" t="s">
        <v>28</v>
      </c>
      <c r="D59" s="15" t="s">
        <v>28</v>
      </c>
      <c r="E59" s="13">
        <v>1150.0</v>
      </c>
      <c r="F59" s="13">
        <v>287.0</v>
      </c>
      <c r="G59" s="19">
        <v>4883.0</v>
      </c>
      <c r="H59" s="19" t="s">
        <v>99</v>
      </c>
      <c r="I59" s="19" t="s">
        <v>369</v>
      </c>
      <c r="J59" s="19" t="s">
        <v>212</v>
      </c>
      <c r="K59" s="19" t="s">
        <v>113</v>
      </c>
      <c r="L59" s="19" t="s">
        <v>38</v>
      </c>
      <c r="M59" s="19" t="s">
        <v>43</v>
      </c>
      <c r="N59" s="19" t="s">
        <v>44</v>
      </c>
      <c r="O59" s="19"/>
    </row>
    <row r="60" ht="56.25" customHeight="1">
      <c r="A60" s="23" t="s">
        <v>1705</v>
      </c>
      <c r="B60" s="15" t="str">
        <f>IMAGE("https://imgur.com/paLTTmN.png")</f>
        <v/>
      </c>
      <c r="C60" s="15" t="s">
        <v>50</v>
      </c>
      <c r="D60" s="15" t="s">
        <v>28</v>
      </c>
      <c r="E60" s="24" t="s">
        <v>51</v>
      </c>
      <c r="F60" s="13">
        <v>750.0</v>
      </c>
      <c r="G60" s="19">
        <v>5485.0</v>
      </c>
      <c r="H60" s="19" t="s">
        <v>94</v>
      </c>
      <c r="I60" s="19" t="s">
        <v>94</v>
      </c>
      <c r="J60" s="19" t="s">
        <v>95</v>
      </c>
      <c r="K60" s="19" t="s">
        <v>243</v>
      </c>
      <c r="L60" s="19" t="s">
        <v>38</v>
      </c>
      <c r="M60" s="19" t="s">
        <v>54</v>
      </c>
      <c r="N60" s="19" t="s">
        <v>1609</v>
      </c>
      <c r="O60" s="19"/>
    </row>
    <row r="61" ht="56.25" customHeight="1">
      <c r="A61" s="37" t="s">
        <v>1707</v>
      </c>
      <c r="B61" s="15" t="str">
        <f>image("https://i.imgur.com/dmImbHB.png")</f>
        <v/>
      </c>
      <c r="C61" s="25" t="s">
        <v>28</v>
      </c>
      <c r="D61" s="25" t="s">
        <v>28</v>
      </c>
      <c r="E61" s="24" t="s">
        <v>51</v>
      </c>
      <c r="F61" s="24">
        <v>750.0</v>
      </c>
      <c r="G61" s="19"/>
      <c r="H61" s="19"/>
      <c r="I61" s="19"/>
      <c r="J61" s="19"/>
      <c r="K61" s="19"/>
      <c r="L61" s="19"/>
      <c r="M61" s="19"/>
      <c r="N61" s="19"/>
      <c r="O61" s="19"/>
    </row>
    <row r="62" ht="56.25" customHeight="1">
      <c r="A62" s="23" t="s">
        <v>1709</v>
      </c>
      <c r="B62" s="15" t="str">
        <f>IMAGE("https://imgur.com/nUdq5Yn.png")</f>
        <v/>
      </c>
      <c r="C62" s="15" t="s">
        <v>28</v>
      </c>
      <c r="D62" s="25" t="s">
        <v>50</v>
      </c>
      <c r="E62" s="24" t="s">
        <v>51</v>
      </c>
      <c r="F62" s="13">
        <v>4000.0</v>
      </c>
      <c r="G62" s="19">
        <v>4919.0</v>
      </c>
      <c r="H62" s="19" t="s">
        <v>107</v>
      </c>
      <c r="I62" s="19" t="s">
        <v>208</v>
      </c>
      <c r="J62" s="19" t="s">
        <v>113</v>
      </c>
      <c r="K62" s="19" t="s">
        <v>36</v>
      </c>
      <c r="L62" s="19" t="s">
        <v>38</v>
      </c>
      <c r="M62" s="19" t="s">
        <v>54</v>
      </c>
      <c r="N62" s="19" t="s">
        <v>55</v>
      </c>
      <c r="O62" s="19"/>
    </row>
    <row r="63" ht="56.25" customHeight="1">
      <c r="A63" s="23" t="s">
        <v>1711</v>
      </c>
      <c r="B63" s="15" t="str">
        <f>IMAGE("https://imgur.com/gKSVXOK.png")</f>
        <v/>
      </c>
      <c r="C63" s="15" t="s">
        <v>50</v>
      </c>
      <c r="D63" s="25" t="s">
        <v>50</v>
      </c>
      <c r="E63" s="24" t="s">
        <v>51</v>
      </c>
      <c r="F63" s="13">
        <v>4600.0</v>
      </c>
      <c r="G63" s="19">
        <v>7205.0</v>
      </c>
      <c r="H63" s="19" t="s">
        <v>118</v>
      </c>
      <c r="I63" s="19" t="s">
        <v>107</v>
      </c>
      <c r="J63" s="19" t="s">
        <v>95</v>
      </c>
      <c r="K63" s="19"/>
      <c r="L63" s="19" t="s">
        <v>38</v>
      </c>
      <c r="M63" s="19" t="s">
        <v>54</v>
      </c>
      <c r="N63" s="19" t="s">
        <v>55</v>
      </c>
      <c r="O63" s="19" t="s">
        <v>282</v>
      </c>
    </row>
    <row r="64" ht="56.25" customHeight="1">
      <c r="A64" s="23" t="s">
        <v>1713</v>
      </c>
      <c r="B64" s="15" t="str">
        <f>IMAGE("https://imgur.com/VNJqtfC.png")</f>
        <v/>
      </c>
      <c r="C64" s="15" t="s">
        <v>28</v>
      </c>
      <c r="D64" s="15" t="s">
        <v>28</v>
      </c>
      <c r="E64" s="13">
        <v>1750.0</v>
      </c>
      <c r="F64" s="13">
        <v>437.0</v>
      </c>
      <c r="G64" s="19">
        <v>11176.0</v>
      </c>
      <c r="H64" s="19" t="s">
        <v>99</v>
      </c>
      <c r="I64" s="19" t="s">
        <v>99</v>
      </c>
      <c r="J64" s="19" t="s">
        <v>161</v>
      </c>
      <c r="K64" s="19" t="s">
        <v>37</v>
      </c>
      <c r="L64" s="19" t="s">
        <v>38</v>
      </c>
      <c r="M64" s="19" t="s">
        <v>43</v>
      </c>
      <c r="N64" s="19" t="s">
        <v>44</v>
      </c>
      <c r="O64" s="19"/>
    </row>
    <row r="65" ht="56.25" customHeight="1">
      <c r="A65" s="23" t="s">
        <v>1715</v>
      </c>
      <c r="B65" s="15" t="str">
        <f>IMAGE("https://i.imgur.com/bhuIrp0.png")</f>
        <v/>
      </c>
      <c r="C65" s="15" t="s">
        <v>28</v>
      </c>
      <c r="D65" s="25" t="s">
        <v>28</v>
      </c>
      <c r="E65" s="13">
        <v>1960.0</v>
      </c>
      <c r="F65" s="13">
        <v>490.0</v>
      </c>
      <c r="G65" s="19">
        <v>4828.0</v>
      </c>
      <c r="H65" s="19" t="s">
        <v>211</v>
      </c>
      <c r="I65" s="19" t="s">
        <v>1608</v>
      </c>
      <c r="J65" s="19" t="s">
        <v>62</v>
      </c>
      <c r="K65" s="19" t="s">
        <v>60</v>
      </c>
      <c r="L65" s="19" t="s">
        <v>38</v>
      </c>
      <c r="M65" s="19" t="s">
        <v>43</v>
      </c>
      <c r="N65" s="19" t="s">
        <v>44</v>
      </c>
      <c r="O65" s="19"/>
    </row>
    <row r="66" ht="56.25" customHeight="1">
      <c r="A66" s="23" t="s">
        <v>1717</v>
      </c>
      <c r="B66" s="15" t="str">
        <f>IMAGE("https://imgur.com/TjnNYdf.png")</f>
        <v/>
      </c>
      <c r="C66" s="15" t="s">
        <v>28</v>
      </c>
      <c r="D66" s="25" t="s">
        <v>28</v>
      </c>
      <c r="E66" s="13">
        <v>2000.0</v>
      </c>
      <c r="F66" s="13">
        <v>500.0</v>
      </c>
      <c r="G66" s="19">
        <v>4807.0</v>
      </c>
      <c r="H66" s="19" t="s">
        <v>118</v>
      </c>
      <c r="I66" s="19" t="s">
        <v>118</v>
      </c>
      <c r="J66" s="19" t="s">
        <v>90</v>
      </c>
      <c r="K66" s="19" t="s">
        <v>52</v>
      </c>
      <c r="L66" s="19" t="s">
        <v>38</v>
      </c>
      <c r="M66" s="19" t="s">
        <v>43</v>
      </c>
      <c r="N66" s="19" t="s">
        <v>44</v>
      </c>
      <c r="O66" s="19"/>
    </row>
    <row r="67" ht="56.25" customHeight="1">
      <c r="A67" s="23" t="s">
        <v>1718</v>
      </c>
      <c r="B67" s="15" t="str">
        <f>IMAGE("https://imgur.com/fwc3met.png")</f>
        <v/>
      </c>
      <c r="C67" s="15" t="s">
        <v>28</v>
      </c>
      <c r="D67" s="25" t="s">
        <v>50</v>
      </c>
      <c r="E67" s="24" t="s">
        <v>51</v>
      </c>
      <c r="F67" s="13">
        <v>1800.0</v>
      </c>
      <c r="G67" s="19">
        <v>4805.0</v>
      </c>
      <c r="H67" s="19" t="s">
        <v>118</v>
      </c>
      <c r="I67" s="19" t="s">
        <v>118</v>
      </c>
      <c r="J67" s="19" t="s">
        <v>60</v>
      </c>
      <c r="K67" s="19" t="s">
        <v>37</v>
      </c>
      <c r="L67" s="19" t="s">
        <v>38</v>
      </c>
      <c r="M67" s="19" t="s">
        <v>54</v>
      </c>
      <c r="N67" s="19" t="s">
        <v>55</v>
      </c>
      <c r="O67" s="19"/>
    </row>
    <row r="68" ht="56.25" customHeight="1">
      <c r="A68" s="23" t="s">
        <v>1720</v>
      </c>
      <c r="B68" s="15" t="str">
        <f>IMAGE("https://imgur.com/ZcKtvPY.png")</f>
        <v/>
      </c>
      <c r="C68" s="25" t="s">
        <v>28</v>
      </c>
      <c r="D68" s="15" t="s">
        <v>28</v>
      </c>
      <c r="E68" s="24" t="s">
        <v>51</v>
      </c>
      <c r="F68" s="13">
        <v>750.0</v>
      </c>
      <c r="G68" s="19">
        <v>4821.0</v>
      </c>
      <c r="H68" s="19" t="s">
        <v>369</v>
      </c>
      <c r="I68" s="19" t="s">
        <v>369</v>
      </c>
      <c r="J68" s="19" t="s">
        <v>90</v>
      </c>
      <c r="K68" s="19"/>
      <c r="L68" s="19" t="s">
        <v>38</v>
      </c>
      <c r="M68" s="19" t="s">
        <v>54</v>
      </c>
      <c r="N68" s="19" t="s">
        <v>1609</v>
      </c>
      <c r="O68" s="19"/>
    </row>
    <row r="69" ht="56.25" customHeight="1">
      <c r="A69" s="23" t="s">
        <v>1721</v>
      </c>
      <c r="B69" s="15" t="str">
        <f>IMAGE("https://imgur.com/2DhtID9.png")</f>
        <v/>
      </c>
      <c r="C69" s="15" t="s">
        <v>50</v>
      </c>
      <c r="D69" s="15" t="s">
        <v>28</v>
      </c>
      <c r="E69" s="24" t="s">
        <v>51</v>
      </c>
      <c r="F69" s="13">
        <v>750.0</v>
      </c>
      <c r="G69" s="19">
        <v>5400.0</v>
      </c>
      <c r="H69" s="19" t="s">
        <v>99</v>
      </c>
      <c r="I69" s="19" t="s">
        <v>99</v>
      </c>
      <c r="J69" s="19" t="s">
        <v>37</v>
      </c>
      <c r="K69" s="19" t="s">
        <v>62</v>
      </c>
      <c r="L69" s="19" t="s">
        <v>38</v>
      </c>
      <c r="M69" s="19" t="s">
        <v>54</v>
      </c>
      <c r="N69" s="19" t="s">
        <v>1609</v>
      </c>
      <c r="O69" s="19"/>
    </row>
    <row r="70" ht="56.25" customHeight="1">
      <c r="A70" s="23" t="s">
        <v>1723</v>
      </c>
      <c r="B70" s="15" t="str">
        <f>IMAGE("https://imgur.com/AN6KfoV.png")</f>
        <v/>
      </c>
      <c r="C70" s="15" t="s">
        <v>28</v>
      </c>
      <c r="D70" s="15" t="s">
        <v>50</v>
      </c>
      <c r="E70" s="24" t="s">
        <v>51</v>
      </c>
      <c r="F70" s="13">
        <v>1450.0</v>
      </c>
      <c r="G70" s="19">
        <v>4837.0</v>
      </c>
      <c r="H70" s="19" t="s">
        <v>99</v>
      </c>
      <c r="I70" s="19" t="s">
        <v>99</v>
      </c>
      <c r="J70" s="19" t="s">
        <v>136</v>
      </c>
      <c r="K70" s="19"/>
      <c r="L70" s="19" t="s">
        <v>38</v>
      </c>
      <c r="M70" s="19" t="s">
        <v>54</v>
      </c>
      <c r="N70" s="19" t="s">
        <v>55</v>
      </c>
      <c r="O70" s="19"/>
    </row>
    <row r="71" ht="56.25" customHeight="1">
      <c r="A71" s="23" t="s">
        <v>1725</v>
      </c>
      <c r="B71" s="15" t="str">
        <f>IMAGE("https://imgur.com/A0YVqVt.png")</f>
        <v/>
      </c>
      <c r="C71" s="15" t="s">
        <v>28</v>
      </c>
      <c r="D71" s="25" t="s">
        <v>28</v>
      </c>
      <c r="E71" s="13">
        <v>1540.0</v>
      </c>
      <c r="F71" s="13">
        <v>385.0</v>
      </c>
      <c r="G71" s="19">
        <v>4887.0</v>
      </c>
      <c r="H71" s="19" t="s">
        <v>258</v>
      </c>
      <c r="I71" s="19" t="s">
        <v>258</v>
      </c>
      <c r="J71" s="19" t="s">
        <v>36</v>
      </c>
      <c r="K71" s="19" t="s">
        <v>113</v>
      </c>
      <c r="L71" s="19" t="s">
        <v>38</v>
      </c>
      <c r="M71" s="19" t="s">
        <v>43</v>
      </c>
      <c r="N71" s="19" t="s">
        <v>44</v>
      </c>
      <c r="O71" s="19"/>
    </row>
    <row r="72" ht="56.25" customHeight="1">
      <c r="A72" s="23" t="s">
        <v>1727</v>
      </c>
      <c r="B72" s="15" t="str">
        <f>IMAGE("https://imgur.com/gViEOkt.png")</f>
        <v/>
      </c>
      <c r="C72" s="15" t="s">
        <v>28</v>
      </c>
      <c r="D72" s="25" t="s">
        <v>28</v>
      </c>
      <c r="E72" s="13">
        <v>1420.0</v>
      </c>
      <c r="F72" s="13">
        <v>355.0</v>
      </c>
      <c r="G72" s="19">
        <v>4931.0</v>
      </c>
      <c r="H72" s="19" t="s">
        <v>258</v>
      </c>
      <c r="I72" s="19" t="s">
        <v>258</v>
      </c>
      <c r="J72" s="19" t="s">
        <v>183</v>
      </c>
      <c r="K72" s="19" t="s">
        <v>90</v>
      </c>
      <c r="L72" s="19" t="s">
        <v>38</v>
      </c>
      <c r="M72" s="19" t="s">
        <v>43</v>
      </c>
      <c r="N72" s="19" t="s">
        <v>44</v>
      </c>
      <c r="O72" s="19"/>
    </row>
    <row r="73" ht="56.25" customHeight="1">
      <c r="A73" s="23" t="s">
        <v>1728</v>
      </c>
      <c r="B73" s="15" t="str">
        <f>IMAGE("https://imgur.com/wRukJiG.png")</f>
        <v/>
      </c>
      <c r="C73" s="15" t="s">
        <v>28</v>
      </c>
      <c r="D73" s="25" t="s">
        <v>28</v>
      </c>
      <c r="E73" s="13">
        <v>800.0</v>
      </c>
      <c r="F73" s="13">
        <v>200.0</v>
      </c>
      <c r="G73" s="19">
        <v>4795.0</v>
      </c>
      <c r="H73" s="19" t="s">
        <v>1608</v>
      </c>
      <c r="I73" s="19" t="s">
        <v>118</v>
      </c>
      <c r="J73" s="19" t="s">
        <v>60</v>
      </c>
      <c r="K73" s="19" t="s">
        <v>80</v>
      </c>
      <c r="L73" s="19" t="s">
        <v>38</v>
      </c>
      <c r="M73" s="19" t="s">
        <v>43</v>
      </c>
      <c r="N73" s="19" t="s">
        <v>44</v>
      </c>
      <c r="O73" s="19"/>
    </row>
    <row r="74" ht="56.25" customHeight="1">
      <c r="A74" s="23" t="s">
        <v>1730</v>
      </c>
      <c r="B74" s="15" t="str">
        <f>IMAGE("https://imgur.com/Vx0wDNj.png")</f>
        <v/>
      </c>
      <c r="C74" s="15" t="s">
        <v>28</v>
      </c>
      <c r="D74" s="15" t="s">
        <v>28</v>
      </c>
      <c r="E74" s="13">
        <v>940.0</v>
      </c>
      <c r="F74" s="13">
        <v>235.0</v>
      </c>
      <c r="G74" s="19">
        <v>4890.0</v>
      </c>
      <c r="H74" s="19" t="s">
        <v>94</v>
      </c>
      <c r="I74" s="19" t="s">
        <v>94</v>
      </c>
      <c r="J74" s="19" t="s">
        <v>243</v>
      </c>
      <c r="K74" s="19" t="s">
        <v>90</v>
      </c>
      <c r="L74" s="19" t="s">
        <v>38</v>
      </c>
      <c r="M74" s="19" t="s">
        <v>43</v>
      </c>
      <c r="N74" s="19" t="s">
        <v>44</v>
      </c>
      <c r="O74" s="19"/>
    </row>
    <row r="75" ht="56.25" customHeight="1">
      <c r="A75" s="23" t="s">
        <v>1731</v>
      </c>
      <c r="B75" s="15" t="str">
        <f>IMAGE("https://imgur.com/28Vm5My.png")</f>
        <v/>
      </c>
      <c r="C75" s="15" t="s">
        <v>28</v>
      </c>
      <c r="D75" s="25" t="s">
        <v>28</v>
      </c>
      <c r="E75" s="24" t="s">
        <v>51</v>
      </c>
      <c r="F75" s="13">
        <v>750.0</v>
      </c>
      <c r="G75" s="19">
        <v>4843.0</v>
      </c>
      <c r="H75" s="19" t="s">
        <v>112</v>
      </c>
      <c r="I75" s="19" t="s">
        <v>112</v>
      </c>
      <c r="J75" s="19" t="s">
        <v>243</v>
      </c>
      <c r="K75" s="19" t="s">
        <v>90</v>
      </c>
      <c r="L75" s="19" t="s">
        <v>38</v>
      </c>
      <c r="M75" s="19" t="s">
        <v>54</v>
      </c>
      <c r="N75" s="19" t="s">
        <v>1609</v>
      </c>
      <c r="O75" s="19"/>
    </row>
    <row r="76" ht="56.25" customHeight="1">
      <c r="A76" s="23" t="s">
        <v>1733</v>
      </c>
      <c r="B76" s="15" t="str">
        <f>IMAGE("https://imgur.com/aJpyFvl.png")</f>
        <v/>
      </c>
      <c r="C76" s="15" t="s">
        <v>28</v>
      </c>
      <c r="D76" s="15" t="s">
        <v>28</v>
      </c>
      <c r="E76" s="13">
        <v>1550.0</v>
      </c>
      <c r="F76" s="13">
        <v>387.0</v>
      </c>
      <c r="G76" s="19">
        <v>4841.0</v>
      </c>
      <c r="H76" s="19" t="s">
        <v>82</v>
      </c>
      <c r="I76" s="19" t="s">
        <v>258</v>
      </c>
      <c r="J76" s="19" t="s">
        <v>161</v>
      </c>
      <c r="K76" s="19"/>
      <c r="L76" s="19" t="s">
        <v>38</v>
      </c>
      <c r="M76" s="19" t="s">
        <v>43</v>
      </c>
      <c r="N76" s="19" t="s">
        <v>44</v>
      </c>
      <c r="O76" s="19"/>
    </row>
    <row r="77" ht="56.25" customHeight="1">
      <c r="A77" s="23" t="s">
        <v>1734</v>
      </c>
      <c r="B77" s="15" t="str">
        <f>IMAGE("https://imgur.com/oGdEjt3.png")</f>
        <v/>
      </c>
      <c r="C77" s="15" t="s">
        <v>28</v>
      </c>
      <c r="D77" s="15" t="s">
        <v>28</v>
      </c>
      <c r="E77" s="13">
        <v>1880.0</v>
      </c>
      <c r="F77" s="13">
        <v>470.0</v>
      </c>
      <c r="G77" s="19">
        <v>7217.0</v>
      </c>
      <c r="H77" s="19" t="s">
        <v>112</v>
      </c>
      <c r="I77" s="19" t="s">
        <v>82</v>
      </c>
      <c r="J77" s="19" t="s">
        <v>36</v>
      </c>
      <c r="K77" s="19" t="s">
        <v>113</v>
      </c>
      <c r="L77" s="19" t="s">
        <v>38</v>
      </c>
      <c r="M77" s="19" t="s">
        <v>43</v>
      </c>
      <c r="N77" s="19" t="s">
        <v>44</v>
      </c>
      <c r="O77" s="19"/>
    </row>
    <row r="78" ht="56.25" customHeight="1">
      <c r="A78" s="37" t="s">
        <v>1736</v>
      </c>
      <c r="B78" s="15" t="str">
        <f>IMAGE("https://imgur.com/CNaCq05.png")</f>
        <v/>
      </c>
      <c r="C78" s="15" t="s">
        <v>28</v>
      </c>
      <c r="D78" s="15" t="s">
        <v>28</v>
      </c>
      <c r="E78" s="13">
        <v>1880.0</v>
      </c>
      <c r="F78" s="13">
        <v>470.0</v>
      </c>
      <c r="G78" s="19">
        <v>7216.0</v>
      </c>
      <c r="H78" s="19" t="s">
        <v>208</v>
      </c>
      <c r="I78" s="19" t="s">
        <v>82</v>
      </c>
      <c r="J78" s="19" t="s">
        <v>36</v>
      </c>
      <c r="K78" s="19" t="s">
        <v>113</v>
      </c>
      <c r="L78" s="19" t="s">
        <v>38</v>
      </c>
      <c r="M78" s="19" t="s">
        <v>43</v>
      </c>
      <c r="N78" s="19" t="s">
        <v>44</v>
      </c>
      <c r="O78" s="19"/>
    </row>
    <row r="79" ht="56.25" customHeight="1">
      <c r="A79" s="23" t="s">
        <v>1737</v>
      </c>
      <c r="B79" s="15" t="str">
        <f>IMAGE("https://imgur.com/lQVT0aC.png")</f>
        <v/>
      </c>
      <c r="C79" s="15" t="s">
        <v>28</v>
      </c>
      <c r="D79" s="15" t="s">
        <v>28</v>
      </c>
      <c r="E79" s="13">
        <v>1880.0</v>
      </c>
      <c r="F79" s="13">
        <v>470.0</v>
      </c>
      <c r="G79" s="19">
        <v>7215.0</v>
      </c>
      <c r="H79" s="19" t="s">
        <v>82</v>
      </c>
      <c r="I79" s="19" t="s">
        <v>82</v>
      </c>
      <c r="J79" s="19" t="s">
        <v>36</v>
      </c>
      <c r="K79" s="19" t="s">
        <v>113</v>
      </c>
      <c r="L79" s="19" t="s">
        <v>38</v>
      </c>
      <c r="M79" s="19" t="s">
        <v>43</v>
      </c>
      <c r="N79" s="19" t="s">
        <v>44</v>
      </c>
      <c r="O79" s="19"/>
    </row>
    <row r="80" ht="56.25" customHeight="1">
      <c r="A80" s="23" t="s">
        <v>1738</v>
      </c>
      <c r="B80" s="15" t="str">
        <f>IMAGE("https://imgur.com/Cik8ew3.png")</f>
        <v/>
      </c>
      <c r="C80" s="15" t="s">
        <v>28</v>
      </c>
      <c r="D80" s="25" t="s">
        <v>28</v>
      </c>
      <c r="E80" s="13">
        <v>1880.0</v>
      </c>
      <c r="F80" s="13">
        <v>470.0</v>
      </c>
      <c r="G80" s="19">
        <v>7218.0</v>
      </c>
      <c r="H80" s="19" t="s">
        <v>211</v>
      </c>
      <c r="I80" s="19" t="s">
        <v>82</v>
      </c>
      <c r="J80" s="19" t="s">
        <v>36</v>
      </c>
      <c r="K80" s="19" t="s">
        <v>113</v>
      </c>
      <c r="L80" s="19" t="s">
        <v>38</v>
      </c>
      <c r="M80" s="19" t="s">
        <v>43</v>
      </c>
      <c r="N80" s="19" t="s">
        <v>44</v>
      </c>
      <c r="O80" s="19"/>
    </row>
    <row r="81" ht="56.25" customHeight="1">
      <c r="A81" s="37" t="s">
        <v>1740</v>
      </c>
      <c r="B81" s="15" t="str">
        <f>IMAGE("https://i.imgur.com/A89Wkoz.png")</f>
        <v/>
      </c>
      <c r="C81" s="15" t="s">
        <v>28</v>
      </c>
      <c r="D81" s="25" t="s">
        <v>50</v>
      </c>
      <c r="E81" s="24" t="s">
        <v>51</v>
      </c>
      <c r="F81" s="13">
        <v>1800.0</v>
      </c>
      <c r="G81" s="19">
        <v>4860.0</v>
      </c>
      <c r="H81" s="19" t="s">
        <v>99</v>
      </c>
      <c r="I81" s="19" t="s">
        <v>99</v>
      </c>
      <c r="J81" s="19" t="s">
        <v>60</v>
      </c>
      <c r="K81" s="19" t="s">
        <v>37</v>
      </c>
      <c r="L81" s="19" t="s">
        <v>38</v>
      </c>
      <c r="M81" s="19" t="s">
        <v>54</v>
      </c>
      <c r="N81" s="19" t="s">
        <v>55</v>
      </c>
      <c r="O81" s="19"/>
    </row>
    <row r="82" ht="56.25" customHeight="1">
      <c r="A82" s="23" t="s">
        <v>1741</v>
      </c>
      <c r="B82" s="15" t="str">
        <f>IMAGE("https://imgur.com/c4gG4NC.png")</f>
        <v/>
      </c>
      <c r="C82" s="15" t="s">
        <v>28</v>
      </c>
      <c r="D82" s="15" t="s">
        <v>28</v>
      </c>
      <c r="E82" s="24" t="s">
        <v>51</v>
      </c>
      <c r="F82" s="13">
        <v>750.0</v>
      </c>
      <c r="G82" s="19">
        <v>4932.0</v>
      </c>
      <c r="H82" s="19" t="s">
        <v>118</v>
      </c>
      <c r="I82" s="19" t="s">
        <v>118</v>
      </c>
      <c r="J82" s="19" t="s">
        <v>36</v>
      </c>
      <c r="K82" s="19"/>
      <c r="L82" s="19" t="s">
        <v>38</v>
      </c>
      <c r="M82" s="19" t="s">
        <v>54</v>
      </c>
      <c r="N82" s="19" t="s">
        <v>1609</v>
      </c>
      <c r="O82" s="19"/>
    </row>
    <row r="83" ht="56.25" customHeight="1">
      <c r="A83" s="23" t="s">
        <v>1743</v>
      </c>
      <c r="B83" s="15" t="str">
        <f>IMAGE("https://imgur.com/MqDBdWy.png")</f>
        <v/>
      </c>
      <c r="C83" s="15" t="s">
        <v>50</v>
      </c>
      <c r="D83" s="25" t="s">
        <v>28</v>
      </c>
      <c r="E83" s="24" t="s">
        <v>51</v>
      </c>
      <c r="F83" s="13">
        <v>750.0</v>
      </c>
      <c r="G83" s="19">
        <v>5488.0</v>
      </c>
      <c r="H83" s="19" t="s">
        <v>1608</v>
      </c>
      <c r="I83" s="19" t="s">
        <v>94</v>
      </c>
      <c r="J83" s="19" t="s">
        <v>284</v>
      </c>
      <c r="K83" s="19"/>
      <c r="L83" s="19" t="s">
        <v>38</v>
      </c>
      <c r="M83" s="19" t="s">
        <v>54</v>
      </c>
      <c r="N83" s="19" t="s">
        <v>1609</v>
      </c>
      <c r="O83" s="19"/>
    </row>
    <row r="84" ht="56.25" customHeight="1">
      <c r="A84" s="23" t="s">
        <v>1745</v>
      </c>
      <c r="B84" s="15" t="str">
        <f>IMAGE("https://imgur.com/Ln3C4tA.png")</f>
        <v/>
      </c>
      <c r="C84" s="15" t="s">
        <v>28</v>
      </c>
      <c r="D84" s="25" t="s">
        <v>28</v>
      </c>
      <c r="E84" s="24" t="s">
        <v>51</v>
      </c>
      <c r="F84" s="13">
        <v>750.0</v>
      </c>
      <c r="G84" s="19">
        <v>5222.0</v>
      </c>
      <c r="H84" s="19" t="s">
        <v>118</v>
      </c>
      <c r="I84" s="19" t="s">
        <v>1608</v>
      </c>
      <c r="J84" s="19" t="s">
        <v>95</v>
      </c>
      <c r="K84" s="19" t="s">
        <v>346</v>
      </c>
      <c r="L84" s="19" t="s">
        <v>38</v>
      </c>
      <c r="M84" s="19" t="s">
        <v>54</v>
      </c>
      <c r="N84" s="19" t="s">
        <v>1609</v>
      </c>
      <c r="O84" s="19"/>
    </row>
    <row r="85" ht="56.25" customHeight="1">
      <c r="A85" s="23" t="s">
        <v>1746</v>
      </c>
      <c r="B85" s="15" t="str">
        <f>IMAGE("https://imgur.com/a5rT9Bj.png")</f>
        <v/>
      </c>
      <c r="C85" s="15" t="s">
        <v>28</v>
      </c>
      <c r="D85" s="25" t="s">
        <v>28</v>
      </c>
      <c r="E85" s="13">
        <v>200.0</v>
      </c>
      <c r="F85" s="13">
        <v>50.0</v>
      </c>
      <c r="G85" s="19">
        <v>4856.0</v>
      </c>
      <c r="H85" s="19" t="s">
        <v>1608</v>
      </c>
      <c r="I85" s="19" t="s">
        <v>118</v>
      </c>
      <c r="J85" s="19" t="s">
        <v>346</v>
      </c>
      <c r="K85" s="19"/>
      <c r="L85" s="19" t="s">
        <v>38</v>
      </c>
      <c r="M85" s="19" t="s">
        <v>43</v>
      </c>
      <c r="N85" s="19" t="s">
        <v>44</v>
      </c>
      <c r="O85" s="19"/>
    </row>
    <row r="86" ht="56.25" customHeight="1">
      <c r="A86" s="23" t="s">
        <v>1749</v>
      </c>
      <c r="B86" s="15" t="str">
        <f>IMAGE("https://imgur.com/SiffDIR.png")</f>
        <v/>
      </c>
      <c r="C86" s="15" t="s">
        <v>28</v>
      </c>
      <c r="D86" s="25" t="s">
        <v>28</v>
      </c>
      <c r="E86" s="24" t="s">
        <v>51</v>
      </c>
      <c r="F86" s="13">
        <v>750.0</v>
      </c>
      <c r="G86" s="19">
        <v>5227.0</v>
      </c>
      <c r="H86" s="19" t="s">
        <v>211</v>
      </c>
      <c r="I86" s="19" t="s">
        <v>1608</v>
      </c>
      <c r="J86" s="19" t="s">
        <v>156</v>
      </c>
      <c r="K86" s="19" t="s">
        <v>161</v>
      </c>
      <c r="L86" s="19" t="s">
        <v>38</v>
      </c>
      <c r="M86" s="19" t="s">
        <v>54</v>
      </c>
      <c r="N86" s="19" t="s">
        <v>1609</v>
      </c>
      <c r="O86" s="19"/>
    </row>
    <row r="87" ht="56.25" customHeight="1">
      <c r="A87" s="23" t="s">
        <v>1751</v>
      </c>
      <c r="B87" s="15" t="str">
        <f>IMAGE("https://imgur.com/D00aNRH.png")</f>
        <v/>
      </c>
      <c r="C87" s="15" t="s">
        <v>50</v>
      </c>
      <c r="D87" s="15" t="s">
        <v>28</v>
      </c>
      <c r="E87" s="24" t="s">
        <v>51</v>
      </c>
      <c r="F87" s="13">
        <v>750.0</v>
      </c>
      <c r="G87" s="19">
        <v>5509.0</v>
      </c>
      <c r="H87" s="19" t="s">
        <v>99</v>
      </c>
      <c r="I87" s="19" t="s">
        <v>94</v>
      </c>
      <c r="J87" s="19" t="s">
        <v>346</v>
      </c>
      <c r="K87" s="19"/>
      <c r="L87" s="19" t="s">
        <v>38</v>
      </c>
      <c r="M87" s="19" t="s">
        <v>54</v>
      </c>
      <c r="N87" s="19" t="s">
        <v>1609</v>
      </c>
      <c r="O87" s="19"/>
    </row>
    <row r="88" ht="56.25" customHeight="1">
      <c r="A88" s="23" t="s">
        <v>1753</v>
      </c>
      <c r="B88" s="15" t="str">
        <f>IMAGE("https://imgur.com/Ni3dwsW.png")</f>
        <v/>
      </c>
      <c r="C88" s="15" t="s">
        <v>28</v>
      </c>
      <c r="D88" s="25" t="s">
        <v>28</v>
      </c>
      <c r="E88" s="24" t="s">
        <v>51</v>
      </c>
      <c r="F88" s="13">
        <v>750.0</v>
      </c>
      <c r="G88" s="19">
        <v>4866.0</v>
      </c>
      <c r="H88" s="19" t="s">
        <v>118</v>
      </c>
      <c r="I88" s="19" t="s">
        <v>82</v>
      </c>
      <c r="J88" s="19" t="s">
        <v>161</v>
      </c>
      <c r="K88" s="19" t="s">
        <v>37</v>
      </c>
      <c r="L88" s="19" t="s">
        <v>38</v>
      </c>
      <c r="M88" s="19" t="s">
        <v>54</v>
      </c>
      <c r="N88" s="19" t="s">
        <v>1609</v>
      </c>
      <c r="O88" s="19"/>
    </row>
    <row r="89" ht="56.25" customHeight="1">
      <c r="A89" s="23" t="s">
        <v>1754</v>
      </c>
      <c r="B89" s="15" t="str">
        <f>IMAGE("https://imgur.com/EeR7NAm.png")</f>
        <v/>
      </c>
      <c r="C89" s="15" t="s">
        <v>28</v>
      </c>
      <c r="D89" s="25" t="s">
        <v>50</v>
      </c>
      <c r="E89" s="24" t="s">
        <v>51</v>
      </c>
      <c r="F89" s="13">
        <v>44000.0</v>
      </c>
      <c r="G89" s="19">
        <v>7187.0</v>
      </c>
      <c r="H89" s="19" t="s">
        <v>99</v>
      </c>
      <c r="I89" s="19" t="s">
        <v>99</v>
      </c>
      <c r="J89" s="19" t="s">
        <v>95</v>
      </c>
      <c r="K89" s="19"/>
      <c r="L89" s="19" t="s">
        <v>38</v>
      </c>
      <c r="M89" s="19" t="s">
        <v>54</v>
      </c>
      <c r="N89" s="19" t="s">
        <v>55</v>
      </c>
      <c r="O89" s="19" t="s">
        <v>1544</v>
      </c>
    </row>
    <row r="90" ht="56.25" customHeight="1">
      <c r="A90" s="23" t="s">
        <v>1756</v>
      </c>
      <c r="B90" s="15" t="str">
        <f>IMAGE("https://imgur.com/Wpz7caA.png")</f>
        <v/>
      </c>
      <c r="C90" s="15" t="s">
        <v>50</v>
      </c>
      <c r="D90" s="25" t="s">
        <v>28</v>
      </c>
      <c r="E90" s="24" t="s">
        <v>51</v>
      </c>
      <c r="F90" s="13">
        <v>750.0</v>
      </c>
      <c r="G90" s="19">
        <v>5494.0</v>
      </c>
      <c r="H90" s="19" t="s">
        <v>99</v>
      </c>
      <c r="I90" s="19" t="s">
        <v>99</v>
      </c>
      <c r="J90" s="19" t="s">
        <v>346</v>
      </c>
      <c r="K90" s="19" t="s">
        <v>284</v>
      </c>
      <c r="L90" s="19" t="s">
        <v>38</v>
      </c>
      <c r="M90" s="19" t="s">
        <v>54</v>
      </c>
      <c r="N90" s="19" t="s">
        <v>1609</v>
      </c>
      <c r="O90" s="19"/>
    </row>
    <row r="91" ht="56.25" customHeight="1">
      <c r="A91" s="23" t="s">
        <v>1758</v>
      </c>
      <c r="B91" s="15" t="str">
        <f>IMAGE("https://imgur.com/mwTA30p.png")</f>
        <v/>
      </c>
      <c r="C91" s="15" t="s">
        <v>28</v>
      </c>
      <c r="D91" s="15" t="s">
        <v>50</v>
      </c>
      <c r="E91" s="24" t="s">
        <v>51</v>
      </c>
      <c r="F91" s="13">
        <v>120.0</v>
      </c>
      <c r="G91" s="19">
        <v>5229.0</v>
      </c>
      <c r="H91" s="19" t="s">
        <v>1614</v>
      </c>
      <c r="I91" s="19" t="s">
        <v>94</v>
      </c>
      <c r="J91" s="19" t="s">
        <v>243</v>
      </c>
      <c r="K91" s="19" t="s">
        <v>346</v>
      </c>
      <c r="L91" s="19" t="s">
        <v>38</v>
      </c>
      <c r="M91" s="19" t="s">
        <v>54</v>
      </c>
      <c r="N91" s="19" t="s">
        <v>55</v>
      </c>
      <c r="O91" s="19"/>
    </row>
    <row r="92" ht="56.25" customHeight="1">
      <c r="A92" s="23" t="s">
        <v>1759</v>
      </c>
      <c r="B92" s="15" t="str">
        <f>IMAGE("https://imgur.com/ti1XFQ6.png")</f>
        <v/>
      </c>
      <c r="C92" s="15" t="s">
        <v>28</v>
      </c>
      <c r="D92" s="25" t="s">
        <v>50</v>
      </c>
      <c r="E92" s="24" t="s">
        <v>51</v>
      </c>
      <c r="F92" s="13">
        <v>20750.0</v>
      </c>
      <c r="G92" s="19">
        <v>4820.0</v>
      </c>
      <c r="H92" s="19" t="s">
        <v>211</v>
      </c>
      <c r="I92" s="19" t="s">
        <v>211</v>
      </c>
      <c r="J92" s="19" t="s">
        <v>161</v>
      </c>
      <c r="K92" s="19" t="s">
        <v>62</v>
      </c>
      <c r="L92" s="19" t="s">
        <v>38</v>
      </c>
      <c r="M92" s="19" t="s">
        <v>54</v>
      </c>
      <c r="N92" s="19" t="s">
        <v>55</v>
      </c>
      <c r="O92" s="19"/>
    </row>
    <row r="93" ht="56.25" customHeight="1">
      <c r="A93" s="23" t="s">
        <v>1761</v>
      </c>
      <c r="B93" s="15" t="str">
        <f>IMAGE("https://imgur.com/N69V4k0.png")</f>
        <v/>
      </c>
      <c r="C93" s="15" t="s">
        <v>28</v>
      </c>
      <c r="D93" s="25" t="s">
        <v>50</v>
      </c>
      <c r="E93" s="24" t="s">
        <v>51</v>
      </c>
      <c r="F93" s="13">
        <v>40000.0</v>
      </c>
      <c r="G93" s="19">
        <v>4894.0</v>
      </c>
      <c r="H93" s="19" t="s">
        <v>211</v>
      </c>
      <c r="I93" s="19" t="s">
        <v>118</v>
      </c>
      <c r="J93" s="19" t="s">
        <v>62</v>
      </c>
      <c r="K93" s="19" t="s">
        <v>346</v>
      </c>
      <c r="L93" s="19" t="s">
        <v>38</v>
      </c>
      <c r="M93" s="19" t="s">
        <v>54</v>
      </c>
      <c r="N93" s="19" t="s">
        <v>55</v>
      </c>
      <c r="O93" s="19"/>
    </row>
    <row r="94" ht="56.25" customHeight="1">
      <c r="A94" s="23" t="s">
        <v>1762</v>
      </c>
      <c r="B94" s="15" t="str">
        <f>IMAGE("https://imgur.com/aM7SdTt.png")</f>
        <v/>
      </c>
      <c r="C94" s="15" t="s">
        <v>28</v>
      </c>
      <c r="D94" s="15" t="s">
        <v>28</v>
      </c>
      <c r="E94" s="13">
        <v>2420.0</v>
      </c>
      <c r="F94" s="13">
        <v>605.0</v>
      </c>
      <c r="G94" s="19">
        <v>7243.0</v>
      </c>
      <c r="H94" s="19" t="s">
        <v>82</v>
      </c>
      <c r="I94" s="19" t="s">
        <v>258</v>
      </c>
      <c r="J94" s="19" t="s">
        <v>36</v>
      </c>
      <c r="K94" s="19" t="s">
        <v>37</v>
      </c>
      <c r="L94" s="19" t="s">
        <v>38</v>
      </c>
      <c r="M94" s="19" t="s">
        <v>43</v>
      </c>
      <c r="N94" s="19" t="s">
        <v>44</v>
      </c>
      <c r="O94" s="19"/>
    </row>
    <row r="95" ht="56.25" customHeight="1">
      <c r="A95" s="23" t="s">
        <v>1764</v>
      </c>
      <c r="B95" s="15" t="str">
        <f>IMAGE("https://imgur.com/sDvtTMq.png")</f>
        <v/>
      </c>
      <c r="C95" s="15" t="s">
        <v>28</v>
      </c>
      <c r="D95" s="15" t="s">
        <v>28</v>
      </c>
      <c r="E95" s="13">
        <v>1980.0</v>
      </c>
      <c r="F95" s="13">
        <v>495.0</v>
      </c>
      <c r="G95" s="19">
        <v>4872.0</v>
      </c>
      <c r="H95" s="19" t="s">
        <v>94</v>
      </c>
      <c r="I95" s="19" t="s">
        <v>94</v>
      </c>
      <c r="J95" s="19" t="s">
        <v>62</v>
      </c>
      <c r="K95" s="19" t="s">
        <v>37</v>
      </c>
      <c r="L95" s="19" t="s">
        <v>38</v>
      </c>
      <c r="M95" s="19" t="s">
        <v>43</v>
      </c>
      <c r="N95" s="19" t="s">
        <v>44</v>
      </c>
      <c r="O95" s="19"/>
    </row>
    <row r="96" ht="56.25" customHeight="1">
      <c r="A96" s="23" t="s">
        <v>1766</v>
      </c>
      <c r="B96" s="15" t="str">
        <f>IMAGE("https://imgur.com/RNz4zm7.png")</f>
        <v/>
      </c>
      <c r="C96" s="15" t="s">
        <v>28</v>
      </c>
      <c r="D96" s="15" t="s">
        <v>28</v>
      </c>
      <c r="E96" s="13">
        <v>620.0</v>
      </c>
      <c r="F96" s="13">
        <v>155.0</v>
      </c>
      <c r="G96" s="19">
        <v>4923.0</v>
      </c>
      <c r="H96" s="19" t="s">
        <v>94</v>
      </c>
      <c r="I96" s="19" t="s">
        <v>94</v>
      </c>
      <c r="J96" s="19" t="s">
        <v>243</v>
      </c>
      <c r="K96" s="19"/>
      <c r="L96" s="19" t="s">
        <v>38</v>
      </c>
      <c r="M96" s="19" t="s">
        <v>43</v>
      </c>
      <c r="N96" s="19" t="s">
        <v>44</v>
      </c>
      <c r="O96" s="19"/>
    </row>
    <row r="97" ht="56.25" customHeight="1">
      <c r="A97" s="23" t="s">
        <v>1767</v>
      </c>
      <c r="B97" s="15" t="str">
        <f>IMAGE("https://imgur.com/TMcFFKz.png")</f>
        <v/>
      </c>
      <c r="C97" s="15" t="s">
        <v>28</v>
      </c>
      <c r="D97" s="25" t="s">
        <v>28</v>
      </c>
      <c r="E97" s="13">
        <v>1520.0</v>
      </c>
      <c r="F97" s="13">
        <v>380.0</v>
      </c>
      <c r="G97" s="19">
        <v>4944.0</v>
      </c>
      <c r="H97" s="19" t="s">
        <v>94</v>
      </c>
      <c r="I97" s="19" t="s">
        <v>82</v>
      </c>
      <c r="J97" s="19" t="s">
        <v>36</v>
      </c>
      <c r="K97" s="19" t="s">
        <v>113</v>
      </c>
      <c r="L97" s="19" t="s">
        <v>38</v>
      </c>
      <c r="M97" s="19" t="s">
        <v>43</v>
      </c>
      <c r="N97" s="19" t="s">
        <v>44</v>
      </c>
      <c r="O97" s="19"/>
    </row>
    <row r="98" ht="56.25" customHeight="1">
      <c r="A98" s="23" t="s">
        <v>1769</v>
      </c>
      <c r="B98" s="15" t="str">
        <f>IMAGE("https://imgur.com/50AKZcN.png")</f>
        <v/>
      </c>
      <c r="C98" s="15" t="s">
        <v>28</v>
      </c>
      <c r="D98" s="15" t="s">
        <v>28</v>
      </c>
      <c r="E98" s="13">
        <v>1760.0</v>
      </c>
      <c r="F98" s="13">
        <v>440.0</v>
      </c>
      <c r="G98" s="19">
        <v>4903.0</v>
      </c>
      <c r="H98" s="19" t="s">
        <v>369</v>
      </c>
      <c r="I98" s="19" t="s">
        <v>118</v>
      </c>
      <c r="J98" s="19" t="s">
        <v>36</v>
      </c>
      <c r="K98" s="19" t="s">
        <v>60</v>
      </c>
      <c r="L98" s="19" t="s">
        <v>38</v>
      </c>
      <c r="M98" s="19" t="s">
        <v>43</v>
      </c>
      <c r="N98" s="19" t="s">
        <v>44</v>
      </c>
      <c r="O98" s="19"/>
    </row>
    <row r="99" ht="56.25" customHeight="1">
      <c r="A99" s="23" t="s">
        <v>1771</v>
      </c>
      <c r="B99" s="15" t="str">
        <f>IMAGE("http://imgur.com/L2LRDkW.png")</f>
        <v/>
      </c>
      <c r="C99" s="15" t="s">
        <v>28</v>
      </c>
      <c r="D99" s="15" t="s">
        <v>28</v>
      </c>
      <c r="E99" s="13">
        <v>1900.0</v>
      </c>
      <c r="F99" s="13">
        <v>475.0</v>
      </c>
      <c r="G99" s="19">
        <v>4898.0</v>
      </c>
      <c r="H99" s="19" t="s">
        <v>369</v>
      </c>
      <c r="I99" s="19" t="s">
        <v>99</v>
      </c>
      <c r="J99" s="19" t="s">
        <v>62</v>
      </c>
      <c r="K99" s="19" t="s">
        <v>60</v>
      </c>
      <c r="L99" s="19" t="s">
        <v>38</v>
      </c>
      <c r="M99" s="19" t="s">
        <v>43</v>
      </c>
      <c r="N99" s="19" t="s">
        <v>44</v>
      </c>
      <c r="O99" s="19"/>
    </row>
    <row r="100" ht="56.25" customHeight="1">
      <c r="A100" s="23" t="s">
        <v>1772</v>
      </c>
      <c r="B100" s="15" t="str">
        <f>IMAGE("http://imgur.com/tVQlplk.png")</f>
        <v/>
      </c>
      <c r="C100" s="15" t="s">
        <v>28</v>
      </c>
      <c r="D100" s="15" t="s">
        <v>28</v>
      </c>
      <c r="E100" s="13">
        <v>1780.0</v>
      </c>
      <c r="F100" s="13">
        <v>445.0</v>
      </c>
      <c r="G100" s="19">
        <v>4935.0</v>
      </c>
      <c r="H100" s="19" t="s">
        <v>369</v>
      </c>
      <c r="I100" s="19" t="s">
        <v>1608</v>
      </c>
      <c r="J100" s="19" t="s">
        <v>36</v>
      </c>
      <c r="K100" s="19" t="s">
        <v>60</v>
      </c>
      <c r="L100" s="19" t="s">
        <v>38</v>
      </c>
      <c r="M100" s="19" t="s">
        <v>43</v>
      </c>
      <c r="N100" s="19" t="s">
        <v>44</v>
      </c>
      <c r="O100" s="19"/>
    </row>
    <row r="101" ht="56.25" customHeight="1">
      <c r="A101" s="23" t="s">
        <v>1774</v>
      </c>
      <c r="B101" s="15" t="str">
        <f>IMAGE("https://imgur.com/Lay50RR.png")</f>
        <v/>
      </c>
      <c r="C101" s="15" t="s">
        <v>28</v>
      </c>
      <c r="D101" s="25" t="s">
        <v>28</v>
      </c>
      <c r="E101" s="13">
        <v>1680.0</v>
      </c>
      <c r="F101" s="13">
        <v>420.0</v>
      </c>
      <c r="G101" s="19">
        <v>4913.0</v>
      </c>
      <c r="H101" s="19" t="s">
        <v>369</v>
      </c>
      <c r="I101" s="19" t="s">
        <v>369</v>
      </c>
      <c r="J101" s="19" t="s">
        <v>183</v>
      </c>
      <c r="K101" s="19" t="s">
        <v>90</v>
      </c>
      <c r="L101" s="19" t="s">
        <v>38</v>
      </c>
      <c r="M101" s="19" t="s">
        <v>43</v>
      </c>
      <c r="N101" s="19" t="s">
        <v>44</v>
      </c>
      <c r="O101" s="19"/>
    </row>
    <row r="102" ht="56.25" customHeight="1">
      <c r="A102" s="23" t="s">
        <v>1776</v>
      </c>
      <c r="B102" s="15" t="str">
        <f>IMAGE("https://imgur.com/VbLhi60.png")</f>
        <v/>
      </c>
      <c r="C102" s="15" t="s">
        <v>28</v>
      </c>
      <c r="D102" s="15" t="s">
        <v>28</v>
      </c>
      <c r="E102" s="13">
        <v>1570.0</v>
      </c>
      <c r="F102" s="13">
        <v>392.0</v>
      </c>
      <c r="G102" s="19">
        <v>6878.0</v>
      </c>
      <c r="H102" s="19" t="s">
        <v>369</v>
      </c>
      <c r="I102" s="19" t="s">
        <v>82</v>
      </c>
      <c r="J102" s="19" t="s">
        <v>60</v>
      </c>
      <c r="K102" s="19" t="s">
        <v>37</v>
      </c>
      <c r="L102" s="19" t="s">
        <v>38</v>
      </c>
      <c r="M102" s="19" t="s">
        <v>43</v>
      </c>
      <c r="N102" s="19" t="s">
        <v>44</v>
      </c>
      <c r="O102" s="19"/>
    </row>
    <row r="103" ht="56.25" customHeight="1">
      <c r="A103" s="23" t="s">
        <v>1777</v>
      </c>
      <c r="B103" s="15" t="str">
        <f>IMAGE("https://i.imgur.com/dtUArjc.png")</f>
        <v/>
      </c>
      <c r="C103" s="15" t="s">
        <v>28</v>
      </c>
      <c r="D103" s="25" t="s">
        <v>28</v>
      </c>
      <c r="E103" s="13">
        <v>1980.0</v>
      </c>
      <c r="F103" s="13">
        <v>495.0</v>
      </c>
      <c r="G103" s="19">
        <v>6854.0</v>
      </c>
      <c r="H103" s="19" t="s">
        <v>369</v>
      </c>
      <c r="I103" s="19" t="s">
        <v>82</v>
      </c>
      <c r="J103" s="19" t="s">
        <v>36</v>
      </c>
      <c r="K103" s="19" t="s">
        <v>113</v>
      </c>
      <c r="L103" s="19" t="s">
        <v>38</v>
      </c>
      <c r="M103" s="19" t="s">
        <v>43</v>
      </c>
      <c r="N103" s="19" t="s">
        <v>44</v>
      </c>
      <c r="O103" s="19"/>
    </row>
    <row r="104" ht="56.25" customHeight="1">
      <c r="A104" s="23" t="s">
        <v>1779</v>
      </c>
      <c r="B104" s="15" t="str">
        <f>IMAGE("https://imgur.com/MIeRC9s.png")</f>
        <v/>
      </c>
      <c r="C104" s="15" t="s">
        <v>28</v>
      </c>
      <c r="D104" s="25" t="s">
        <v>28</v>
      </c>
      <c r="E104" s="13">
        <v>1650.0</v>
      </c>
      <c r="F104" s="13">
        <v>412.0</v>
      </c>
      <c r="G104" s="19">
        <v>4949.0</v>
      </c>
      <c r="H104" s="19" t="s">
        <v>369</v>
      </c>
      <c r="I104" s="19" t="s">
        <v>369</v>
      </c>
      <c r="J104" s="19" t="s">
        <v>36</v>
      </c>
      <c r="K104" s="19" t="s">
        <v>113</v>
      </c>
      <c r="L104" s="19" t="s">
        <v>38</v>
      </c>
      <c r="M104" s="19" t="s">
        <v>43</v>
      </c>
      <c r="N104" s="19" t="s">
        <v>44</v>
      </c>
      <c r="O104" s="19"/>
    </row>
    <row r="105" ht="56.25" customHeight="1">
      <c r="A105" s="23" t="s">
        <v>1780</v>
      </c>
      <c r="B105" s="15" t="str">
        <f>IMAGE("https://imgur.com/TecC1xr.png")</f>
        <v/>
      </c>
      <c r="C105" s="15" t="s">
        <v>28</v>
      </c>
      <c r="D105" s="25" t="s">
        <v>28</v>
      </c>
      <c r="E105" s="13">
        <v>2540.0</v>
      </c>
      <c r="F105" s="13">
        <v>635.0</v>
      </c>
      <c r="G105" s="19">
        <v>6866.0</v>
      </c>
      <c r="H105" s="19" t="s">
        <v>369</v>
      </c>
      <c r="I105" s="19" t="s">
        <v>369</v>
      </c>
      <c r="J105" s="19" t="s">
        <v>113</v>
      </c>
      <c r="K105" s="19" t="s">
        <v>36</v>
      </c>
      <c r="L105" s="19" t="s">
        <v>38</v>
      </c>
      <c r="M105" s="19" t="s">
        <v>43</v>
      </c>
      <c r="N105" s="19" t="s">
        <v>44</v>
      </c>
      <c r="O105" s="19"/>
    </row>
    <row r="106" ht="56.25" customHeight="1">
      <c r="A106" s="23" t="s">
        <v>1782</v>
      </c>
      <c r="B106" s="15" t="str">
        <f>IMAGE("https://imgur.com/mw94FJy.png")</f>
        <v/>
      </c>
      <c r="C106" s="15" t="s">
        <v>28</v>
      </c>
      <c r="D106" s="25" t="s">
        <v>28</v>
      </c>
      <c r="E106" s="13">
        <v>1600.0</v>
      </c>
      <c r="F106" s="13">
        <v>400.0</v>
      </c>
      <c r="G106" s="19">
        <v>4812.0</v>
      </c>
      <c r="H106" s="19" t="s">
        <v>369</v>
      </c>
      <c r="I106" s="19" t="s">
        <v>369</v>
      </c>
      <c r="J106" s="19" t="s">
        <v>36</v>
      </c>
      <c r="K106" s="19" t="s">
        <v>60</v>
      </c>
      <c r="L106" s="19" t="s">
        <v>38</v>
      </c>
      <c r="M106" s="19" t="s">
        <v>43</v>
      </c>
      <c r="N106" s="19" t="s">
        <v>44</v>
      </c>
      <c r="O106" s="19"/>
    </row>
    <row r="107" ht="56.25" customHeight="1">
      <c r="A107" s="23" t="s">
        <v>1783</v>
      </c>
      <c r="B107" s="15" t="str">
        <f>IMAGE("https://imgur.com/ZbNf4Jj.png")</f>
        <v/>
      </c>
      <c r="C107" s="15" t="s">
        <v>28</v>
      </c>
      <c r="D107" s="25" t="s">
        <v>28</v>
      </c>
      <c r="E107" s="13">
        <v>1280.0</v>
      </c>
      <c r="F107" s="13">
        <v>320.0</v>
      </c>
      <c r="G107" s="19">
        <v>4846.0</v>
      </c>
      <c r="H107" s="19" t="s">
        <v>521</v>
      </c>
      <c r="I107" s="19" t="s">
        <v>521</v>
      </c>
      <c r="J107" s="19" t="s">
        <v>212</v>
      </c>
      <c r="K107" s="19"/>
      <c r="L107" s="19" t="s">
        <v>38</v>
      </c>
      <c r="M107" s="19" t="s">
        <v>43</v>
      </c>
      <c r="N107" s="19" t="s">
        <v>44</v>
      </c>
      <c r="O107" s="19"/>
    </row>
    <row r="108" ht="56.25" customHeight="1">
      <c r="A108" s="23" t="s">
        <v>1785</v>
      </c>
      <c r="B108" s="15" t="str">
        <f>IMAGE("https://imgur.com/NzO7BBM.png")</f>
        <v/>
      </c>
      <c r="C108" s="15" t="s">
        <v>28</v>
      </c>
      <c r="D108" s="15" t="s">
        <v>28</v>
      </c>
      <c r="E108" s="13">
        <v>1780.0</v>
      </c>
      <c r="F108" s="13">
        <v>445.0</v>
      </c>
      <c r="G108" s="19">
        <v>11180.0</v>
      </c>
      <c r="H108" s="19" t="s">
        <v>118</v>
      </c>
      <c r="I108" s="19" t="s">
        <v>118</v>
      </c>
      <c r="J108" s="19" t="s">
        <v>161</v>
      </c>
      <c r="K108" s="19" t="s">
        <v>37</v>
      </c>
      <c r="L108" s="19" t="s">
        <v>38</v>
      </c>
      <c r="M108" s="19" t="s">
        <v>43</v>
      </c>
      <c r="N108" s="19" t="s">
        <v>44</v>
      </c>
      <c r="O108" s="19"/>
    </row>
    <row r="109" ht="56.25" customHeight="1">
      <c r="A109" s="23" t="s">
        <v>1786</v>
      </c>
      <c r="B109" s="15" t="str">
        <f>IMAGE("https://imgur.com/nLpIGN1.png")</f>
        <v/>
      </c>
      <c r="C109" s="15" t="s">
        <v>28</v>
      </c>
      <c r="D109" s="25" t="s">
        <v>28</v>
      </c>
      <c r="E109" s="24" t="s">
        <v>51</v>
      </c>
      <c r="F109" s="13">
        <v>750.0</v>
      </c>
      <c r="G109" s="19">
        <v>4878.0</v>
      </c>
      <c r="H109" s="19" t="s">
        <v>208</v>
      </c>
      <c r="I109" s="19" t="s">
        <v>99</v>
      </c>
      <c r="J109" s="19" t="s">
        <v>52</v>
      </c>
      <c r="K109" s="19" t="s">
        <v>212</v>
      </c>
      <c r="L109" s="19" t="s">
        <v>38</v>
      </c>
      <c r="M109" s="19" t="s">
        <v>54</v>
      </c>
      <c r="N109" s="19" t="s">
        <v>1609</v>
      </c>
      <c r="O109" s="19"/>
    </row>
    <row r="110" ht="56.25" customHeight="1">
      <c r="A110" s="23" t="s">
        <v>1787</v>
      </c>
      <c r="B110" s="15" t="str">
        <f>IMAGE("https://imgur.com/FK857qp.png")</f>
        <v/>
      </c>
      <c r="C110" s="15" t="s">
        <v>28</v>
      </c>
      <c r="D110" s="25" t="s">
        <v>50</v>
      </c>
      <c r="E110" s="24" t="s">
        <v>51</v>
      </c>
      <c r="F110" s="13">
        <v>3600.0</v>
      </c>
      <c r="G110" s="19">
        <v>4865.0</v>
      </c>
      <c r="H110" s="19" t="s">
        <v>211</v>
      </c>
      <c r="I110" s="19" t="s">
        <v>211</v>
      </c>
      <c r="J110" s="19" t="s">
        <v>36</v>
      </c>
      <c r="K110" s="19" t="s">
        <v>90</v>
      </c>
      <c r="L110" s="19" t="s">
        <v>38</v>
      </c>
      <c r="M110" s="19" t="s">
        <v>54</v>
      </c>
      <c r="N110" s="19" t="s">
        <v>55</v>
      </c>
      <c r="O110" s="19"/>
    </row>
    <row r="111" ht="56.25" customHeight="1">
      <c r="A111" s="23" t="s">
        <v>1789</v>
      </c>
      <c r="B111" s="15" t="str">
        <f>IMAGE("https://imgur.com/uoNJTsu.png")</f>
        <v/>
      </c>
      <c r="C111" s="15" t="s">
        <v>28</v>
      </c>
      <c r="D111" s="25" t="s">
        <v>28</v>
      </c>
      <c r="E111" s="13">
        <v>1680.0</v>
      </c>
      <c r="F111" s="13">
        <v>420.0</v>
      </c>
      <c r="G111" s="19">
        <v>4909.0</v>
      </c>
      <c r="H111" s="19" t="s">
        <v>118</v>
      </c>
      <c r="I111" s="19" t="s">
        <v>118</v>
      </c>
      <c r="J111" s="19" t="s">
        <v>183</v>
      </c>
      <c r="K111" s="19" t="s">
        <v>90</v>
      </c>
      <c r="L111" s="19" t="s">
        <v>38</v>
      </c>
      <c r="M111" s="19" t="s">
        <v>43</v>
      </c>
      <c r="N111" s="19" t="s">
        <v>44</v>
      </c>
      <c r="O111" s="19"/>
    </row>
    <row r="112" ht="56.25" customHeight="1">
      <c r="A112" s="23" t="s">
        <v>1790</v>
      </c>
      <c r="B112" s="15" t="str">
        <f>IMAGE("https://imgur.com/62WnVX1.png")</f>
        <v/>
      </c>
      <c r="C112" s="15" t="s">
        <v>50</v>
      </c>
      <c r="D112" s="25" t="s">
        <v>50</v>
      </c>
      <c r="E112" s="24" t="s">
        <v>51</v>
      </c>
      <c r="F112" s="13">
        <v>8200.0</v>
      </c>
      <c r="G112" s="19">
        <v>5505.0</v>
      </c>
      <c r="H112" s="19" t="s">
        <v>1614</v>
      </c>
      <c r="I112" s="19" t="s">
        <v>1614</v>
      </c>
      <c r="J112" s="19" t="s">
        <v>745</v>
      </c>
      <c r="K112" s="19" t="s">
        <v>90</v>
      </c>
      <c r="L112" s="19" t="s">
        <v>38</v>
      </c>
      <c r="M112" s="19" t="s">
        <v>54</v>
      </c>
      <c r="N112" s="19" t="s">
        <v>747</v>
      </c>
      <c r="O112" s="19" t="s">
        <v>749</v>
      </c>
    </row>
    <row r="113" ht="56.25" customHeight="1">
      <c r="A113" s="23" t="s">
        <v>1792</v>
      </c>
      <c r="B113" s="15" t="str">
        <f>IMAGE("https://i.imgur.com/WcGUBtr.png")</f>
        <v/>
      </c>
      <c r="C113" s="15" t="s">
        <v>28</v>
      </c>
      <c r="D113" s="25" t="s">
        <v>50</v>
      </c>
      <c r="E113" s="24" t="s">
        <v>51</v>
      </c>
      <c r="F113" s="13">
        <v>4000.0</v>
      </c>
      <c r="G113" s="19">
        <v>5662.0</v>
      </c>
      <c r="H113" s="19" t="s">
        <v>1614</v>
      </c>
      <c r="I113" s="19" t="s">
        <v>82</v>
      </c>
      <c r="J113" s="19" t="s">
        <v>745</v>
      </c>
      <c r="K113" s="19"/>
      <c r="L113" s="19" t="s">
        <v>38</v>
      </c>
      <c r="M113" s="19" t="s">
        <v>54</v>
      </c>
      <c r="N113" s="19" t="s">
        <v>55</v>
      </c>
      <c r="O113" s="19" t="s">
        <v>1057</v>
      </c>
    </row>
    <row r="114" ht="56.25" customHeight="1">
      <c r="A114" s="23" t="s">
        <v>1793</v>
      </c>
      <c r="B114" s="15" t="str">
        <f>IMAGE("https://imgur.com/JFBTxFI.png")</f>
        <v/>
      </c>
      <c r="C114" s="15" t="s">
        <v>28</v>
      </c>
      <c r="D114" s="15" t="s">
        <v>28</v>
      </c>
      <c r="E114" s="24" t="s">
        <v>51</v>
      </c>
      <c r="F114" s="13">
        <v>750.0</v>
      </c>
      <c r="G114" s="19">
        <v>5224.0</v>
      </c>
      <c r="H114" s="19" t="s">
        <v>208</v>
      </c>
      <c r="I114" s="19" t="s">
        <v>208</v>
      </c>
      <c r="J114" s="19" t="s">
        <v>62</v>
      </c>
      <c r="K114" s="19"/>
      <c r="L114" s="19" t="s">
        <v>38</v>
      </c>
      <c r="M114" s="19" t="s">
        <v>54</v>
      </c>
      <c r="N114" s="19" t="s">
        <v>1609</v>
      </c>
      <c r="O114" s="19"/>
    </row>
    <row r="115" ht="56.25" customHeight="1">
      <c r="A115" s="23" t="s">
        <v>1795</v>
      </c>
      <c r="B115" s="15" t="str">
        <f>IMAGE("https://imgur.com/7I29pFl.png")</f>
        <v/>
      </c>
      <c r="C115" s="15" t="s">
        <v>28</v>
      </c>
      <c r="D115" s="25" t="s">
        <v>28</v>
      </c>
      <c r="E115" s="24" t="s">
        <v>51</v>
      </c>
      <c r="F115" s="13">
        <v>750.0</v>
      </c>
      <c r="G115" s="19">
        <v>4876.0</v>
      </c>
      <c r="H115" s="19" t="s">
        <v>99</v>
      </c>
      <c r="I115" s="19" t="s">
        <v>99</v>
      </c>
      <c r="J115" s="19" t="s">
        <v>90</v>
      </c>
      <c r="K115" s="19"/>
      <c r="L115" s="19" t="s">
        <v>38</v>
      </c>
      <c r="M115" s="19" t="s">
        <v>54</v>
      </c>
      <c r="N115" s="19" t="s">
        <v>1609</v>
      </c>
      <c r="O115" s="19"/>
    </row>
    <row r="116" ht="56.25" customHeight="1">
      <c r="A116" s="23" t="s">
        <v>1797</v>
      </c>
      <c r="B116" s="15" t="str">
        <f>IMAGE("https://i.imgur.com/LDtQJgU.png")</f>
        <v/>
      </c>
      <c r="C116" s="15" t="s">
        <v>28</v>
      </c>
      <c r="D116" s="15" t="s">
        <v>28</v>
      </c>
      <c r="E116" s="24" t="s">
        <v>51</v>
      </c>
      <c r="F116" s="13">
        <v>750.0</v>
      </c>
      <c r="G116" s="19">
        <v>4850.0</v>
      </c>
      <c r="H116" s="19" t="s">
        <v>118</v>
      </c>
      <c r="I116" s="19" t="s">
        <v>369</v>
      </c>
      <c r="J116" s="19" t="s">
        <v>90</v>
      </c>
      <c r="K116" s="19" t="s">
        <v>37</v>
      </c>
      <c r="L116" s="19" t="s">
        <v>38</v>
      </c>
      <c r="M116" s="19" t="s">
        <v>54</v>
      </c>
      <c r="N116" s="19" t="s">
        <v>1609</v>
      </c>
      <c r="O116" s="19"/>
    </row>
    <row r="117" ht="56.25" customHeight="1">
      <c r="A117" s="23" t="s">
        <v>1798</v>
      </c>
      <c r="B117" s="15" t="str">
        <f>IMAGE("https://imgur.com/WheXT9x.png")</f>
        <v/>
      </c>
      <c r="C117" s="15" t="s">
        <v>50</v>
      </c>
      <c r="D117" s="25" t="s">
        <v>50</v>
      </c>
      <c r="E117" s="24" t="s">
        <v>51</v>
      </c>
      <c r="F117" s="13">
        <v>2500.0</v>
      </c>
      <c r="G117" s="19">
        <v>5230.0</v>
      </c>
      <c r="H117" s="19" t="s">
        <v>369</v>
      </c>
      <c r="I117" s="19" t="s">
        <v>258</v>
      </c>
      <c r="J117" s="19" t="s">
        <v>36</v>
      </c>
      <c r="K117" s="19" t="s">
        <v>212</v>
      </c>
      <c r="L117" s="19" t="s">
        <v>38</v>
      </c>
      <c r="M117" s="19" t="s">
        <v>54</v>
      </c>
      <c r="N117" s="19" t="s">
        <v>55</v>
      </c>
      <c r="O117" s="19" t="s">
        <v>418</v>
      </c>
    </row>
    <row r="118" ht="56.25" customHeight="1">
      <c r="A118" s="23" t="s">
        <v>1800</v>
      </c>
      <c r="B118" s="15" t="str">
        <f>IMAGE("https://i.imgur.com/yxw1rHw.png")</f>
        <v/>
      </c>
      <c r="C118" s="15" t="s">
        <v>28</v>
      </c>
      <c r="D118" s="15" t="s">
        <v>50</v>
      </c>
      <c r="E118" s="24" t="s">
        <v>51</v>
      </c>
      <c r="F118" s="13">
        <v>1380.0</v>
      </c>
      <c r="G118" s="19">
        <v>5457.0</v>
      </c>
      <c r="H118" s="19" t="s">
        <v>369</v>
      </c>
      <c r="I118" s="19" t="s">
        <v>369</v>
      </c>
      <c r="J118" s="19" t="s">
        <v>95</v>
      </c>
      <c r="K118" s="19" t="s">
        <v>90</v>
      </c>
      <c r="L118" s="19" t="s">
        <v>38</v>
      </c>
      <c r="M118" s="19" t="s">
        <v>54</v>
      </c>
      <c r="N118" s="19" t="s">
        <v>55</v>
      </c>
      <c r="O118" s="19"/>
    </row>
    <row r="119" ht="56.25" customHeight="1">
      <c r="A119" s="23" t="s">
        <v>1801</v>
      </c>
      <c r="B119" s="15" t="str">
        <f>IMAGE("http://i.imgur.com/UUu6kqz.png")</f>
        <v/>
      </c>
      <c r="C119" s="15" t="s">
        <v>28</v>
      </c>
      <c r="D119" s="15" t="s">
        <v>28</v>
      </c>
      <c r="E119" s="24" t="s">
        <v>51</v>
      </c>
      <c r="F119" s="13">
        <v>750.0</v>
      </c>
      <c r="G119" s="19">
        <v>4881.0</v>
      </c>
      <c r="H119" s="19" t="s">
        <v>107</v>
      </c>
      <c r="I119" s="19" t="s">
        <v>82</v>
      </c>
      <c r="J119" s="19" t="s">
        <v>212</v>
      </c>
      <c r="K119" s="19" t="s">
        <v>36</v>
      </c>
      <c r="L119" s="19" t="s">
        <v>38</v>
      </c>
      <c r="M119" s="19" t="s">
        <v>54</v>
      </c>
      <c r="N119" s="19" t="s">
        <v>1609</v>
      </c>
      <c r="O119" s="19"/>
    </row>
    <row r="120" ht="56.25" customHeight="1">
      <c r="A120" s="23" t="s">
        <v>1802</v>
      </c>
      <c r="B120" s="15" t="str">
        <f>IMAGE("https://imgur.com/R7jswrW.png")</f>
        <v/>
      </c>
      <c r="C120" s="15" t="s">
        <v>50</v>
      </c>
      <c r="D120" s="25" t="s">
        <v>28</v>
      </c>
      <c r="E120" s="24" t="s">
        <v>51</v>
      </c>
      <c r="F120" s="13">
        <v>750.0</v>
      </c>
      <c r="G120" s="19">
        <v>5495.0</v>
      </c>
      <c r="H120" s="19" t="s">
        <v>99</v>
      </c>
      <c r="I120" s="19" t="s">
        <v>99</v>
      </c>
      <c r="J120" s="19" t="s">
        <v>90</v>
      </c>
      <c r="K120" s="19"/>
      <c r="L120" s="19" t="s">
        <v>38</v>
      </c>
      <c r="M120" s="19" t="s">
        <v>54</v>
      </c>
      <c r="N120" s="19" t="s">
        <v>1609</v>
      </c>
      <c r="O120" s="19"/>
    </row>
    <row r="121" ht="56.25" customHeight="1">
      <c r="A121" s="23" t="s">
        <v>1804</v>
      </c>
      <c r="B121" s="15" t="str">
        <f>IMAGE("https://i.imgur.com/2G75Cdz.png")</f>
        <v/>
      </c>
      <c r="C121" s="15" t="s">
        <v>28</v>
      </c>
      <c r="D121" s="25" t="s">
        <v>28</v>
      </c>
      <c r="E121" s="13">
        <v>1780.0</v>
      </c>
      <c r="F121" s="13">
        <v>445.0</v>
      </c>
      <c r="G121" s="19">
        <v>4830.0</v>
      </c>
      <c r="H121" s="19" t="s">
        <v>118</v>
      </c>
      <c r="I121" s="19" t="s">
        <v>118</v>
      </c>
      <c r="J121" s="19" t="s">
        <v>161</v>
      </c>
      <c r="K121" s="19" t="s">
        <v>37</v>
      </c>
      <c r="L121" s="19" t="s">
        <v>38</v>
      </c>
      <c r="M121" s="19" t="s">
        <v>43</v>
      </c>
      <c r="N121" s="19" t="s">
        <v>44</v>
      </c>
      <c r="O121" s="19"/>
    </row>
    <row r="122" ht="56.25" customHeight="1">
      <c r="A122" s="23" t="s">
        <v>1805</v>
      </c>
      <c r="B122" s="15" t="str">
        <f>IMAGE("https://imgur.com/8P7e1eF.png")</f>
        <v/>
      </c>
      <c r="C122" s="15" t="s">
        <v>50</v>
      </c>
      <c r="D122" s="15" t="s">
        <v>28</v>
      </c>
      <c r="E122" s="24" t="s">
        <v>51</v>
      </c>
      <c r="F122" s="13">
        <v>750.0</v>
      </c>
      <c r="G122" s="19">
        <v>5506.0</v>
      </c>
      <c r="H122" s="19" t="s">
        <v>521</v>
      </c>
      <c r="I122" s="19" t="s">
        <v>521</v>
      </c>
      <c r="J122" s="19" t="s">
        <v>346</v>
      </c>
      <c r="K122" s="19"/>
      <c r="L122" s="19" t="s">
        <v>38</v>
      </c>
      <c r="M122" s="19" t="s">
        <v>54</v>
      </c>
      <c r="N122" s="19" t="s">
        <v>1609</v>
      </c>
      <c r="O122" s="19"/>
    </row>
    <row r="123" ht="56.25" customHeight="1">
      <c r="A123" s="23" t="s">
        <v>1807</v>
      </c>
      <c r="B123" s="15" t="str">
        <f>IMAGE("https://imgur.com/0OwJaXP.png")</f>
        <v/>
      </c>
      <c r="C123" s="15" t="s">
        <v>28</v>
      </c>
      <c r="D123" s="25" t="s">
        <v>50</v>
      </c>
      <c r="E123" s="24" t="s">
        <v>51</v>
      </c>
      <c r="F123" s="13">
        <v>1050.0</v>
      </c>
      <c r="G123" s="19">
        <v>4838.0</v>
      </c>
      <c r="H123" s="19" t="s">
        <v>82</v>
      </c>
      <c r="I123" s="19" t="s">
        <v>82</v>
      </c>
      <c r="J123" s="19" t="s">
        <v>90</v>
      </c>
      <c r="K123" s="19" t="s">
        <v>136</v>
      </c>
      <c r="L123" s="19" t="s">
        <v>38</v>
      </c>
      <c r="M123" s="19" t="s">
        <v>54</v>
      </c>
      <c r="N123" s="19" t="s">
        <v>55</v>
      </c>
      <c r="O123" s="19"/>
    </row>
    <row r="124" ht="56.25" customHeight="1">
      <c r="A124" s="23" t="s">
        <v>1808</v>
      </c>
      <c r="B124" s="15" t="str">
        <f>IMAGE("https://imgur.com/ezfa528.png")</f>
        <v/>
      </c>
      <c r="C124" s="15" t="s">
        <v>28</v>
      </c>
      <c r="D124" s="25" t="s">
        <v>28</v>
      </c>
      <c r="E124" s="24" t="s">
        <v>51</v>
      </c>
      <c r="F124" s="13">
        <v>750.0</v>
      </c>
      <c r="G124" s="19">
        <v>5514.0</v>
      </c>
      <c r="H124" s="19" t="s">
        <v>369</v>
      </c>
      <c r="I124" s="19" t="s">
        <v>369</v>
      </c>
      <c r="J124" s="19" t="s">
        <v>95</v>
      </c>
      <c r="K124" s="19"/>
      <c r="L124" s="19" t="s">
        <v>38</v>
      </c>
      <c r="M124" s="19" t="s">
        <v>54</v>
      </c>
      <c r="N124" s="19" t="s">
        <v>1609</v>
      </c>
      <c r="O124" s="19"/>
    </row>
    <row r="125" ht="56.25" customHeight="1">
      <c r="A125" s="23" t="s">
        <v>1810</v>
      </c>
      <c r="B125" s="15" t="str">
        <f>IMAGE("https://imgur.com/hy3ucKZ.png")</f>
        <v/>
      </c>
      <c r="C125" s="15" t="s">
        <v>28</v>
      </c>
      <c r="D125" s="25" t="s">
        <v>28</v>
      </c>
      <c r="E125" s="24" t="s">
        <v>51</v>
      </c>
      <c r="F125" s="13">
        <v>805.0</v>
      </c>
      <c r="G125" s="19">
        <v>4879.0</v>
      </c>
      <c r="H125" s="19" t="s">
        <v>1614</v>
      </c>
      <c r="I125" s="19" t="s">
        <v>112</v>
      </c>
      <c r="J125" s="19" t="s">
        <v>84</v>
      </c>
      <c r="K125" s="19" t="s">
        <v>113</v>
      </c>
      <c r="L125" s="19" t="s">
        <v>38</v>
      </c>
      <c r="M125" s="19" t="s">
        <v>54</v>
      </c>
      <c r="N125" s="19" t="s">
        <v>85</v>
      </c>
      <c r="O125" s="19"/>
    </row>
    <row r="126" ht="56.25" customHeight="1">
      <c r="A126" s="23" t="s">
        <v>1811</v>
      </c>
      <c r="B126" s="15" t="str">
        <f>IMAGE("https://imgur.com/g7WHo7v.png")</f>
        <v/>
      </c>
      <c r="C126" s="15" t="s">
        <v>50</v>
      </c>
      <c r="D126" s="15" t="s">
        <v>28</v>
      </c>
      <c r="E126" s="24" t="s">
        <v>51</v>
      </c>
      <c r="F126" s="13">
        <v>750.0</v>
      </c>
      <c r="G126" s="19">
        <v>5484.0</v>
      </c>
      <c r="H126" s="19" t="s">
        <v>369</v>
      </c>
      <c r="I126" s="19" t="s">
        <v>1614</v>
      </c>
      <c r="J126" s="19" t="s">
        <v>95</v>
      </c>
      <c r="K126" s="19"/>
      <c r="L126" s="19" t="s">
        <v>38</v>
      </c>
      <c r="M126" s="19" t="s">
        <v>54</v>
      </c>
      <c r="N126" s="19" t="s">
        <v>1609</v>
      </c>
      <c r="O126" s="19"/>
    </row>
    <row r="127" ht="56.25" customHeight="1">
      <c r="A127" s="23" t="s">
        <v>1813</v>
      </c>
      <c r="B127" s="15" t="str">
        <f>IMAGE("https://imgur.com/DOHKAiY.png")</f>
        <v/>
      </c>
      <c r="C127" s="15" t="s">
        <v>50</v>
      </c>
      <c r="D127" s="25" t="s">
        <v>28</v>
      </c>
      <c r="E127" s="24" t="s">
        <v>51</v>
      </c>
      <c r="F127" s="13">
        <v>585.0</v>
      </c>
      <c r="G127" s="19">
        <v>11915.0</v>
      </c>
      <c r="H127" s="19" t="s">
        <v>94</v>
      </c>
      <c r="I127" s="19" t="s">
        <v>94</v>
      </c>
      <c r="J127" s="19" t="s">
        <v>95</v>
      </c>
      <c r="K127" s="19"/>
      <c r="L127" s="19" t="s">
        <v>38</v>
      </c>
      <c r="M127" s="19" t="s">
        <v>54</v>
      </c>
      <c r="N127" s="19" t="s">
        <v>1609</v>
      </c>
      <c r="O127" s="19"/>
    </row>
    <row r="128" ht="56.25" customHeight="1">
      <c r="A128" s="23" t="s">
        <v>1814</v>
      </c>
      <c r="B128" s="15" t="str">
        <f>IMAGE("https://imgur.com/PxufGc2.png")</f>
        <v/>
      </c>
      <c r="C128" s="15" t="s">
        <v>28</v>
      </c>
      <c r="D128" s="25" t="s">
        <v>28</v>
      </c>
      <c r="E128" s="13">
        <v>1220.0</v>
      </c>
      <c r="F128" s="13">
        <v>305.0</v>
      </c>
      <c r="G128" s="19">
        <v>4908.0</v>
      </c>
      <c r="H128" s="19" t="s">
        <v>521</v>
      </c>
      <c r="I128" s="19" t="s">
        <v>521</v>
      </c>
      <c r="J128" s="19" t="s">
        <v>212</v>
      </c>
      <c r="K128" s="19"/>
      <c r="L128" s="19" t="s">
        <v>38</v>
      </c>
      <c r="M128" s="19" t="s">
        <v>43</v>
      </c>
      <c r="N128" s="19" t="s">
        <v>44</v>
      </c>
      <c r="O128" s="19"/>
    </row>
    <row r="129" ht="56.25" customHeight="1">
      <c r="A129" s="23" t="s">
        <v>1816</v>
      </c>
      <c r="B129" s="15" t="str">
        <f>IMAGE("https://imgur.com/cmMcXXX.png")</f>
        <v/>
      </c>
      <c r="C129" s="15" t="s">
        <v>50</v>
      </c>
      <c r="D129" s="25" t="s">
        <v>28</v>
      </c>
      <c r="E129" s="13">
        <v>1150.0</v>
      </c>
      <c r="F129" s="13">
        <v>287.0</v>
      </c>
      <c r="G129" s="19">
        <v>4864.0</v>
      </c>
      <c r="H129" s="19" t="s">
        <v>118</v>
      </c>
      <c r="I129" s="19" t="s">
        <v>82</v>
      </c>
      <c r="J129" s="19" t="s">
        <v>161</v>
      </c>
      <c r="K129" s="19" t="s">
        <v>37</v>
      </c>
      <c r="L129" s="19" t="s">
        <v>38</v>
      </c>
      <c r="M129" s="19" t="s">
        <v>43</v>
      </c>
      <c r="N129" s="19" t="s">
        <v>44</v>
      </c>
      <c r="O129" s="19"/>
    </row>
    <row r="130" ht="56.25" customHeight="1">
      <c r="A130" s="23" t="s">
        <v>1817</v>
      </c>
      <c r="B130" s="15" t="str">
        <f>IMAGE("https://i.imgur.com/3GnEDfB.png")</f>
        <v/>
      </c>
      <c r="C130" s="15" t="s">
        <v>28</v>
      </c>
      <c r="D130" s="25" t="s">
        <v>28</v>
      </c>
      <c r="E130" s="13">
        <v>1750.0</v>
      </c>
      <c r="F130" s="13">
        <v>437.0</v>
      </c>
      <c r="G130" s="19">
        <v>11178.0</v>
      </c>
      <c r="H130" s="19" t="s">
        <v>118</v>
      </c>
      <c r="I130" s="19" t="s">
        <v>118</v>
      </c>
      <c r="J130" s="19" t="s">
        <v>161</v>
      </c>
      <c r="K130" s="19" t="s">
        <v>37</v>
      </c>
      <c r="L130" s="19" t="s">
        <v>38</v>
      </c>
      <c r="M130" s="19" t="s">
        <v>43</v>
      </c>
      <c r="N130" s="19" t="s">
        <v>44</v>
      </c>
      <c r="O130" s="19"/>
    </row>
    <row r="131" ht="56.25" customHeight="1">
      <c r="A131" s="23" t="s">
        <v>1819</v>
      </c>
      <c r="B131" s="15" t="str">
        <f>IMAGE("https://imgur.com/M6ZFdSh.png")</f>
        <v/>
      </c>
      <c r="C131" s="15" t="s">
        <v>28</v>
      </c>
      <c r="D131" s="25" t="s">
        <v>50</v>
      </c>
      <c r="E131" s="24" t="s">
        <v>51</v>
      </c>
      <c r="F131" s="13">
        <v>1800.0</v>
      </c>
      <c r="G131" s="19">
        <v>4904.0</v>
      </c>
      <c r="H131" s="19" t="s">
        <v>118</v>
      </c>
      <c r="I131" s="19" t="s">
        <v>118</v>
      </c>
      <c r="J131" s="19" t="s">
        <v>60</v>
      </c>
      <c r="K131" s="19" t="s">
        <v>113</v>
      </c>
      <c r="L131" s="19" t="s">
        <v>38</v>
      </c>
      <c r="M131" s="19" t="s">
        <v>54</v>
      </c>
      <c r="N131" s="19" t="s">
        <v>55</v>
      </c>
      <c r="O131" s="19"/>
    </row>
    <row r="132" ht="56.25" customHeight="1">
      <c r="A132" s="23" t="s">
        <v>1820</v>
      </c>
      <c r="B132" s="15" t="str">
        <f>IMAGE("https://imgur.com/hWnDKUC.png")</f>
        <v/>
      </c>
      <c r="C132" s="15" t="s">
        <v>28</v>
      </c>
      <c r="D132" s="15" t="s">
        <v>28</v>
      </c>
      <c r="E132" s="13">
        <v>1100.0</v>
      </c>
      <c r="F132" s="13">
        <v>275.0</v>
      </c>
      <c r="G132" s="19">
        <v>4892.0</v>
      </c>
      <c r="H132" s="19" t="s">
        <v>94</v>
      </c>
      <c r="I132" s="19" t="s">
        <v>82</v>
      </c>
      <c r="J132" s="19" t="s">
        <v>36</v>
      </c>
      <c r="K132" s="19" t="s">
        <v>113</v>
      </c>
      <c r="L132" s="19" t="s">
        <v>38</v>
      </c>
      <c r="M132" s="19" t="s">
        <v>43</v>
      </c>
      <c r="N132" s="19" t="s">
        <v>44</v>
      </c>
      <c r="O132" s="19"/>
    </row>
    <row r="133" ht="56.25" customHeight="1">
      <c r="A133" s="23" t="s">
        <v>1822</v>
      </c>
      <c r="B133" s="15" t="str">
        <f>IMAGE("https://i.imgur.com/g9wDGWO.png")</f>
        <v/>
      </c>
      <c r="C133" s="15" t="s">
        <v>28</v>
      </c>
      <c r="D133" s="25" t="s">
        <v>28</v>
      </c>
      <c r="E133" s="13">
        <v>1420.0</v>
      </c>
      <c r="F133" s="13">
        <v>355.0</v>
      </c>
      <c r="G133" s="19">
        <v>4910.0</v>
      </c>
      <c r="H133" s="19" t="s">
        <v>94</v>
      </c>
      <c r="I133" s="19" t="s">
        <v>82</v>
      </c>
      <c r="J133" s="19" t="s">
        <v>183</v>
      </c>
      <c r="K133" s="19" t="s">
        <v>90</v>
      </c>
      <c r="L133" s="19" t="s">
        <v>38</v>
      </c>
      <c r="M133" s="19" t="s">
        <v>43</v>
      </c>
      <c r="N133" s="19" t="s">
        <v>44</v>
      </c>
      <c r="O133" s="19"/>
    </row>
    <row r="134" ht="56.25" customHeight="1">
      <c r="A134" s="37" t="s">
        <v>1823</v>
      </c>
      <c r="B134" s="15" t="str">
        <f>IMAGE("https://imgur.com/IZ3zjOn.png")</f>
        <v/>
      </c>
      <c r="C134" s="15" t="s">
        <v>28</v>
      </c>
      <c r="D134" s="15" t="s">
        <v>28</v>
      </c>
      <c r="E134" s="24" t="s">
        <v>51</v>
      </c>
      <c r="F134" s="13">
        <v>750.0</v>
      </c>
      <c r="G134" s="19">
        <v>5215.0</v>
      </c>
      <c r="H134" s="19" t="s">
        <v>94</v>
      </c>
      <c r="I134" s="19" t="s">
        <v>94</v>
      </c>
      <c r="J134" s="19" t="s">
        <v>161</v>
      </c>
      <c r="K134" s="19"/>
      <c r="L134" s="19" t="s">
        <v>38</v>
      </c>
      <c r="M134" s="19" t="s">
        <v>54</v>
      </c>
      <c r="N134" s="19" t="s">
        <v>1609</v>
      </c>
      <c r="O134" s="19"/>
    </row>
    <row r="135" ht="56.25" customHeight="1">
      <c r="A135" s="23" t="s">
        <v>1825</v>
      </c>
      <c r="B135" s="15" t="str">
        <f>IMAGE("https://imgur.com/PlXInCg.png")</f>
        <v/>
      </c>
      <c r="C135" s="15" t="s">
        <v>28</v>
      </c>
      <c r="D135" s="25" t="s">
        <v>28</v>
      </c>
      <c r="E135" s="13">
        <v>1450.0</v>
      </c>
      <c r="F135" s="13">
        <v>362.0</v>
      </c>
      <c r="G135" s="19">
        <v>4862.0</v>
      </c>
      <c r="H135" s="19" t="s">
        <v>99</v>
      </c>
      <c r="I135" s="19" t="s">
        <v>82</v>
      </c>
      <c r="J135" s="19" t="s">
        <v>183</v>
      </c>
      <c r="K135" s="19" t="s">
        <v>90</v>
      </c>
      <c r="L135" s="19" t="s">
        <v>38</v>
      </c>
      <c r="M135" s="19" t="s">
        <v>43</v>
      </c>
      <c r="N135" s="19" t="s">
        <v>44</v>
      </c>
      <c r="O135" s="19"/>
    </row>
    <row r="136" ht="56.25" customHeight="1">
      <c r="A136" s="23" t="s">
        <v>1827</v>
      </c>
      <c r="B136" s="15" t="str">
        <f>IMAGE("https://imgur.com/EodrQCf.png")</f>
        <v/>
      </c>
      <c r="C136" s="15" t="s">
        <v>28</v>
      </c>
      <c r="D136" s="25" t="s">
        <v>28</v>
      </c>
      <c r="E136" s="24" t="s">
        <v>51</v>
      </c>
      <c r="F136" s="13">
        <v>750.0</v>
      </c>
      <c r="G136" s="19">
        <v>5458.0</v>
      </c>
      <c r="H136" s="19" t="s">
        <v>369</v>
      </c>
      <c r="I136" s="19" t="s">
        <v>369</v>
      </c>
      <c r="J136" s="19" t="s">
        <v>161</v>
      </c>
      <c r="K136" s="19"/>
      <c r="L136" s="19" t="s">
        <v>38</v>
      </c>
      <c r="M136" s="19" t="s">
        <v>54</v>
      </c>
      <c r="N136" s="19" t="s">
        <v>1609</v>
      </c>
      <c r="O136" s="19"/>
    </row>
    <row r="137" ht="56.25" customHeight="1">
      <c r="A137" s="23" t="s">
        <v>1829</v>
      </c>
      <c r="B137" s="15" t="str">
        <f>IMAGE("https://imgur.com/RbLr8q9.png")</f>
        <v/>
      </c>
      <c r="C137" s="15" t="s">
        <v>28</v>
      </c>
      <c r="D137" s="25" t="s">
        <v>50</v>
      </c>
      <c r="E137" s="24" t="s">
        <v>51</v>
      </c>
      <c r="F137" s="13">
        <v>21400.0</v>
      </c>
      <c r="G137" s="19">
        <v>5164.0</v>
      </c>
      <c r="H137" s="19" t="s">
        <v>521</v>
      </c>
      <c r="I137" s="19" t="s">
        <v>118</v>
      </c>
      <c r="J137" s="19" t="s">
        <v>36</v>
      </c>
      <c r="K137" s="19"/>
      <c r="L137" s="19" t="s">
        <v>38</v>
      </c>
      <c r="M137" s="19" t="s">
        <v>54</v>
      </c>
      <c r="N137" s="19" t="s">
        <v>55</v>
      </c>
      <c r="O137" s="19" t="s">
        <v>1544</v>
      </c>
    </row>
    <row r="138" ht="56.25" customHeight="1">
      <c r="A138" s="23" t="s">
        <v>1831</v>
      </c>
      <c r="B138" s="15" t="str">
        <f>IMAGE("https://imgur.com/FVnlEBH.png")</f>
        <v/>
      </c>
      <c r="C138" s="15" t="s">
        <v>28</v>
      </c>
      <c r="D138" s="15" t="s">
        <v>28</v>
      </c>
      <c r="E138" s="24" t="s">
        <v>51</v>
      </c>
      <c r="F138" s="13">
        <v>6000.0</v>
      </c>
      <c r="G138" s="19">
        <v>6004.0</v>
      </c>
      <c r="H138" s="19" t="s">
        <v>82</v>
      </c>
      <c r="I138" s="19" t="s">
        <v>1614</v>
      </c>
      <c r="J138" s="19" t="s">
        <v>36</v>
      </c>
      <c r="K138" s="19" t="s">
        <v>37</v>
      </c>
      <c r="L138" s="19" t="s">
        <v>38</v>
      </c>
      <c r="M138" s="19" t="s">
        <v>54</v>
      </c>
      <c r="N138" s="19" t="s">
        <v>516</v>
      </c>
      <c r="O138" s="19"/>
    </row>
    <row r="139" ht="56.25" customHeight="1">
      <c r="A139" s="23" t="s">
        <v>1833</v>
      </c>
      <c r="B139" s="15" t="str">
        <f>IMAGE("https://imgur.com/DrVaexW.png")</f>
        <v/>
      </c>
      <c r="C139" s="15" t="s">
        <v>50</v>
      </c>
      <c r="D139" s="15" t="s">
        <v>28</v>
      </c>
      <c r="E139" s="24" t="s">
        <v>51</v>
      </c>
      <c r="F139" s="13">
        <v>750.0</v>
      </c>
      <c r="G139" s="19">
        <v>5486.0</v>
      </c>
      <c r="H139" s="19" t="s">
        <v>112</v>
      </c>
      <c r="I139" s="19" t="s">
        <v>1614</v>
      </c>
      <c r="J139" s="19" t="s">
        <v>84</v>
      </c>
      <c r="K139" s="19"/>
      <c r="L139" s="19" t="s">
        <v>38</v>
      </c>
      <c r="M139" s="19" t="s">
        <v>54</v>
      </c>
      <c r="N139" s="19" t="s">
        <v>1609</v>
      </c>
      <c r="O139" s="19"/>
    </row>
    <row r="140" ht="56.25" customHeight="1">
      <c r="A140" s="23" t="s">
        <v>1834</v>
      </c>
      <c r="B140" s="15" t="str">
        <f>IMAGE("https://imgur.com/bDvdtPg.png")</f>
        <v/>
      </c>
      <c r="C140" s="15" t="s">
        <v>28</v>
      </c>
      <c r="D140" s="15" t="s">
        <v>28</v>
      </c>
      <c r="E140" s="24" t="s">
        <v>51</v>
      </c>
      <c r="F140" s="13">
        <v>750.0</v>
      </c>
      <c r="G140" s="19">
        <v>5218.0</v>
      </c>
      <c r="H140" s="19" t="s">
        <v>82</v>
      </c>
      <c r="I140" s="19" t="s">
        <v>1614</v>
      </c>
      <c r="J140" s="19" t="s">
        <v>61</v>
      </c>
      <c r="K140" s="19"/>
      <c r="L140" s="19" t="s">
        <v>38</v>
      </c>
      <c r="M140" s="19" t="s">
        <v>54</v>
      </c>
      <c r="N140" s="19" t="s">
        <v>1609</v>
      </c>
      <c r="O140" s="19"/>
    </row>
    <row r="141" ht="56.25" customHeight="1">
      <c r="A141" s="23" t="s">
        <v>1836</v>
      </c>
      <c r="B141" s="15" t="str">
        <f>IMAGE("https://imgur.com/HJ4eNvX.png")</f>
        <v/>
      </c>
      <c r="C141" s="15" t="s">
        <v>28</v>
      </c>
      <c r="D141" s="25" t="s">
        <v>28</v>
      </c>
      <c r="E141" s="13">
        <v>200.0</v>
      </c>
      <c r="F141" s="13">
        <v>50.0</v>
      </c>
      <c r="G141" s="19">
        <v>4857.0</v>
      </c>
      <c r="H141" s="19" t="s">
        <v>1608</v>
      </c>
      <c r="I141" s="19" t="s">
        <v>1608</v>
      </c>
      <c r="J141" s="19" t="s">
        <v>346</v>
      </c>
      <c r="K141" s="19"/>
      <c r="L141" s="19" t="s">
        <v>38</v>
      </c>
      <c r="M141" s="19" t="s">
        <v>43</v>
      </c>
      <c r="N141" s="19" t="s">
        <v>44</v>
      </c>
      <c r="O141" s="19"/>
    </row>
    <row r="142" ht="56.25" customHeight="1">
      <c r="A142" s="23" t="s">
        <v>1838</v>
      </c>
      <c r="B142" s="15" t="str">
        <f>IMAGE("https://i.imgur.com/nVbALG3.png")</f>
        <v/>
      </c>
      <c r="C142" s="15" t="s">
        <v>28</v>
      </c>
      <c r="D142" s="25" t="s">
        <v>28</v>
      </c>
      <c r="E142" s="13">
        <v>2440.0</v>
      </c>
      <c r="F142" s="13">
        <v>610.0</v>
      </c>
      <c r="G142" s="19">
        <v>6863.0</v>
      </c>
      <c r="H142" s="19" t="s">
        <v>211</v>
      </c>
      <c r="I142" s="19" t="s">
        <v>211</v>
      </c>
      <c r="J142" s="19" t="s">
        <v>183</v>
      </c>
      <c r="K142" s="19" t="s">
        <v>90</v>
      </c>
      <c r="L142" s="19" t="s">
        <v>38</v>
      </c>
      <c r="M142" s="19" t="s">
        <v>43</v>
      </c>
      <c r="N142" s="19" t="s">
        <v>44</v>
      </c>
      <c r="O142" s="19"/>
    </row>
    <row r="143" ht="56.25" customHeight="1">
      <c r="A143" s="23" t="s">
        <v>1839</v>
      </c>
      <c r="B143" s="15" t="str">
        <f>IMAGE("https://imgur.com/lVxDDr3.png")</f>
        <v/>
      </c>
      <c r="C143" s="15" t="s">
        <v>28</v>
      </c>
      <c r="D143" s="25" t="s">
        <v>28</v>
      </c>
      <c r="E143" s="13">
        <v>1150.0</v>
      </c>
      <c r="F143" s="13">
        <v>287.0</v>
      </c>
      <c r="G143" s="19">
        <v>6855.0</v>
      </c>
      <c r="H143" s="19" t="s">
        <v>521</v>
      </c>
      <c r="I143" s="19" t="s">
        <v>521</v>
      </c>
      <c r="J143" s="19" t="s">
        <v>212</v>
      </c>
      <c r="K143" s="19" t="s">
        <v>113</v>
      </c>
      <c r="L143" s="19" t="s">
        <v>38</v>
      </c>
      <c r="M143" s="19" t="s">
        <v>43</v>
      </c>
      <c r="N143" s="19" t="s">
        <v>44</v>
      </c>
      <c r="O143" s="19"/>
    </row>
    <row r="144" ht="56.25" customHeight="1">
      <c r="A144" s="23" t="s">
        <v>1840</v>
      </c>
      <c r="B144" s="15" t="str">
        <f>IMAGE("https://imgur.com/lBwniqn.png")</f>
        <v/>
      </c>
      <c r="C144" s="15" t="s">
        <v>28</v>
      </c>
      <c r="D144" s="25" t="s">
        <v>28</v>
      </c>
      <c r="E144" s="13">
        <v>1980.0</v>
      </c>
      <c r="F144" s="13">
        <v>495.0</v>
      </c>
      <c r="G144" s="19">
        <v>4870.0</v>
      </c>
      <c r="H144" s="19" t="s">
        <v>521</v>
      </c>
      <c r="I144" s="19" t="s">
        <v>1608</v>
      </c>
      <c r="J144" s="19" t="s">
        <v>36</v>
      </c>
      <c r="K144" s="19" t="s">
        <v>113</v>
      </c>
      <c r="L144" s="19" t="s">
        <v>38</v>
      </c>
      <c r="M144" s="19" t="s">
        <v>43</v>
      </c>
      <c r="N144" s="19" t="s">
        <v>44</v>
      </c>
      <c r="O144" s="19"/>
    </row>
    <row r="145" ht="56.25" customHeight="1">
      <c r="A145" s="23" t="s">
        <v>1842</v>
      </c>
      <c r="B145" s="15" t="str">
        <f>IMAGE("https://imgur.com/URlOwF4.png")</f>
        <v/>
      </c>
      <c r="C145" s="15" t="s">
        <v>28</v>
      </c>
      <c r="D145" s="25" t="s">
        <v>50</v>
      </c>
      <c r="E145" s="24" t="s">
        <v>51</v>
      </c>
      <c r="F145" s="13">
        <v>4000.0</v>
      </c>
      <c r="G145" s="19">
        <v>4915.0</v>
      </c>
      <c r="H145" s="19" t="s">
        <v>521</v>
      </c>
      <c r="I145" s="19" t="s">
        <v>521</v>
      </c>
      <c r="J145" s="19" t="s">
        <v>36</v>
      </c>
      <c r="K145" s="19" t="s">
        <v>113</v>
      </c>
      <c r="L145" s="19" t="s">
        <v>38</v>
      </c>
      <c r="M145" s="19" t="s">
        <v>54</v>
      </c>
      <c r="N145" s="19" t="s">
        <v>55</v>
      </c>
      <c r="O145" s="19"/>
    </row>
    <row r="146" ht="56.25" customHeight="1">
      <c r="A146" s="23" t="s">
        <v>1843</v>
      </c>
      <c r="B146" s="15" t="str">
        <f>IMAGE("https://imgur.com/0KL9ACV.png")</f>
        <v/>
      </c>
      <c r="C146" s="15" t="s">
        <v>28</v>
      </c>
      <c r="D146" s="25" t="s">
        <v>28</v>
      </c>
      <c r="E146" s="13">
        <v>1600.0</v>
      </c>
      <c r="F146" s="13">
        <v>400.0</v>
      </c>
      <c r="G146" s="19">
        <v>4809.0</v>
      </c>
      <c r="H146" s="19" t="s">
        <v>521</v>
      </c>
      <c r="I146" s="19" t="s">
        <v>521</v>
      </c>
      <c r="J146" s="19" t="s">
        <v>36</v>
      </c>
      <c r="K146" s="19" t="s">
        <v>113</v>
      </c>
      <c r="L146" s="19" t="s">
        <v>38</v>
      </c>
      <c r="M146" s="19" t="s">
        <v>43</v>
      </c>
      <c r="N146" s="19" t="s">
        <v>44</v>
      </c>
      <c r="O146" s="19"/>
    </row>
    <row r="147" ht="56.25" customHeight="1">
      <c r="A147" s="23" t="s">
        <v>1845</v>
      </c>
      <c r="B147" s="15" t="str">
        <f>IMAGE("https://imgur.com/ki9s3Ls.png")</f>
        <v/>
      </c>
      <c r="C147" s="15" t="s">
        <v>28</v>
      </c>
      <c r="D147" s="15" t="s">
        <v>28</v>
      </c>
      <c r="E147" s="24" t="s">
        <v>51</v>
      </c>
      <c r="F147" s="13">
        <v>750.0</v>
      </c>
      <c r="G147" s="19">
        <v>4854.0</v>
      </c>
      <c r="H147" s="19" t="s">
        <v>82</v>
      </c>
      <c r="I147" s="19" t="s">
        <v>258</v>
      </c>
      <c r="J147" s="19" t="s">
        <v>243</v>
      </c>
      <c r="K147" s="19" t="s">
        <v>90</v>
      </c>
      <c r="L147" s="19" t="s">
        <v>38</v>
      </c>
      <c r="M147" s="19" t="s">
        <v>54</v>
      </c>
      <c r="N147" s="19" t="s">
        <v>1609</v>
      </c>
      <c r="O147" s="19"/>
    </row>
    <row r="148" ht="56.25" customHeight="1">
      <c r="A148" s="23" t="s">
        <v>1846</v>
      </c>
      <c r="B148" s="15" t="str">
        <f>IMAGE("https://imgur.com/zz3X2er.png")</f>
        <v/>
      </c>
      <c r="C148" s="15" t="s">
        <v>50</v>
      </c>
      <c r="D148" s="25" t="s">
        <v>28</v>
      </c>
      <c r="E148" s="24" t="s">
        <v>51</v>
      </c>
      <c r="F148" s="13">
        <v>750.0</v>
      </c>
      <c r="G148" s="19">
        <v>5502.0</v>
      </c>
      <c r="H148" s="19" t="s">
        <v>1608</v>
      </c>
      <c r="I148" s="19" t="s">
        <v>82</v>
      </c>
      <c r="J148" s="19" t="s">
        <v>62</v>
      </c>
      <c r="K148" s="19" t="s">
        <v>284</v>
      </c>
      <c r="L148" s="19" t="s">
        <v>38</v>
      </c>
      <c r="M148" s="19" t="s">
        <v>54</v>
      </c>
      <c r="N148" s="19" t="s">
        <v>1609</v>
      </c>
      <c r="O148" s="19"/>
    </row>
    <row r="149" ht="56.25" customHeight="1">
      <c r="A149" s="23" t="s">
        <v>1848</v>
      </c>
      <c r="B149" s="15" t="str">
        <f>IMAGE("https://imgur.com/2oVk2wP.png")</f>
        <v/>
      </c>
      <c r="C149" s="15" t="s">
        <v>28</v>
      </c>
      <c r="D149" s="25" t="s">
        <v>28</v>
      </c>
      <c r="E149" s="24" t="s">
        <v>51</v>
      </c>
      <c r="F149" s="13">
        <v>370.0</v>
      </c>
      <c r="G149" s="19">
        <v>5226.0</v>
      </c>
      <c r="H149" s="19" t="s">
        <v>258</v>
      </c>
      <c r="I149" s="19" t="s">
        <v>82</v>
      </c>
      <c r="J149" s="19" t="s">
        <v>212</v>
      </c>
      <c r="K149" s="19" t="s">
        <v>36</v>
      </c>
      <c r="L149" s="19" t="s">
        <v>38</v>
      </c>
      <c r="M149" s="19" t="s">
        <v>54</v>
      </c>
      <c r="N149" s="19" t="s">
        <v>220</v>
      </c>
      <c r="O149" s="19"/>
    </row>
    <row r="150" ht="56.25" customHeight="1">
      <c r="A150" s="23" t="s">
        <v>1850</v>
      </c>
      <c r="B150" s="15" t="str">
        <f>IMAGE("https://i.imgur.com/eFUbBbH.png")</f>
        <v/>
      </c>
      <c r="C150" s="15" t="s">
        <v>28</v>
      </c>
      <c r="D150" s="25" t="s">
        <v>28</v>
      </c>
      <c r="E150" s="13">
        <v>1100.0</v>
      </c>
      <c r="F150" s="13">
        <v>275.0</v>
      </c>
      <c r="G150" s="19">
        <v>4899.0</v>
      </c>
      <c r="H150" s="19" t="s">
        <v>82</v>
      </c>
      <c r="I150" s="19" t="s">
        <v>258</v>
      </c>
      <c r="J150" s="19" t="s">
        <v>36</v>
      </c>
      <c r="K150" s="19" t="s">
        <v>113</v>
      </c>
      <c r="L150" s="19" t="s">
        <v>38</v>
      </c>
      <c r="M150" s="19" t="s">
        <v>43</v>
      </c>
      <c r="N150" s="19" t="s">
        <v>44</v>
      </c>
      <c r="O150" s="19"/>
    </row>
    <row r="151" ht="56.25" customHeight="1">
      <c r="A151" s="23" t="s">
        <v>1851</v>
      </c>
      <c r="B151" s="15" t="str">
        <f>IMAGE("https://i.imgur.com/umuiqD3.png")</f>
        <v/>
      </c>
      <c r="C151" s="15" t="s">
        <v>28</v>
      </c>
      <c r="D151" s="15" t="s">
        <v>28</v>
      </c>
      <c r="E151" s="13">
        <v>1540.0</v>
      </c>
      <c r="F151" s="13">
        <v>385.0</v>
      </c>
      <c r="G151" s="19">
        <v>4886.0</v>
      </c>
      <c r="H151" s="19" t="s">
        <v>82</v>
      </c>
      <c r="I151" s="19" t="s">
        <v>82</v>
      </c>
      <c r="J151" s="19" t="s">
        <v>36</v>
      </c>
      <c r="K151" s="19" t="s">
        <v>113</v>
      </c>
      <c r="L151" s="19" t="s">
        <v>38</v>
      </c>
      <c r="M151" s="19" t="s">
        <v>43</v>
      </c>
      <c r="N151" s="19" t="s">
        <v>44</v>
      </c>
      <c r="O151" s="19"/>
    </row>
    <row r="152" ht="56.25" customHeight="1">
      <c r="A152" s="23" t="s">
        <v>1853</v>
      </c>
      <c r="B152" s="15" t="str">
        <f>IMAGE("https://i.imgur.com/ZfweM7A.png")</f>
        <v/>
      </c>
      <c r="C152" s="15" t="s">
        <v>28</v>
      </c>
      <c r="D152" s="25" t="s">
        <v>28</v>
      </c>
      <c r="E152" s="13">
        <v>1850.0</v>
      </c>
      <c r="F152" s="13">
        <v>462.0</v>
      </c>
      <c r="G152" s="19">
        <v>6857.0</v>
      </c>
      <c r="H152" s="19" t="s">
        <v>107</v>
      </c>
      <c r="I152" s="19" t="s">
        <v>107</v>
      </c>
      <c r="J152" s="19" t="s">
        <v>183</v>
      </c>
      <c r="K152" s="19" t="s">
        <v>90</v>
      </c>
      <c r="L152" s="19" t="s">
        <v>38</v>
      </c>
      <c r="M152" s="19" t="s">
        <v>43</v>
      </c>
      <c r="N152" s="19" t="s">
        <v>44</v>
      </c>
      <c r="O152" s="19"/>
    </row>
    <row r="153" ht="56.25" customHeight="1">
      <c r="A153" s="23" t="s">
        <v>1855</v>
      </c>
      <c r="B153" s="15" t="str">
        <f>IMAGE("https://imgur.com/Xs8PPea.png")</f>
        <v/>
      </c>
      <c r="C153" s="15" t="s">
        <v>28</v>
      </c>
      <c r="D153" s="25" t="s">
        <v>50</v>
      </c>
      <c r="E153" s="24" t="s">
        <v>51</v>
      </c>
      <c r="F153" s="13">
        <v>4000.0</v>
      </c>
      <c r="G153" s="19">
        <v>4918.0</v>
      </c>
      <c r="H153" s="19" t="s">
        <v>107</v>
      </c>
      <c r="I153" s="19" t="s">
        <v>107</v>
      </c>
      <c r="J153" s="19" t="s">
        <v>36</v>
      </c>
      <c r="K153" s="19" t="s">
        <v>113</v>
      </c>
      <c r="L153" s="19" t="s">
        <v>38</v>
      </c>
      <c r="M153" s="19" t="s">
        <v>54</v>
      </c>
      <c r="N153" s="19" t="s">
        <v>55</v>
      </c>
      <c r="O153" s="19"/>
    </row>
    <row r="154" ht="56.25" customHeight="1">
      <c r="A154" s="23" t="s">
        <v>1856</v>
      </c>
      <c r="B154" s="15" t="str">
        <f>IMAGE("https://imgur.com/bQXvIU2.png")</f>
        <v/>
      </c>
      <c r="C154" s="15" t="s">
        <v>28</v>
      </c>
      <c r="D154" s="25" t="s">
        <v>50</v>
      </c>
      <c r="E154" s="24" t="s">
        <v>51</v>
      </c>
      <c r="F154" s="13">
        <v>4000.0</v>
      </c>
      <c r="G154" s="19">
        <v>4917.0</v>
      </c>
      <c r="H154" s="19" t="s">
        <v>369</v>
      </c>
      <c r="I154" s="19" t="s">
        <v>369</v>
      </c>
      <c r="J154" s="19" t="s">
        <v>36</v>
      </c>
      <c r="K154" s="19" t="s">
        <v>113</v>
      </c>
      <c r="L154" s="19" t="s">
        <v>38</v>
      </c>
      <c r="M154" s="19" t="s">
        <v>54</v>
      </c>
      <c r="N154" s="19" t="s">
        <v>55</v>
      </c>
      <c r="O154" s="19"/>
    </row>
    <row r="155" ht="56.25" customHeight="1">
      <c r="A155" s="23" t="s">
        <v>1858</v>
      </c>
      <c r="B155" s="15" t="str">
        <f>IMAGE("https://i.imgur.com/dHhqyBm.png")</f>
        <v/>
      </c>
      <c r="C155" s="15" t="s">
        <v>28</v>
      </c>
      <c r="D155" s="25" t="s">
        <v>28</v>
      </c>
      <c r="E155" s="13">
        <v>1180.0</v>
      </c>
      <c r="F155" s="13">
        <v>295.0</v>
      </c>
      <c r="G155" s="19">
        <v>4921.0</v>
      </c>
      <c r="H155" s="19" t="s">
        <v>118</v>
      </c>
      <c r="I155" s="19" t="s">
        <v>118</v>
      </c>
      <c r="J155" s="19" t="s">
        <v>52</v>
      </c>
      <c r="K155" s="19" t="s">
        <v>90</v>
      </c>
      <c r="L155" s="19" t="s">
        <v>38</v>
      </c>
      <c r="M155" s="19" t="s">
        <v>43</v>
      </c>
      <c r="N155" s="19" t="s">
        <v>44</v>
      </c>
      <c r="O155" s="19"/>
    </row>
    <row r="156" ht="56.25" customHeight="1">
      <c r="A156" s="23" t="s">
        <v>1859</v>
      </c>
      <c r="B156" s="15" t="str">
        <f>IMAGE("https://imgur.com/svSr1yu.png")</f>
        <v/>
      </c>
      <c r="C156" s="15" t="s">
        <v>28</v>
      </c>
      <c r="D156" s="15" t="s">
        <v>28</v>
      </c>
      <c r="E156" s="13">
        <v>1760.0</v>
      </c>
      <c r="F156" s="13">
        <v>440.0</v>
      </c>
      <c r="G156" s="19">
        <v>4895.0</v>
      </c>
      <c r="H156" s="19" t="s">
        <v>107</v>
      </c>
      <c r="I156" s="19" t="s">
        <v>118</v>
      </c>
      <c r="J156" s="19" t="s">
        <v>36</v>
      </c>
      <c r="K156" s="19" t="s">
        <v>60</v>
      </c>
      <c r="L156" s="19" t="s">
        <v>38</v>
      </c>
      <c r="M156" s="19" t="s">
        <v>43</v>
      </c>
      <c r="N156" s="19" t="s">
        <v>44</v>
      </c>
      <c r="O156" s="19"/>
    </row>
    <row r="157" ht="56.25" customHeight="1">
      <c r="A157" s="23" t="s">
        <v>1861</v>
      </c>
      <c r="B157" s="15" t="str">
        <f>IMAGE("https://imgur.com/vGxGZG4.png")</f>
        <v/>
      </c>
      <c r="C157" s="15" t="s">
        <v>28</v>
      </c>
      <c r="D157" s="25" t="s">
        <v>28</v>
      </c>
      <c r="E157" s="13">
        <v>2420.0</v>
      </c>
      <c r="F157" s="13">
        <v>605.0</v>
      </c>
      <c r="G157" s="19">
        <v>7242.0</v>
      </c>
      <c r="H157" s="19" t="s">
        <v>107</v>
      </c>
      <c r="I157" s="19" t="s">
        <v>258</v>
      </c>
      <c r="J157" s="19" t="s">
        <v>36</v>
      </c>
      <c r="K157" s="19" t="s">
        <v>37</v>
      </c>
      <c r="L157" s="19" t="s">
        <v>38</v>
      </c>
      <c r="M157" s="19" t="s">
        <v>43</v>
      </c>
      <c r="N157" s="19" t="s">
        <v>44</v>
      </c>
      <c r="O157" s="19"/>
    </row>
    <row r="158" ht="56.25" customHeight="1">
      <c r="A158" s="23" t="s">
        <v>1862</v>
      </c>
      <c r="B158" s="15" t="str">
        <f>IMAGE("https://imgur.com/3Oy6YGQ.png")</f>
        <v/>
      </c>
      <c r="C158" s="15" t="s">
        <v>28</v>
      </c>
      <c r="D158" s="25" t="s">
        <v>28</v>
      </c>
      <c r="E158" s="13">
        <v>1780.0</v>
      </c>
      <c r="F158" s="13">
        <v>445.0</v>
      </c>
      <c r="G158" s="19">
        <v>4893.0</v>
      </c>
      <c r="H158" s="19" t="s">
        <v>107</v>
      </c>
      <c r="I158" s="19" t="s">
        <v>107</v>
      </c>
      <c r="J158" s="19" t="s">
        <v>36</v>
      </c>
      <c r="K158" s="19" t="s">
        <v>60</v>
      </c>
      <c r="L158" s="19" t="s">
        <v>38</v>
      </c>
      <c r="M158" s="19" t="s">
        <v>43</v>
      </c>
      <c r="N158" s="19" t="s">
        <v>44</v>
      </c>
      <c r="O158" s="19"/>
    </row>
    <row r="159" ht="56.25" customHeight="1">
      <c r="A159" s="23" t="s">
        <v>1864</v>
      </c>
      <c r="B159" s="15" t="str">
        <f>IMAGE("https://imgur.com/s0rkUhv.png")</f>
        <v/>
      </c>
      <c r="C159" s="15" t="s">
        <v>28</v>
      </c>
      <c r="D159" s="25" t="s">
        <v>28</v>
      </c>
      <c r="E159" s="13">
        <v>1280.0</v>
      </c>
      <c r="F159" s="13">
        <v>320.0</v>
      </c>
      <c r="G159" s="19">
        <v>4875.0</v>
      </c>
      <c r="H159" s="19" t="s">
        <v>107</v>
      </c>
      <c r="I159" s="19" t="s">
        <v>107</v>
      </c>
      <c r="J159" s="19" t="s">
        <v>36</v>
      </c>
      <c r="K159" s="19" t="s">
        <v>113</v>
      </c>
      <c r="L159" s="19" t="s">
        <v>38</v>
      </c>
      <c r="M159" s="19" t="s">
        <v>43</v>
      </c>
      <c r="N159" s="19" t="s">
        <v>44</v>
      </c>
      <c r="O159" s="19"/>
    </row>
    <row r="160" ht="56.25" customHeight="1">
      <c r="A160" s="23" t="s">
        <v>1865</v>
      </c>
      <c r="B160" s="15" t="str">
        <f>IMAGE("https://imgur.com/TjLlfBC.png")</f>
        <v/>
      </c>
      <c r="C160" s="15" t="s">
        <v>28</v>
      </c>
      <c r="D160" s="25" t="s">
        <v>28</v>
      </c>
      <c r="E160" s="13">
        <v>1650.0</v>
      </c>
      <c r="F160" s="13">
        <v>412.0</v>
      </c>
      <c r="G160" s="19">
        <v>4802.0</v>
      </c>
      <c r="H160" s="19" t="s">
        <v>107</v>
      </c>
      <c r="I160" s="19" t="s">
        <v>107</v>
      </c>
      <c r="J160" s="19" t="s">
        <v>36</v>
      </c>
      <c r="K160" s="19" t="s">
        <v>113</v>
      </c>
      <c r="L160" s="19" t="s">
        <v>38</v>
      </c>
      <c r="M160" s="19" t="s">
        <v>43</v>
      </c>
      <c r="N160" s="19" t="s">
        <v>44</v>
      </c>
      <c r="O160" s="19"/>
    </row>
    <row r="161" ht="56.25" customHeight="1">
      <c r="A161" s="23" t="s">
        <v>1867</v>
      </c>
      <c r="B161" s="15" t="str">
        <f>IMAGE("https://imgur.com/5hPODxS.png")</f>
        <v/>
      </c>
      <c r="C161" s="15" t="s">
        <v>28</v>
      </c>
      <c r="D161" s="25" t="s">
        <v>28</v>
      </c>
      <c r="E161" s="13">
        <v>2540.0</v>
      </c>
      <c r="F161" s="13">
        <v>635.0</v>
      </c>
      <c r="G161" s="19">
        <v>4889.0</v>
      </c>
      <c r="H161" s="19" t="s">
        <v>107</v>
      </c>
      <c r="I161" s="19" t="s">
        <v>107</v>
      </c>
      <c r="J161" s="19" t="s">
        <v>113</v>
      </c>
      <c r="K161" s="19" t="s">
        <v>36</v>
      </c>
      <c r="L161" s="19" t="s">
        <v>38</v>
      </c>
      <c r="M161" s="19" t="s">
        <v>43</v>
      </c>
      <c r="N161" s="19" t="s">
        <v>44</v>
      </c>
      <c r="O161" s="19"/>
    </row>
    <row r="162" ht="56.25" customHeight="1">
      <c r="A162" s="23" t="s">
        <v>1868</v>
      </c>
      <c r="B162" s="15" t="str">
        <f>IMAGE("https://imgur.com/59dY2lu.png")</f>
        <v/>
      </c>
      <c r="C162" s="15" t="s">
        <v>28</v>
      </c>
      <c r="D162" s="25" t="s">
        <v>28</v>
      </c>
      <c r="E162" s="13">
        <v>2150.0</v>
      </c>
      <c r="F162" s="13">
        <v>537.0</v>
      </c>
      <c r="G162" s="19">
        <v>7274.0</v>
      </c>
      <c r="H162" s="19" t="s">
        <v>107</v>
      </c>
      <c r="I162" s="19" t="s">
        <v>82</v>
      </c>
      <c r="J162" s="19" t="s">
        <v>36</v>
      </c>
      <c r="K162" s="19" t="s">
        <v>113</v>
      </c>
      <c r="L162" s="19" t="s">
        <v>38</v>
      </c>
      <c r="M162" s="19" t="s">
        <v>43</v>
      </c>
      <c r="N162" s="19" t="s">
        <v>44</v>
      </c>
      <c r="O162" s="19"/>
    </row>
    <row r="163" ht="56.25" customHeight="1">
      <c r="A163" s="23" t="s">
        <v>1870</v>
      </c>
      <c r="B163" s="15" t="str">
        <f>IMAGE("https://i.imgur.com/O2i4MWg.png")</f>
        <v/>
      </c>
      <c r="C163" s="15" t="s">
        <v>28</v>
      </c>
      <c r="D163" s="25" t="s">
        <v>28</v>
      </c>
      <c r="E163" s="13">
        <v>620.0</v>
      </c>
      <c r="F163" s="13">
        <v>155.0</v>
      </c>
      <c r="G163" s="19">
        <v>4924.0</v>
      </c>
      <c r="H163" s="19" t="s">
        <v>107</v>
      </c>
      <c r="I163" s="19" t="s">
        <v>107</v>
      </c>
      <c r="J163" s="19" t="s">
        <v>243</v>
      </c>
      <c r="K163" s="19"/>
      <c r="L163" s="19" t="s">
        <v>38</v>
      </c>
      <c r="M163" s="19" t="s">
        <v>43</v>
      </c>
      <c r="N163" s="19" t="s">
        <v>44</v>
      </c>
      <c r="O163" s="19"/>
    </row>
    <row r="164" ht="56.25" customHeight="1">
      <c r="A164" s="23" t="s">
        <v>1871</v>
      </c>
      <c r="B164" s="15" t="str">
        <f>IMAGE("https://imgur.com/zeLkKh5.png")</f>
        <v/>
      </c>
      <c r="C164" s="15" t="s">
        <v>28</v>
      </c>
      <c r="D164" s="15" t="s">
        <v>28</v>
      </c>
      <c r="E164" s="13">
        <v>750.0</v>
      </c>
      <c r="F164" s="13">
        <v>187.0</v>
      </c>
      <c r="G164" s="19">
        <v>4868.0</v>
      </c>
      <c r="H164" s="19" t="s">
        <v>107</v>
      </c>
      <c r="I164" s="19" t="s">
        <v>107</v>
      </c>
      <c r="J164" s="19" t="s">
        <v>113</v>
      </c>
      <c r="K164" s="19" t="s">
        <v>60</v>
      </c>
      <c r="L164" s="19" t="s">
        <v>38</v>
      </c>
      <c r="M164" s="19" t="s">
        <v>43</v>
      </c>
      <c r="N164" s="19" t="s">
        <v>44</v>
      </c>
      <c r="O164" s="19"/>
    </row>
    <row r="165" ht="56.25" customHeight="1">
      <c r="A165" s="23" t="s">
        <v>1873</v>
      </c>
      <c r="B165" s="15" t="str">
        <f>IMAGE("https://imgur.com/CHMMKbn.png")</f>
        <v/>
      </c>
      <c r="C165" s="15" t="s">
        <v>28</v>
      </c>
      <c r="D165" s="25" t="s">
        <v>28</v>
      </c>
      <c r="E165" s="13">
        <v>2350.0</v>
      </c>
      <c r="F165" s="13">
        <v>587.0</v>
      </c>
      <c r="G165" s="19">
        <v>4816.0</v>
      </c>
      <c r="H165" s="19" t="s">
        <v>107</v>
      </c>
      <c r="I165" s="19" t="s">
        <v>82</v>
      </c>
      <c r="J165" s="19" t="s">
        <v>36</v>
      </c>
      <c r="K165" s="19" t="s">
        <v>62</v>
      </c>
      <c r="L165" s="19" t="s">
        <v>38</v>
      </c>
      <c r="M165" s="19" t="s">
        <v>43</v>
      </c>
      <c r="N165" s="19" t="s">
        <v>44</v>
      </c>
      <c r="O165" s="19"/>
    </row>
    <row r="166" ht="56.25" customHeight="1">
      <c r="A166" s="23" t="s">
        <v>1874</v>
      </c>
      <c r="B166" s="15" t="str">
        <f>IMAGE("https://imgur.com/98fKH7c.png")</f>
        <v/>
      </c>
      <c r="C166" s="15" t="s">
        <v>28</v>
      </c>
      <c r="D166" s="25" t="s">
        <v>28</v>
      </c>
      <c r="E166" s="13">
        <v>1520.0</v>
      </c>
      <c r="F166" s="13">
        <v>380.0</v>
      </c>
      <c r="G166" s="19">
        <v>4943.0</v>
      </c>
      <c r="H166" s="19" t="s">
        <v>107</v>
      </c>
      <c r="I166" s="19" t="s">
        <v>82</v>
      </c>
      <c r="J166" s="19" t="s">
        <v>36</v>
      </c>
      <c r="K166" s="19" t="s">
        <v>113</v>
      </c>
      <c r="L166" s="19" t="s">
        <v>38</v>
      </c>
      <c r="M166" s="19" t="s">
        <v>43</v>
      </c>
      <c r="N166" s="19" t="s">
        <v>44</v>
      </c>
      <c r="O166" s="19"/>
    </row>
    <row r="167" ht="56.25" customHeight="1">
      <c r="A167" s="23" t="s">
        <v>1876</v>
      </c>
      <c r="B167" s="15" t="str">
        <f>IMAGE("https://imgur.com/61PHTcS.png")</f>
        <v/>
      </c>
      <c r="C167" s="15" t="s">
        <v>28</v>
      </c>
      <c r="D167" s="25" t="s">
        <v>28</v>
      </c>
      <c r="E167" s="13">
        <v>1150.0</v>
      </c>
      <c r="F167" s="13">
        <v>287.0</v>
      </c>
      <c r="G167" s="19">
        <v>4885.0</v>
      </c>
      <c r="H167" s="19" t="s">
        <v>464</v>
      </c>
      <c r="I167" s="19" t="s">
        <v>464</v>
      </c>
      <c r="J167" s="19" t="s">
        <v>212</v>
      </c>
      <c r="K167" s="19" t="s">
        <v>113</v>
      </c>
      <c r="L167" s="19" t="s">
        <v>38</v>
      </c>
      <c r="M167" s="19" t="s">
        <v>43</v>
      </c>
      <c r="N167" s="19" t="s">
        <v>44</v>
      </c>
      <c r="O167" s="19"/>
    </row>
    <row r="168" ht="56.25" customHeight="1">
      <c r="A168" s="23" t="s">
        <v>1877</v>
      </c>
      <c r="B168" s="15" t="str">
        <f>IMAGE("https://imgur.com/DATiVBG.png")</f>
        <v/>
      </c>
      <c r="C168" s="15" t="s">
        <v>28</v>
      </c>
      <c r="D168" s="15" t="s">
        <v>28</v>
      </c>
      <c r="E168" s="13">
        <v>2440.0</v>
      </c>
      <c r="F168" s="13">
        <v>610.0</v>
      </c>
      <c r="G168" s="19">
        <v>6864.0</v>
      </c>
      <c r="H168" s="19" t="s">
        <v>464</v>
      </c>
      <c r="I168" s="19" t="s">
        <v>464</v>
      </c>
      <c r="J168" s="19" t="s">
        <v>183</v>
      </c>
      <c r="K168" s="19" t="s">
        <v>90</v>
      </c>
      <c r="L168" s="19" t="s">
        <v>38</v>
      </c>
      <c r="M168" s="19" t="s">
        <v>43</v>
      </c>
      <c r="N168" s="19" t="s">
        <v>44</v>
      </c>
      <c r="O168" s="19"/>
    </row>
    <row r="169" ht="56.25" customHeight="1">
      <c r="A169" s="23" t="s">
        <v>1879</v>
      </c>
      <c r="B169" s="15" t="str">
        <f>IMAGE("https://imgur.com/TIEFU1u.png")</f>
        <v/>
      </c>
      <c r="C169" s="15" t="s">
        <v>28</v>
      </c>
      <c r="D169" s="25" t="s">
        <v>28</v>
      </c>
      <c r="E169" s="13">
        <v>1100.0</v>
      </c>
      <c r="F169" s="13">
        <v>275.0</v>
      </c>
      <c r="G169" s="19">
        <v>4902.0</v>
      </c>
      <c r="H169" s="19" t="s">
        <v>464</v>
      </c>
      <c r="I169" s="19" t="s">
        <v>82</v>
      </c>
      <c r="J169" s="19" t="s">
        <v>36</v>
      </c>
      <c r="K169" s="19" t="s">
        <v>113</v>
      </c>
      <c r="L169" s="19" t="s">
        <v>38</v>
      </c>
      <c r="M169" s="19" t="s">
        <v>43</v>
      </c>
      <c r="N169" s="19" t="s">
        <v>44</v>
      </c>
      <c r="O169" s="19"/>
    </row>
    <row r="170" ht="56.25" customHeight="1">
      <c r="A170" s="23" t="s">
        <v>1880</v>
      </c>
      <c r="B170" s="15" t="str">
        <f>IMAGE("https://imgur.com/FZ3uLJf.png")</f>
        <v/>
      </c>
      <c r="C170" s="15" t="s">
        <v>28</v>
      </c>
      <c r="D170" s="15" t="s">
        <v>28</v>
      </c>
      <c r="E170" s="13">
        <v>1540.0</v>
      </c>
      <c r="F170" s="13">
        <v>385.0</v>
      </c>
      <c r="G170" s="19">
        <v>6875.0</v>
      </c>
      <c r="H170" s="19" t="s">
        <v>464</v>
      </c>
      <c r="I170" s="19" t="s">
        <v>258</v>
      </c>
      <c r="J170" s="19"/>
      <c r="K170" s="19"/>
      <c r="L170" s="19" t="s">
        <v>38</v>
      </c>
      <c r="M170" s="19" t="s">
        <v>43</v>
      </c>
      <c r="N170" s="19" t="s">
        <v>44</v>
      </c>
      <c r="O170" s="19"/>
    </row>
    <row r="171" ht="56.25" customHeight="1">
      <c r="A171" s="23" t="s">
        <v>1881</v>
      </c>
      <c r="B171" s="15" t="str">
        <f>IMAGE("https://imgur.com/KBI00qz.png")</f>
        <v/>
      </c>
      <c r="C171" s="15" t="s">
        <v>28</v>
      </c>
      <c r="D171" s="25" t="s">
        <v>28</v>
      </c>
      <c r="E171" s="13">
        <v>2150.0</v>
      </c>
      <c r="F171" s="13">
        <v>537.0</v>
      </c>
      <c r="G171" s="19">
        <v>7275.0</v>
      </c>
      <c r="H171" s="19" t="s">
        <v>464</v>
      </c>
      <c r="I171" s="19" t="s">
        <v>82</v>
      </c>
      <c r="J171" s="19" t="s">
        <v>36</v>
      </c>
      <c r="K171" s="19" t="s">
        <v>113</v>
      </c>
      <c r="L171" s="19" t="s">
        <v>38</v>
      </c>
      <c r="M171" s="19" t="s">
        <v>43</v>
      </c>
      <c r="N171" s="19" t="s">
        <v>44</v>
      </c>
      <c r="O171" s="19"/>
    </row>
    <row r="172" ht="56.25" customHeight="1">
      <c r="A172" s="23" t="s">
        <v>1883</v>
      </c>
      <c r="B172" s="15" t="str">
        <f>IMAGE("https://i.imgur.com/LAFmqbG.png")</f>
        <v/>
      </c>
      <c r="C172" s="15" t="s">
        <v>28</v>
      </c>
      <c r="D172" s="15" t="s">
        <v>28</v>
      </c>
      <c r="E172" s="13">
        <v>1720.0</v>
      </c>
      <c r="F172" s="13">
        <v>430.0</v>
      </c>
      <c r="G172" s="19">
        <v>4907.0</v>
      </c>
      <c r="H172" s="19" t="s">
        <v>464</v>
      </c>
      <c r="I172" s="19" t="s">
        <v>464</v>
      </c>
      <c r="J172" s="19" t="s">
        <v>36</v>
      </c>
      <c r="K172" s="19"/>
      <c r="L172" s="19" t="s">
        <v>38</v>
      </c>
      <c r="M172" s="19" t="s">
        <v>43</v>
      </c>
      <c r="N172" s="19" t="s">
        <v>44</v>
      </c>
      <c r="O172" s="19"/>
    </row>
    <row r="173" ht="56.25" customHeight="1">
      <c r="A173" s="23" t="s">
        <v>1885</v>
      </c>
      <c r="B173" s="15" t="str">
        <f>IMAGE("https://imgur.com/k4w88m0.png")</f>
        <v/>
      </c>
      <c r="C173" s="15" t="s">
        <v>28</v>
      </c>
      <c r="D173" s="25" t="s">
        <v>28</v>
      </c>
      <c r="E173" s="13">
        <v>1800.0</v>
      </c>
      <c r="F173" s="13">
        <v>450.0</v>
      </c>
      <c r="G173" s="19">
        <v>4845.0</v>
      </c>
      <c r="H173" s="19" t="s">
        <v>118</v>
      </c>
      <c r="I173" s="19" t="s">
        <v>1608</v>
      </c>
      <c r="J173" s="19" t="s">
        <v>284</v>
      </c>
      <c r="K173" s="19"/>
      <c r="L173" s="19" t="s">
        <v>38</v>
      </c>
      <c r="M173" s="19" t="s">
        <v>43</v>
      </c>
      <c r="N173" s="19" t="s">
        <v>44</v>
      </c>
      <c r="O173" s="19"/>
    </row>
    <row r="174" ht="56.25" customHeight="1">
      <c r="A174" s="23" t="s">
        <v>1886</v>
      </c>
      <c r="B174" s="15" t="str">
        <f>IMAGE("http://i.imgur.com/pQLaWYf.png")</f>
        <v/>
      </c>
      <c r="C174" s="15" t="s">
        <v>28</v>
      </c>
      <c r="D174" s="25" t="s">
        <v>28</v>
      </c>
      <c r="E174" s="24" t="s">
        <v>51</v>
      </c>
      <c r="F174" s="13">
        <v>750.0</v>
      </c>
      <c r="G174" s="19">
        <v>5225.0</v>
      </c>
      <c r="H174" s="19" t="s">
        <v>118</v>
      </c>
      <c r="I174" s="19" t="s">
        <v>1608</v>
      </c>
      <c r="J174" s="19" t="s">
        <v>346</v>
      </c>
      <c r="K174" s="19"/>
      <c r="L174" s="19" t="s">
        <v>38</v>
      </c>
      <c r="M174" s="19" t="s">
        <v>54</v>
      </c>
      <c r="N174" s="19" t="s">
        <v>1609</v>
      </c>
      <c r="O174" s="19"/>
    </row>
    <row r="175" ht="56.25" customHeight="1">
      <c r="A175" s="23" t="s">
        <v>1888</v>
      </c>
      <c r="B175" s="15" t="str">
        <f>IMAGE("https://imgur.com/wmB1glT.png")</f>
        <v/>
      </c>
      <c r="C175" s="15" t="s">
        <v>28</v>
      </c>
      <c r="D175" s="15" t="s">
        <v>28</v>
      </c>
      <c r="E175" s="13">
        <v>2780.0</v>
      </c>
      <c r="F175" s="13">
        <v>695.0</v>
      </c>
      <c r="G175" s="19">
        <v>4818.0</v>
      </c>
      <c r="H175" s="19" t="s">
        <v>208</v>
      </c>
      <c r="I175" s="19" t="s">
        <v>99</v>
      </c>
      <c r="J175" s="19" t="s">
        <v>113</v>
      </c>
      <c r="K175" s="19" t="s">
        <v>60</v>
      </c>
      <c r="L175" s="19" t="s">
        <v>38</v>
      </c>
      <c r="M175" s="19" t="s">
        <v>43</v>
      </c>
      <c r="N175" s="19" t="s">
        <v>44</v>
      </c>
      <c r="O175" s="19"/>
    </row>
    <row r="176" ht="56.25" customHeight="1">
      <c r="A176" s="23" t="s">
        <v>1889</v>
      </c>
      <c r="B176" s="15" t="str">
        <f>IMAGE("https://imgur.com/5OWmxac.png")</f>
        <v/>
      </c>
      <c r="C176" s="15" t="s">
        <v>28</v>
      </c>
      <c r="D176" s="25" t="s">
        <v>28</v>
      </c>
      <c r="E176" s="13">
        <v>1900.0</v>
      </c>
      <c r="F176" s="13">
        <v>475.0</v>
      </c>
      <c r="G176" s="19">
        <v>4897.0</v>
      </c>
      <c r="H176" s="19" t="s">
        <v>208</v>
      </c>
      <c r="I176" s="19" t="s">
        <v>118</v>
      </c>
      <c r="J176" s="19" t="s">
        <v>62</v>
      </c>
      <c r="K176" s="19" t="s">
        <v>60</v>
      </c>
      <c r="L176" s="19" t="s">
        <v>38</v>
      </c>
      <c r="M176" s="19" t="s">
        <v>43</v>
      </c>
      <c r="N176" s="19" t="s">
        <v>44</v>
      </c>
      <c r="O176" s="19"/>
    </row>
    <row r="177" ht="56.25" customHeight="1">
      <c r="A177" s="23" t="s">
        <v>1891</v>
      </c>
      <c r="B177" s="15" t="str">
        <f>IMAGE("https://imgur.com/JUhcvIr.png")</f>
        <v/>
      </c>
      <c r="C177" s="15" t="s">
        <v>28</v>
      </c>
      <c r="D177" s="25" t="s">
        <v>28</v>
      </c>
      <c r="E177" s="13">
        <v>1100.0</v>
      </c>
      <c r="F177" s="13">
        <v>275.0</v>
      </c>
      <c r="G177" s="19">
        <v>4900.0</v>
      </c>
      <c r="H177" s="19" t="s">
        <v>208</v>
      </c>
      <c r="I177" s="19" t="s">
        <v>208</v>
      </c>
      <c r="J177" s="19" t="s">
        <v>36</v>
      </c>
      <c r="K177" s="19" t="s">
        <v>113</v>
      </c>
      <c r="L177" s="19" t="s">
        <v>38</v>
      </c>
      <c r="M177" s="19" t="s">
        <v>43</v>
      </c>
      <c r="N177" s="19" t="s">
        <v>44</v>
      </c>
      <c r="O177" s="19"/>
    </row>
    <row r="178" ht="56.25" customHeight="1">
      <c r="A178" s="23" t="s">
        <v>1892</v>
      </c>
      <c r="B178" s="15" t="str">
        <f>IMAGE("https://i.imgur.com/ptFYtE1.png")</f>
        <v/>
      </c>
      <c r="C178" s="15" t="s">
        <v>28</v>
      </c>
      <c r="D178" s="25" t="s">
        <v>28</v>
      </c>
      <c r="E178" s="13">
        <v>1280.0</v>
      </c>
      <c r="F178" s="13">
        <v>320.0</v>
      </c>
      <c r="G178" s="19">
        <v>6870.0</v>
      </c>
      <c r="H178" s="19" t="s">
        <v>208</v>
      </c>
      <c r="I178" s="19" t="s">
        <v>208</v>
      </c>
      <c r="J178" s="19" t="s">
        <v>36</v>
      </c>
      <c r="K178" s="19" t="s">
        <v>113</v>
      </c>
      <c r="L178" s="19" t="s">
        <v>38</v>
      </c>
      <c r="M178" s="19" t="s">
        <v>43</v>
      </c>
      <c r="N178" s="19" t="s">
        <v>44</v>
      </c>
      <c r="O178" s="19"/>
    </row>
    <row r="179" ht="56.25" customHeight="1">
      <c r="A179" s="23" t="s">
        <v>1894</v>
      </c>
      <c r="B179" s="15" t="str">
        <f>IMAGE("https://imgur.com/Ju0e2Rx.png")</f>
        <v/>
      </c>
      <c r="C179" s="15" t="s">
        <v>28</v>
      </c>
      <c r="D179" s="25" t="s">
        <v>28</v>
      </c>
      <c r="E179" s="13">
        <v>1570.0</v>
      </c>
      <c r="F179" s="13">
        <v>392.0</v>
      </c>
      <c r="G179" s="19">
        <v>6879.0</v>
      </c>
      <c r="H179" s="19" t="s">
        <v>208</v>
      </c>
      <c r="I179" s="19" t="s">
        <v>82</v>
      </c>
      <c r="J179" s="19" t="s">
        <v>60</v>
      </c>
      <c r="K179" s="19" t="s">
        <v>37</v>
      </c>
      <c r="L179" s="19" t="s">
        <v>38</v>
      </c>
      <c r="M179" s="19" t="s">
        <v>43</v>
      </c>
      <c r="N179" s="19" t="s">
        <v>44</v>
      </c>
      <c r="O179" s="19"/>
    </row>
    <row r="180" ht="56.25" customHeight="1">
      <c r="A180" s="23" t="s">
        <v>1895</v>
      </c>
      <c r="B180" s="15" t="str">
        <f>IMAGE("https://imgur.com/09PAWxt.png")</f>
        <v/>
      </c>
      <c r="C180" s="15" t="s">
        <v>28</v>
      </c>
      <c r="D180" s="25" t="s">
        <v>28</v>
      </c>
      <c r="E180" s="13">
        <v>1180.0</v>
      </c>
      <c r="F180" s="13">
        <v>295.0</v>
      </c>
      <c r="G180" s="19">
        <v>6853.0</v>
      </c>
      <c r="H180" s="19" t="s">
        <v>208</v>
      </c>
      <c r="I180" s="19" t="s">
        <v>208</v>
      </c>
      <c r="J180" s="19" t="s">
        <v>52</v>
      </c>
      <c r="K180" s="19" t="s">
        <v>90</v>
      </c>
      <c r="L180" s="19" t="s">
        <v>38</v>
      </c>
      <c r="M180" s="19" t="s">
        <v>43</v>
      </c>
      <c r="N180" s="19" t="s">
        <v>44</v>
      </c>
      <c r="O180" s="19"/>
    </row>
    <row r="181" ht="56.25" customHeight="1">
      <c r="A181" s="23" t="s">
        <v>1897</v>
      </c>
      <c r="B181" s="15" t="str">
        <f>IMAGE("https://imgur.com/z8QhKSq.png")</f>
        <v/>
      </c>
      <c r="C181" s="15" t="s">
        <v>28</v>
      </c>
      <c r="D181" s="25" t="s">
        <v>28</v>
      </c>
      <c r="E181" s="13">
        <v>1850.0</v>
      </c>
      <c r="F181" s="13">
        <v>462.0</v>
      </c>
      <c r="G181" s="19">
        <v>6856.0</v>
      </c>
      <c r="H181" s="19" t="s">
        <v>208</v>
      </c>
      <c r="I181" s="19" t="s">
        <v>208</v>
      </c>
      <c r="J181" s="19" t="s">
        <v>183</v>
      </c>
      <c r="K181" s="19" t="s">
        <v>90</v>
      </c>
      <c r="L181" s="19" t="s">
        <v>38</v>
      </c>
      <c r="M181" s="19" t="s">
        <v>43</v>
      </c>
      <c r="N181" s="19" t="s">
        <v>44</v>
      </c>
      <c r="O181" s="19"/>
    </row>
    <row r="182" ht="56.25" customHeight="1">
      <c r="A182" s="23" t="s">
        <v>1899</v>
      </c>
      <c r="B182" s="15" t="str">
        <f>IMAGE("https://imgur.com/dztahb1.png")</f>
        <v/>
      </c>
      <c r="C182" s="15" t="s">
        <v>28</v>
      </c>
      <c r="D182" s="15" t="s">
        <v>28</v>
      </c>
      <c r="E182" s="13">
        <v>1000.0</v>
      </c>
      <c r="F182" s="13">
        <v>250.0</v>
      </c>
      <c r="G182" s="19">
        <v>4928.0</v>
      </c>
      <c r="H182" s="19" t="s">
        <v>208</v>
      </c>
      <c r="I182" s="19" t="s">
        <v>118</v>
      </c>
      <c r="J182" s="19" t="s">
        <v>90</v>
      </c>
      <c r="K182" s="19" t="s">
        <v>37</v>
      </c>
      <c r="L182" s="19" t="s">
        <v>38</v>
      </c>
      <c r="M182" s="19" t="s">
        <v>43</v>
      </c>
      <c r="N182" s="19" t="s">
        <v>44</v>
      </c>
      <c r="O182" s="19"/>
    </row>
    <row r="183" ht="56.25" customHeight="1">
      <c r="A183" s="23" t="s">
        <v>1901</v>
      </c>
      <c r="B183" s="15" t="str">
        <f>IMAGE("https://i.imgur.com/16R6d4N.png")</f>
        <v/>
      </c>
      <c r="C183" s="15" t="s">
        <v>28</v>
      </c>
      <c r="D183" s="15" t="s">
        <v>28</v>
      </c>
      <c r="E183" s="13">
        <v>1660.0</v>
      </c>
      <c r="F183" s="13">
        <v>415.0</v>
      </c>
      <c r="G183" s="19">
        <v>4847.0</v>
      </c>
      <c r="H183" s="19" t="s">
        <v>369</v>
      </c>
      <c r="I183" s="19" t="s">
        <v>369</v>
      </c>
      <c r="J183" s="19" t="s">
        <v>36</v>
      </c>
      <c r="K183" s="19" t="s">
        <v>60</v>
      </c>
      <c r="L183" s="19" t="s">
        <v>38</v>
      </c>
      <c r="M183" s="19" t="s">
        <v>43</v>
      </c>
      <c r="N183" s="19" t="s">
        <v>44</v>
      </c>
      <c r="O183" s="19"/>
    </row>
    <row r="184" ht="56.25" customHeight="1">
      <c r="A184" s="23" t="s">
        <v>1902</v>
      </c>
      <c r="B184" s="15" t="str">
        <f>IMAGE("https://imgur.com/7fVZIlI.png")</f>
        <v/>
      </c>
      <c r="C184" s="15" t="s">
        <v>50</v>
      </c>
      <c r="D184" s="25" t="s">
        <v>28</v>
      </c>
      <c r="E184" s="24" t="s">
        <v>51</v>
      </c>
      <c r="F184" s="13">
        <v>750.0</v>
      </c>
      <c r="G184" s="19">
        <v>5487.0</v>
      </c>
      <c r="H184" s="19" t="s">
        <v>1614</v>
      </c>
      <c r="I184" s="19" t="s">
        <v>369</v>
      </c>
      <c r="J184" s="19" t="s">
        <v>95</v>
      </c>
      <c r="K184" s="19"/>
      <c r="L184" s="19" t="s">
        <v>38</v>
      </c>
      <c r="M184" s="19" t="s">
        <v>54</v>
      </c>
      <c r="N184" s="19" t="s">
        <v>1609</v>
      </c>
      <c r="O184" s="19"/>
    </row>
    <row r="185" ht="56.25" customHeight="1">
      <c r="A185" s="23" t="s">
        <v>1904</v>
      </c>
      <c r="B185" s="15" t="str">
        <f>IMAGE("https://i.imgur.com/d9116Wc.png")</f>
        <v/>
      </c>
      <c r="C185" s="15" t="s">
        <v>50</v>
      </c>
      <c r="D185" s="15" t="s">
        <v>28</v>
      </c>
      <c r="E185" s="24" t="s">
        <v>51</v>
      </c>
      <c r="F185" s="13">
        <v>750.0</v>
      </c>
      <c r="G185" s="19">
        <v>5512.0</v>
      </c>
      <c r="H185" s="19" t="s">
        <v>99</v>
      </c>
      <c r="I185" s="19" t="s">
        <v>99</v>
      </c>
      <c r="J185" s="19" t="s">
        <v>156</v>
      </c>
      <c r="K185" s="19"/>
      <c r="L185" s="19" t="s">
        <v>38</v>
      </c>
      <c r="M185" s="19" t="s">
        <v>54</v>
      </c>
      <c r="N185" s="19" t="s">
        <v>1609</v>
      </c>
      <c r="O185" s="19"/>
    </row>
    <row r="186" ht="56.25" customHeight="1">
      <c r="A186" s="23" t="s">
        <v>1906</v>
      </c>
      <c r="B186" s="15" t="str">
        <f>IMAGE("https://imgur.com/aQeiTIo.png")</f>
        <v/>
      </c>
      <c r="C186" s="15" t="s">
        <v>28</v>
      </c>
      <c r="D186" s="25" t="s">
        <v>28</v>
      </c>
      <c r="E186" s="24" t="s">
        <v>51</v>
      </c>
      <c r="F186" s="13">
        <v>750.0</v>
      </c>
      <c r="G186" s="19">
        <v>4851.0</v>
      </c>
      <c r="H186" s="19" t="s">
        <v>82</v>
      </c>
      <c r="I186" s="19" t="s">
        <v>258</v>
      </c>
      <c r="J186" s="19" t="s">
        <v>156</v>
      </c>
      <c r="K186" s="19"/>
      <c r="L186" s="19" t="s">
        <v>38</v>
      </c>
      <c r="M186" s="19" t="s">
        <v>54</v>
      </c>
      <c r="N186" s="19" t="s">
        <v>1609</v>
      </c>
      <c r="O186" s="19"/>
    </row>
    <row r="187" ht="56.25" customHeight="1">
      <c r="A187" s="23" t="s">
        <v>1908</v>
      </c>
      <c r="B187" s="15" t="str">
        <f>IMAGE("https://imgur.com/syFMbhL.png")</f>
        <v/>
      </c>
      <c r="C187" s="15" t="s">
        <v>28</v>
      </c>
      <c r="D187" s="25" t="s">
        <v>28</v>
      </c>
      <c r="E187" s="13">
        <v>1720.0</v>
      </c>
      <c r="F187" s="13">
        <v>430.0</v>
      </c>
      <c r="G187" s="19">
        <v>4906.0</v>
      </c>
      <c r="H187" s="19" t="s">
        <v>208</v>
      </c>
      <c r="I187" s="19" t="s">
        <v>82</v>
      </c>
      <c r="J187" s="19" t="s">
        <v>36</v>
      </c>
      <c r="K187" s="19"/>
      <c r="L187" s="19" t="s">
        <v>38</v>
      </c>
      <c r="M187" s="19" t="s">
        <v>43</v>
      </c>
      <c r="N187" s="19" t="s">
        <v>44</v>
      </c>
      <c r="O187" s="19"/>
    </row>
    <row r="188" ht="56.25" customHeight="1">
      <c r="A188" s="23" t="s">
        <v>1910</v>
      </c>
      <c r="B188" s="15" t="str">
        <f>IMAGE("https://imgur.com/Ksh1YRN.png")</f>
        <v/>
      </c>
      <c r="C188" s="15" t="s">
        <v>28</v>
      </c>
      <c r="D188" s="25" t="s">
        <v>28</v>
      </c>
      <c r="E188" s="24" t="s">
        <v>51</v>
      </c>
      <c r="F188" s="13">
        <v>750.0</v>
      </c>
      <c r="G188" s="19">
        <v>5228.0</v>
      </c>
      <c r="H188" s="19" t="s">
        <v>99</v>
      </c>
      <c r="I188" s="19" t="s">
        <v>94</v>
      </c>
      <c r="J188" s="19" t="s">
        <v>346</v>
      </c>
      <c r="K188" s="19" t="s">
        <v>284</v>
      </c>
      <c r="L188" s="19" t="s">
        <v>38</v>
      </c>
      <c r="M188" s="19" t="s">
        <v>54</v>
      </c>
      <c r="N188" s="19" t="s">
        <v>1609</v>
      </c>
      <c r="O188" s="19"/>
    </row>
    <row r="189" ht="56.25" customHeight="1">
      <c r="A189" s="23" t="s">
        <v>1912</v>
      </c>
      <c r="B189" s="15" t="str">
        <f>IMAGE("https://imgur.com/ehlLI33.png")</f>
        <v/>
      </c>
      <c r="C189" s="15" t="s">
        <v>28</v>
      </c>
      <c r="D189" s="25" t="s">
        <v>28</v>
      </c>
      <c r="E189" s="24" t="s">
        <v>51</v>
      </c>
      <c r="F189" s="13">
        <v>1750.0</v>
      </c>
      <c r="G189" s="19">
        <v>4813.0</v>
      </c>
      <c r="H189" s="19" t="s">
        <v>94</v>
      </c>
      <c r="I189" s="19" t="s">
        <v>94</v>
      </c>
      <c r="J189" s="19" t="s">
        <v>90</v>
      </c>
      <c r="K189" s="19" t="s">
        <v>37</v>
      </c>
      <c r="L189" s="19" t="s">
        <v>38</v>
      </c>
      <c r="M189" s="19" t="s">
        <v>54</v>
      </c>
      <c r="N189" s="19" t="s">
        <v>55</v>
      </c>
      <c r="O189" s="19"/>
    </row>
    <row r="190" ht="56.25" customHeight="1">
      <c r="A190" s="23" t="s">
        <v>1914</v>
      </c>
      <c r="B190" s="15" t="str">
        <f>IMAGE("https://imgur.com/P6PF5qP.png")</f>
        <v/>
      </c>
      <c r="C190" s="15" t="s">
        <v>28</v>
      </c>
      <c r="D190" s="25" t="s">
        <v>50</v>
      </c>
      <c r="E190" s="24" t="s">
        <v>51</v>
      </c>
      <c r="F190" s="13">
        <v>3200.0</v>
      </c>
      <c r="G190" s="19">
        <v>4947.0</v>
      </c>
      <c r="H190" s="19" t="s">
        <v>107</v>
      </c>
      <c r="I190" s="19" t="s">
        <v>107</v>
      </c>
      <c r="J190" s="19" t="s">
        <v>113</v>
      </c>
      <c r="K190" s="19" t="s">
        <v>36</v>
      </c>
      <c r="L190" s="19" t="s">
        <v>38</v>
      </c>
      <c r="M190" s="19" t="s">
        <v>54</v>
      </c>
      <c r="N190" s="19" t="s">
        <v>55</v>
      </c>
      <c r="O190" s="19" t="s">
        <v>282</v>
      </c>
    </row>
    <row r="191" ht="56.25" customHeight="1">
      <c r="A191" s="23" t="s">
        <v>1916</v>
      </c>
      <c r="B191" s="15" t="str">
        <f>IMAGE("https://imgur.com/qn6Gwmt.png")</f>
        <v/>
      </c>
      <c r="C191" s="15" t="s">
        <v>50</v>
      </c>
      <c r="D191" s="25" t="s">
        <v>50</v>
      </c>
      <c r="E191" s="24" t="s">
        <v>51</v>
      </c>
      <c r="F191" s="13">
        <v>7500.0</v>
      </c>
      <c r="G191" s="19">
        <v>5510.0</v>
      </c>
      <c r="H191" s="19" t="s">
        <v>99</v>
      </c>
      <c r="I191" s="19" t="s">
        <v>99</v>
      </c>
      <c r="J191" s="19" t="s">
        <v>269</v>
      </c>
      <c r="K191" s="19" t="s">
        <v>90</v>
      </c>
      <c r="L191" s="19" t="s">
        <v>38</v>
      </c>
      <c r="M191" s="19" t="s">
        <v>54</v>
      </c>
      <c r="N191" s="19" t="s">
        <v>55</v>
      </c>
      <c r="O191" s="19"/>
    </row>
    <row r="192" ht="56.25" customHeight="1">
      <c r="A192" s="23" t="s">
        <v>1918</v>
      </c>
      <c r="B192" s="15" t="str">
        <f>IMAGE("https://imgur.com/TBLASlV.png")</f>
        <v/>
      </c>
      <c r="C192" s="15" t="s">
        <v>28</v>
      </c>
      <c r="D192" s="25" t="s">
        <v>28</v>
      </c>
      <c r="E192" s="13">
        <v>3000.0</v>
      </c>
      <c r="F192" s="13">
        <v>750.0</v>
      </c>
      <c r="G192" s="19">
        <v>4819.0</v>
      </c>
      <c r="H192" s="19" t="s">
        <v>82</v>
      </c>
      <c r="I192" s="19" t="s">
        <v>82</v>
      </c>
      <c r="J192" s="19" t="s">
        <v>161</v>
      </c>
      <c r="K192" s="19" t="s">
        <v>90</v>
      </c>
      <c r="L192" s="19" t="s">
        <v>38</v>
      </c>
      <c r="M192" s="19" t="s">
        <v>43</v>
      </c>
      <c r="N192" s="19" t="s">
        <v>44</v>
      </c>
      <c r="O192" s="19"/>
    </row>
    <row r="193" ht="56.25" customHeight="1">
      <c r="A193" s="23" t="s">
        <v>1920</v>
      </c>
      <c r="B193" s="15" t="str">
        <f>IMAGE("https://imgur.com/TRJnhz4.png")</f>
        <v/>
      </c>
      <c r="C193" s="15" t="s">
        <v>50</v>
      </c>
      <c r="D193" s="25" t="s">
        <v>28</v>
      </c>
      <c r="E193" s="24" t="s">
        <v>51</v>
      </c>
      <c r="F193" s="13">
        <v>750.0</v>
      </c>
      <c r="G193" s="19">
        <v>5501.0</v>
      </c>
      <c r="H193" s="19" t="s">
        <v>1614</v>
      </c>
      <c r="I193" s="19" t="s">
        <v>112</v>
      </c>
      <c r="J193" s="19" t="s">
        <v>84</v>
      </c>
      <c r="K193" s="19"/>
      <c r="L193" s="19" t="s">
        <v>38</v>
      </c>
      <c r="M193" s="19" t="s">
        <v>54</v>
      </c>
      <c r="N193" s="19" t="s">
        <v>1609</v>
      </c>
      <c r="O193" s="19"/>
    </row>
    <row r="194" ht="56.25" customHeight="1">
      <c r="A194" s="23" t="s">
        <v>1922</v>
      </c>
      <c r="B194" s="15" t="str">
        <f>IMAGE("https://imgur.com/uW6BUxD.png")</f>
        <v/>
      </c>
      <c r="C194" s="15" t="s">
        <v>50</v>
      </c>
      <c r="D194" s="15" t="s">
        <v>28</v>
      </c>
      <c r="E194" s="24" t="s">
        <v>51</v>
      </c>
      <c r="F194" s="13">
        <v>750.0</v>
      </c>
      <c r="G194" s="19">
        <v>5491.0</v>
      </c>
      <c r="H194" s="19" t="s">
        <v>99</v>
      </c>
      <c r="I194" s="19" t="s">
        <v>94</v>
      </c>
      <c r="J194" s="19" t="s">
        <v>90</v>
      </c>
      <c r="K194" s="19"/>
      <c r="L194" s="19" t="s">
        <v>38</v>
      </c>
      <c r="M194" s="19" t="s">
        <v>54</v>
      </c>
      <c r="N194" s="19" t="s">
        <v>1609</v>
      </c>
      <c r="O194" s="19"/>
    </row>
    <row r="195" ht="56.25" customHeight="1">
      <c r="A195" s="23" t="s">
        <v>1924</v>
      </c>
      <c r="B195" s="15" t="str">
        <f>IMAGE("https://imgur.com/ce9cjkQ.png")</f>
        <v/>
      </c>
      <c r="C195" s="15" t="s">
        <v>28</v>
      </c>
      <c r="D195" s="15" t="s">
        <v>28</v>
      </c>
      <c r="E195" s="13">
        <v>1540.0</v>
      </c>
      <c r="F195" s="13">
        <v>385.0</v>
      </c>
      <c r="G195" s="19">
        <v>6874.0</v>
      </c>
      <c r="H195" s="19" t="s">
        <v>1608</v>
      </c>
      <c r="I195" s="19" t="s">
        <v>258</v>
      </c>
      <c r="J195" s="19" t="s">
        <v>36</v>
      </c>
      <c r="K195" s="19" t="s">
        <v>113</v>
      </c>
      <c r="L195" s="19" t="s">
        <v>38</v>
      </c>
      <c r="M195" s="19" t="s">
        <v>43</v>
      </c>
      <c r="N195" s="19" t="s">
        <v>44</v>
      </c>
      <c r="O195" s="19"/>
    </row>
    <row r="196" ht="56.25" customHeight="1">
      <c r="A196" s="23" t="s">
        <v>1927</v>
      </c>
      <c r="B196" s="15" t="str">
        <f>IMAGE("https://imgur.com/p9WzrUR.png")</f>
        <v/>
      </c>
      <c r="C196" s="15" t="s">
        <v>50</v>
      </c>
      <c r="D196" s="25" t="s">
        <v>28</v>
      </c>
      <c r="E196" s="24" t="s">
        <v>51</v>
      </c>
      <c r="F196" s="13">
        <v>750.0</v>
      </c>
      <c r="G196" s="19">
        <v>5490.0</v>
      </c>
      <c r="H196" s="19" t="s">
        <v>99</v>
      </c>
      <c r="I196" s="19" t="s">
        <v>99</v>
      </c>
      <c r="J196" s="19" t="s">
        <v>90</v>
      </c>
      <c r="K196" s="19"/>
      <c r="L196" s="19" t="s">
        <v>38</v>
      </c>
      <c r="M196" s="19" t="s">
        <v>54</v>
      </c>
      <c r="N196" s="19" t="s">
        <v>1609</v>
      </c>
      <c r="O196" s="19"/>
    </row>
    <row r="197" ht="56.25" customHeight="1">
      <c r="A197" s="23" t="s">
        <v>1929</v>
      </c>
      <c r="B197" s="15" t="str">
        <f>IMAGE("https://imgur.com/6qBKHxt.png")</f>
        <v/>
      </c>
      <c r="C197" s="15" t="s">
        <v>50</v>
      </c>
      <c r="D197" s="25" t="s">
        <v>28</v>
      </c>
      <c r="E197" s="13">
        <v>1880.0</v>
      </c>
      <c r="F197" s="13">
        <v>470.0</v>
      </c>
      <c r="G197" s="19">
        <v>4863.0</v>
      </c>
      <c r="H197" s="19" t="s">
        <v>1608</v>
      </c>
      <c r="I197" s="19" t="s">
        <v>82</v>
      </c>
      <c r="J197" s="19" t="s">
        <v>161</v>
      </c>
      <c r="K197" s="19"/>
      <c r="L197" s="19" t="s">
        <v>38</v>
      </c>
      <c r="M197" s="19" t="s">
        <v>43</v>
      </c>
      <c r="N197" s="19" t="s">
        <v>44</v>
      </c>
      <c r="O197" s="19"/>
    </row>
    <row r="198" ht="56.25" customHeight="1">
      <c r="A198" s="23" t="s">
        <v>1931</v>
      </c>
      <c r="B198" s="15" t="str">
        <f>IMAGE("https://imgur.com/pI23bE9.png")</f>
        <v/>
      </c>
      <c r="C198" s="15" t="s">
        <v>28</v>
      </c>
      <c r="D198" s="25" t="s">
        <v>28</v>
      </c>
      <c r="E198" s="24" t="s">
        <v>51</v>
      </c>
      <c r="F198" s="13">
        <v>750.0</v>
      </c>
      <c r="G198" s="19">
        <v>4825.0</v>
      </c>
      <c r="H198" s="19" t="s">
        <v>82</v>
      </c>
      <c r="I198" s="19" t="s">
        <v>94</v>
      </c>
      <c r="J198" s="19" t="s">
        <v>90</v>
      </c>
      <c r="K198" s="19" t="s">
        <v>37</v>
      </c>
      <c r="L198" s="19" t="s">
        <v>38</v>
      </c>
      <c r="M198" s="19" t="s">
        <v>54</v>
      </c>
      <c r="N198" s="19" t="s">
        <v>1609</v>
      </c>
      <c r="O198" s="19"/>
    </row>
    <row r="199" ht="56.25" customHeight="1">
      <c r="A199" s="23" t="s">
        <v>1932</v>
      </c>
      <c r="B199" s="15" t="str">
        <f>IMAGE("https://imgur.com/L3bndSB.png")</f>
        <v/>
      </c>
      <c r="C199" s="15" t="s">
        <v>50</v>
      </c>
      <c r="D199" s="25" t="s">
        <v>50</v>
      </c>
      <c r="E199" s="24" t="s">
        <v>51</v>
      </c>
      <c r="F199" s="13">
        <v>3200.0</v>
      </c>
      <c r="G199" s="19">
        <v>5498.0</v>
      </c>
      <c r="H199" s="19" t="s">
        <v>82</v>
      </c>
      <c r="I199" s="19" t="s">
        <v>82</v>
      </c>
      <c r="J199" s="19" t="s">
        <v>745</v>
      </c>
      <c r="K199" s="19"/>
      <c r="L199" s="19" t="s">
        <v>38</v>
      </c>
      <c r="M199" s="19" t="s">
        <v>54</v>
      </c>
      <c r="N199" s="19" t="s">
        <v>55</v>
      </c>
      <c r="O199" s="19" t="s">
        <v>1057</v>
      </c>
    </row>
    <row r="200" ht="56.25" customHeight="1">
      <c r="A200" s="23" t="s">
        <v>1934</v>
      </c>
      <c r="B200" s="15" t="str">
        <f>IMAGE("https://imgur.com/7WziIcS.png")</f>
        <v/>
      </c>
      <c r="C200" s="15" t="s">
        <v>50</v>
      </c>
      <c r="D200" s="15" t="s">
        <v>28</v>
      </c>
      <c r="E200" s="13">
        <v>3000.0</v>
      </c>
      <c r="F200" s="13">
        <v>750.0</v>
      </c>
      <c r="G200" s="19">
        <v>5520.0</v>
      </c>
      <c r="H200" s="19" t="s">
        <v>99</v>
      </c>
      <c r="I200" s="19" t="s">
        <v>99</v>
      </c>
      <c r="J200" s="19" t="s">
        <v>346</v>
      </c>
      <c r="K200" s="19" t="s">
        <v>113</v>
      </c>
      <c r="L200" s="19" t="s">
        <v>38</v>
      </c>
      <c r="M200" s="19" t="s">
        <v>43</v>
      </c>
      <c r="N200" s="19" t="s">
        <v>44</v>
      </c>
      <c r="O200" s="19"/>
    </row>
    <row r="201" ht="56.25" customHeight="1">
      <c r="A201" s="23" t="s">
        <v>1936</v>
      </c>
      <c r="B201" s="15" t="str">
        <f>IMAGE("https://imgur.com/MbsXEaV.png")</f>
        <v/>
      </c>
      <c r="C201" s="15" t="s">
        <v>50</v>
      </c>
      <c r="D201" s="25" t="s">
        <v>28</v>
      </c>
      <c r="E201" s="24" t="s">
        <v>51</v>
      </c>
      <c r="F201" s="13">
        <v>750.0</v>
      </c>
      <c r="G201" s="19">
        <v>5504.0</v>
      </c>
      <c r="H201" s="19" t="s">
        <v>1614</v>
      </c>
      <c r="I201" s="19" t="s">
        <v>82</v>
      </c>
      <c r="J201" s="19" t="s">
        <v>36</v>
      </c>
      <c r="K201" s="19"/>
      <c r="L201" s="19" t="s">
        <v>38</v>
      </c>
      <c r="M201" s="19" t="s">
        <v>54</v>
      </c>
      <c r="N201" s="19" t="s">
        <v>1609</v>
      </c>
      <c r="O201" s="19"/>
    </row>
    <row r="202" ht="56.25" customHeight="1">
      <c r="A202" s="23" t="s">
        <v>1938</v>
      </c>
      <c r="B202" s="15" t="str">
        <f>IMAGE("https://imgur.com/u3ManYR.png")</f>
        <v/>
      </c>
      <c r="C202" s="15" t="s">
        <v>28</v>
      </c>
      <c r="D202" s="15" t="s">
        <v>28</v>
      </c>
      <c r="E202" s="24" t="s">
        <v>51</v>
      </c>
      <c r="F202" s="13">
        <v>750.0</v>
      </c>
      <c r="G202" s="19">
        <v>4852.0</v>
      </c>
      <c r="H202" s="19" t="s">
        <v>99</v>
      </c>
      <c r="I202" s="19" t="s">
        <v>94</v>
      </c>
      <c r="J202" s="19" t="s">
        <v>62</v>
      </c>
      <c r="K202" s="19"/>
      <c r="L202" s="19" t="s">
        <v>38</v>
      </c>
      <c r="M202" s="19" t="s">
        <v>54</v>
      </c>
      <c r="N202" s="19" t="s">
        <v>1609</v>
      </c>
      <c r="O202" s="19"/>
    </row>
    <row r="203" ht="56.25" customHeight="1">
      <c r="A203" s="23" t="s">
        <v>1939</v>
      </c>
      <c r="B203" s="15" t="str">
        <f>IMAGE("https://imgur.com/QNyWKSS.png")</f>
        <v/>
      </c>
      <c r="C203" s="15" t="s">
        <v>28</v>
      </c>
      <c r="D203" s="25" t="s">
        <v>50</v>
      </c>
      <c r="E203" s="24" t="s">
        <v>51</v>
      </c>
      <c r="F203" s="13">
        <v>4800.0</v>
      </c>
      <c r="G203" s="19">
        <v>4855.0</v>
      </c>
      <c r="H203" s="19" t="s">
        <v>1614</v>
      </c>
      <c r="I203" s="19" t="s">
        <v>1614</v>
      </c>
      <c r="J203" s="19" t="s">
        <v>745</v>
      </c>
      <c r="K203" s="19"/>
      <c r="L203" s="19" t="s">
        <v>38</v>
      </c>
      <c r="M203" s="19" t="s">
        <v>54</v>
      </c>
      <c r="N203" s="19" t="s">
        <v>55</v>
      </c>
      <c r="O203" s="19" t="s">
        <v>1057</v>
      </c>
    </row>
    <row r="204" ht="56.25" customHeight="1">
      <c r="A204" s="23" t="s">
        <v>1941</v>
      </c>
      <c r="B204" s="15" t="str">
        <f>IMAGE("https://imgur.com/rYOmnU7.png")</f>
        <v/>
      </c>
      <c r="C204" s="15" t="s">
        <v>28</v>
      </c>
      <c r="D204" s="25" t="s">
        <v>28</v>
      </c>
      <c r="E204" s="13">
        <v>1750.0</v>
      </c>
      <c r="F204" s="13">
        <v>437.0</v>
      </c>
      <c r="G204" s="19">
        <v>11177.0</v>
      </c>
      <c r="H204" s="19" t="s">
        <v>82</v>
      </c>
      <c r="I204" s="19" t="s">
        <v>1608</v>
      </c>
      <c r="J204" s="19" t="s">
        <v>161</v>
      </c>
      <c r="K204" s="19" t="s">
        <v>37</v>
      </c>
      <c r="L204" s="19" t="s">
        <v>38</v>
      </c>
      <c r="M204" s="19" t="s">
        <v>43</v>
      </c>
      <c r="N204" s="19" t="s">
        <v>44</v>
      </c>
      <c r="O204" s="19"/>
    </row>
    <row r="205" ht="56.25" customHeight="1">
      <c r="A205" s="23" t="s">
        <v>1942</v>
      </c>
      <c r="B205" s="15" t="str">
        <f>IMAGE("http://i.imgur.com/hFSaqOy.png")</f>
        <v/>
      </c>
      <c r="C205" s="15" t="s">
        <v>28</v>
      </c>
      <c r="D205" s="15" t="s">
        <v>50</v>
      </c>
      <c r="E205" s="24" t="s">
        <v>51</v>
      </c>
      <c r="F205" s="13">
        <v>1800.0</v>
      </c>
      <c r="G205" s="19">
        <v>4844.0</v>
      </c>
      <c r="H205" s="19" t="s">
        <v>118</v>
      </c>
      <c r="I205" s="19" t="s">
        <v>118</v>
      </c>
      <c r="J205" s="19" t="s">
        <v>243</v>
      </c>
      <c r="K205" s="19" t="s">
        <v>90</v>
      </c>
      <c r="L205" s="19" t="s">
        <v>38</v>
      </c>
      <c r="M205" s="19" t="s">
        <v>54</v>
      </c>
      <c r="N205" s="19" t="s">
        <v>55</v>
      </c>
      <c r="O205" s="19"/>
    </row>
    <row r="206" ht="56.25" customHeight="1">
      <c r="A206" s="23" t="s">
        <v>1943</v>
      </c>
      <c r="B206" s="15" t="str">
        <f>IMAGE("https://i.imgur.com/ic8j7og.png")</f>
        <v/>
      </c>
      <c r="C206" s="15" t="s">
        <v>50</v>
      </c>
      <c r="D206" s="15" t="s">
        <v>28</v>
      </c>
      <c r="E206" s="24" t="s">
        <v>51</v>
      </c>
      <c r="F206" s="13">
        <v>750.0</v>
      </c>
      <c r="G206" s="19">
        <v>5503.0</v>
      </c>
      <c r="H206" s="19" t="s">
        <v>258</v>
      </c>
      <c r="I206" s="19" t="s">
        <v>258</v>
      </c>
      <c r="J206" s="19" t="s">
        <v>156</v>
      </c>
      <c r="K206" s="19"/>
      <c r="L206" s="19" t="s">
        <v>38</v>
      </c>
      <c r="M206" s="19" t="s">
        <v>54</v>
      </c>
      <c r="N206" s="19" t="s">
        <v>1609</v>
      </c>
      <c r="O206" s="19"/>
    </row>
    <row r="207" ht="56.25" customHeight="1">
      <c r="A207" s="23" t="s">
        <v>1945</v>
      </c>
      <c r="B207" s="15" t="str">
        <f>IMAGE("https://imgur.com/9kF5QP7.png")</f>
        <v/>
      </c>
      <c r="C207" s="15" t="s">
        <v>28</v>
      </c>
      <c r="D207" s="25" t="s">
        <v>28</v>
      </c>
      <c r="E207" s="13">
        <v>1750.0</v>
      </c>
      <c r="F207" s="13">
        <v>437.0</v>
      </c>
      <c r="G207" s="19">
        <v>5521.0</v>
      </c>
      <c r="H207" s="19" t="s">
        <v>369</v>
      </c>
      <c r="I207" s="19" t="s">
        <v>369</v>
      </c>
      <c r="J207" s="19" t="s">
        <v>161</v>
      </c>
      <c r="K207" s="19"/>
      <c r="L207" s="19" t="s">
        <v>38</v>
      </c>
      <c r="M207" s="19" t="s">
        <v>43</v>
      </c>
      <c r="N207" s="19" t="s">
        <v>44</v>
      </c>
      <c r="O207" s="19"/>
    </row>
    <row r="208" ht="56.25" customHeight="1">
      <c r="A208" s="23" t="s">
        <v>1947</v>
      </c>
      <c r="B208" s="15" t="str">
        <f>IMAGE("https://imgur.com/VVV8o8i.png")</f>
        <v/>
      </c>
      <c r="C208" s="15" t="s">
        <v>50</v>
      </c>
      <c r="D208" s="15" t="s">
        <v>50</v>
      </c>
      <c r="E208" s="24" t="s">
        <v>51</v>
      </c>
      <c r="F208" s="13">
        <v>7500.0</v>
      </c>
      <c r="G208" s="19">
        <v>5528.0</v>
      </c>
      <c r="H208" s="19" t="s">
        <v>94</v>
      </c>
      <c r="I208" s="19" t="s">
        <v>82</v>
      </c>
      <c r="J208" s="19" t="s">
        <v>36</v>
      </c>
      <c r="K208" s="19" t="s">
        <v>113</v>
      </c>
      <c r="L208" s="19" t="s">
        <v>38</v>
      </c>
      <c r="M208" s="19" t="s">
        <v>54</v>
      </c>
      <c r="N208" s="19" t="s">
        <v>55</v>
      </c>
      <c r="O208" s="19"/>
    </row>
    <row r="209" ht="56.25" customHeight="1">
      <c r="A209" s="23" t="s">
        <v>1948</v>
      </c>
      <c r="B209" s="15" t="str">
        <f>IMAGE("https://imgur.com/wXGbxL8.png")</f>
        <v/>
      </c>
      <c r="C209" s="15" t="s">
        <v>50</v>
      </c>
      <c r="D209" s="25" t="s">
        <v>50</v>
      </c>
      <c r="E209" s="24" t="s">
        <v>51</v>
      </c>
      <c r="F209" s="13">
        <v>7500.0</v>
      </c>
      <c r="G209" s="19">
        <v>5500.0</v>
      </c>
      <c r="H209" s="19" t="s">
        <v>112</v>
      </c>
      <c r="I209" s="19" t="s">
        <v>112</v>
      </c>
      <c r="J209" s="19" t="s">
        <v>269</v>
      </c>
      <c r="K209" s="19"/>
      <c r="L209" s="19" t="s">
        <v>38</v>
      </c>
      <c r="M209" s="19" t="s">
        <v>54</v>
      </c>
      <c r="N209" s="19" t="s">
        <v>55</v>
      </c>
      <c r="O209" s="19"/>
    </row>
    <row r="210" ht="56.25" customHeight="1">
      <c r="A210" s="23" t="s">
        <v>1950</v>
      </c>
      <c r="B210" s="15" t="str">
        <f>IMAGE("https://i.imgur.com/g0fxLxN.png")</f>
        <v/>
      </c>
      <c r="C210" s="15" t="s">
        <v>28</v>
      </c>
      <c r="D210" s="25" t="s">
        <v>28</v>
      </c>
      <c r="E210" s="13">
        <v>2450.0</v>
      </c>
      <c r="F210" s="13">
        <v>612.0</v>
      </c>
      <c r="G210" s="19">
        <v>4861.0</v>
      </c>
      <c r="H210" s="19" t="s">
        <v>82</v>
      </c>
      <c r="I210" s="19" t="s">
        <v>82</v>
      </c>
      <c r="J210" s="19" t="s">
        <v>62</v>
      </c>
      <c r="K210" s="19"/>
      <c r="L210" s="19" t="s">
        <v>38</v>
      </c>
      <c r="M210" s="19" t="s">
        <v>43</v>
      </c>
      <c r="N210" s="19" t="s">
        <v>44</v>
      </c>
      <c r="O210" s="19"/>
    </row>
    <row r="211" ht="56.25" customHeight="1">
      <c r="A211" s="23" t="s">
        <v>1952</v>
      </c>
      <c r="B211" s="15" t="str">
        <f>IMAGE("https://imgur.com/3TnmKvZ.png")</f>
        <v/>
      </c>
      <c r="C211" s="15" t="s">
        <v>28</v>
      </c>
      <c r="D211" s="25" t="s">
        <v>50</v>
      </c>
      <c r="E211" s="24" t="s">
        <v>51</v>
      </c>
      <c r="F211" s="13">
        <v>6000.0</v>
      </c>
      <c r="G211" s="19">
        <v>4801.0</v>
      </c>
      <c r="H211" s="19" t="s">
        <v>208</v>
      </c>
      <c r="I211" s="19" t="s">
        <v>94</v>
      </c>
      <c r="J211" s="19" t="s">
        <v>243</v>
      </c>
      <c r="K211" s="19" t="s">
        <v>90</v>
      </c>
      <c r="L211" s="19" t="s">
        <v>38</v>
      </c>
      <c r="M211" s="19" t="s">
        <v>54</v>
      </c>
      <c r="N211" s="19" t="s">
        <v>55</v>
      </c>
      <c r="O211" s="19"/>
    </row>
    <row r="212" ht="56.25" customHeight="1">
      <c r="A212" s="23" t="s">
        <v>1954</v>
      </c>
      <c r="B212" s="15" t="str">
        <f>IMAGE("https://imgur.com/X72u8T3.png")</f>
        <v/>
      </c>
      <c r="C212" s="15" t="s">
        <v>28</v>
      </c>
      <c r="D212" s="25" t="s">
        <v>50</v>
      </c>
      <c r="E212" s="24" t="s">
        <v>51</v>
      </c>
      <c r="F212" s="13">
        <v>1500.0</v>
      </c>
      <c r="G212" s="19">
        <v>5216.0</v>
      </c>
      <c r="H212" s="19" t="s">
        <v>99</v>
      </c>
      <c r="I212" s="19" t="s">
        <v>94</v>
      </c>
      <c r="J212" s="19" t="s">
        <v>346</v>
      </c>
      <c r="K212" s="19" t="s">
        <v>90</v>
      </c>
      <c r="L212" s="19" t="s">
        <v>38</v>
      </c>
      <c r="M212" s="19" t="s">
        <v>54</v>
      </c>
      <c r="N212" s="19" t="s">
        <v>55</v>
      </c>
      <c r="O212" s="19"/>
    </row>
    <row r="213" ht="56.25" customHeight="1">
      <c r="A213" s="23" t="s">
        <v>1955</v>
      </c>
      <c r="B213" s="15" t="str">
        <f>IMAGE("https://imgur.com/YE10eUK.png")</f>
        <v/>
      </c>
      <c r="C213" s="15" t="s">
        <v>50</v>
      </c>
      <c r="D213" s="15" t="s">
        <v>28</v>
      </c>
      <c r="E213" s="24" t="s">
        <v>51</v>
      </c>
      <c r="F213" s="13">
        <v>750.0</v>
      </c>
      <c r="G213" s="19">
        <v>5499.0</v>
      </c>
      <c r="H213" s="19" t="s">
        <v>99</v>
      </c>
      <c r="I213" s="19" t="s">
        <v>94</v>
      </c>
      <c r="J213" s="19" t="s">
        <v>346</v>
      </c>
      <c r="K213" s="19"/>
      <c r="L213" s="19" t="s">
        <v>38</v>
      </c>
      <c r="M213" s="19" t="s">
        <v>54</v>
      </c>
      <c r="N213" s="19" t="s">
        <v>1609</v>
      </c>
      <c r="O213" s="19"/>
    </row>
    <row r="214" ht="56.25" customHeight="1">
      <c r="A214" s="23" t="s">
        <v>1957</v>
      </c>
      <c r="B214" s="15" t="str">
        <f>IMAGE("https://imgur.com/HRZwK3b.png")</f>
        <v/>
      </c>
      <c r="C214" s="15" t="s">
        <v>28</v>
      </c>
      <c r="D214" s="25" t="s">
        <v>28</v>
      </c>
      <c r="E214" s="24" t="s">
        <v>51</v>
      </c>
      <c r="F214" s="13">
        <v>750.0</v>
      </c>
      <c r="G214" s="19">
        <v>5217.0</v>
      </c>
      <c r="H214" s="19" t="s">
        <v>1608</v>
      </c>
      <c r="I214" s="19" t="s">
        <v>1608</v>
      </c>
      <c r="J214" s="19" t="s">
        <v>284</v>
      </c>
      <c r="K214" s="19"/>
      <c r="L214" s="19" t="s">
        <v>38</v>
      </c>
      <c r="M214" s="19" t="s">
        <v>54</v>
      </c>
      <c r="N214" s="19" t="s">
        <v>1609</v>
      </c>
      <c r="O214" s="19"/>
    </row>
    <row r="215" ht="56.25" customHeight="1">
      <c r="A215" s="23" t="s">
        <v>1959</v>
      </c>
      <c r="B215" s="15" t="str">
        <f>IMAGE("https://imgur.com/nEdTzp0.png")</f>
        <v/>
      </c>
      <c r="C215" s="15" t="s">
        <v>28</v>
      </c>
      <c r="D215" s="15" t="s">
        <v>28</v>
      </c>
      <c r="E215" s="24" t="s">
        <v>51</v>
      </c>
      <c r="F215" s="13">
        <v>750.0</v>
      </c>
      <c r="G215" s="19">
        <v>4934.0</v>
      </c>
      <c r="H215" s="19" t="s">
        <v>107</v>
      </c>
      <c r="I215" s="19" t="s">
        <v>107</v>
      </c>
      <c r="J215" s="19" t="s">
        <v>36</v>
      </c>
      <c r="K215" s="19"/>
      <c r="L215" s="19" t="s">
        <v>38</v>
      </c>
      <c r="M215" s="19" t="s">
        <v>54</v>
      </c>
      <c r="N215" s="19" t="s">
        <v>1609</v>
      </c>
      <c r="O215" s="19"/>
    </row>
    <row r="216" ht="56.25" customHeight="1">
      <c r="A216" s="23" t="s">
        <v>1961</v>
      </c>
      <c r="B216" s="15" t="str">
        <f>IMAGE("https://imgur.com/7p9MrQJ.png")</f>
        <v/>
      </c>
      <c r="C216" s="15" t="s">
        <v>28</v>
      </c>
      <c r="D216" s="15" t="s">
        <v>28</v>
      </c>
      <c r="E216" s="24" t="s">
        <v>51</v>
      </c>
      <c r="F216" s="13">
        <v>750.0</v>
      </c>
      <c r="G216" s="19">
        <v>5221.0</v>
      </c>
      <c r="H216" s="19" t="s">
        <v>258</v>
      </c>
      <c r="I216" s="19" t="s">
        <v>258</v>
      </c>
      <c r="J216" s="19" t="s">
        <v>243</v>
      </c>
      <c r="K216" s="19"/>
      <c r="L216" s="19" t="s">
        <v>38</v>
      </c>
      <c r="M216" s="19" t="s">
        <v>54</v>
      </c>
      <c r="N216" s="19" t="s">
        <v>1609</v>
      </c>
      <c r="O216" s="19"/>
    </row>
    <row r="217" ht="56.25" customHeight="1">
      <c r="A217" s="23" t="s">
        <v>1963</v>
      </c>
      <c r="B217" s="15" t="str">
        <f>IMAGE("https://imgur.com/6G9pbRK.png")</f>
        <v/>
      </c>
      <c r="C217" s="15" t="s">
        <v>50</v>
      </c>
      <c r="D217" s="25" t="s">
        <v>28</v>
      </c>
      <c r="E217" s="24" t="s">
        <v>51</v>
      </c>
      <c r="F217" s="13">
        <v>750.0</v>
      </c>
      <c r="G217" s="19">
        <v>5513.0</v>
      </c>
      <c r="H217" s="19" t="s">
        <v>99</v>
      </c>
      <c r="I217" s="19" t="s">
        <v>82</v>
      </c>
      <c r="J217" s="19" t="s">
        <v>95</v>
      </c>
      <c r="K217" s="19"/>
      <c r="L217" s="19" t="s">
        <v>38</v>
      </c>
      <c r="M217" s="19" t="s">
        <v>54</v>
      </c>
      <c r="N217" s="19" t="s">
        <v>1609</v>
      </c>
      <c r="O217" s="19"/>
    </row>
    <row r="218" ht="56.25" customHeight="1">
      <c r="A218" s="23" t="s">
        <v>1965</v>
      </c>
      <c r="B218" s="15" t="str">
        <f>IMAGE("https://imgur.com/DLpZWNG.png")</f>
        <v/>
      </c>
      <c r="C218" s="15" t="s">
        <v>28</v>
      </c>
      <c r="D218" s="15" t="s">
        <v>28</v>
      </c>
      <c r="E218" s="24" t="s">
        <v>51</v>
      </c>
      <c r="F218" s="13">
        <v>750.0</v>
      </c>
      <c r="G218" s="19">
        <v>5456.0</v>
      </c>
      <c r="H218" s="19" t="s">
        <v>369</v>
      </c>
      <c r="I218" s="19" t="s">
        <v>1614</v>
      </c>
      <c r="J218" s="19" t="s">
        <v>95</v>
      </c>
      <c r="K218" s="19"/>
      <c r="L218" s="19" t="s">
        <v>38</v>
      </c>
      <c r="M218" s="19" t="s">
        <v>54</v>
      </c>
      <c r="N218" s="19" t="s">
        <v>1609</v>
      </c>
      <c r="O218" s="19"/>
    </row>
    <row r="219" ht="56.25" customHeight="1">
      <c r="A219" s="23" t="s">
        <v>1967</v>
      </c>
      <c r="B219" s="15" t="str">
        <f>IMAGE("https://i.imgur.com/EQjPkjQ.png")</f>
        <v/>
      </c>
      <c r="C219" s="15" t="s">
        <v>50</v>
      </c>
      <c r="D219" s="25" t="s">
        <v>50</v>
      </c>
      <c r="E219" s="24" t="s">
        <v>51</v>
      </c>
      <c r="F219" s="13">
        <v>6000.0</v>
      </c>
      <c r="G219" s="19">
        <v>5661.0</v>
      </c>
      <c r="H219" s="19" t="s">
        <v>1614</v>
      </c>
      <c r="I219" s="19" t="s">
        <v>1608</v>
      </c>
      <c r="J219" s="19" t="s">
        <v>84</v>
      </c>
      <c r="K219" s="19"/>
      <c r="L219" s="19" t="s">
        <v>38</v>
      </c>
      <c r="M219" s="19" t="s">
        <v>54</v>
      </c>
      <c r="N219" s="19" t="s">
        <v>55</v>
      </c>
      <c r="O219" s="19" t="s">
        <v>1969</v>
      </c>
    </row>
    <row r="220" ht="56.25" customHeight="1">
      <c r="A220" s="23" t="s">
        <v>1970</v>
      </c>
      <c r="B220" s="15" t="str">
        <f>IMAGE("https://imgur.com/snGBM7O.png")</f>
        <v/>
      </c>
      <c r="C220" s="15" t="s">
        <v>50</v>
      </c>
      <c r="D220" s="25" t="s">
        <v>50</v>
      </c>
      <c r="E220" s="24" t="s">
        <v>51</v>
      </c>
      <c r="F220" s="13">
        <v>8600.0</v>
      </c>
      <c r="G220" s="19">
        <v>5508.0</v>
      </c>
      <c r="H220" s="19" t="s">
        <v>112</v>
      </c>
      <c r="I220" s="19" t="s">
        <v>1614</v>
      </c>
      <c r="J220" s="19" t="s">
        <v>84</v>
      </c>
      <c r="K220" s="19"/>
      <c r="L220" s="19" t="s">
        <v>38</v>
      </c>
      <c r="M220" s="19" t="s">
        <v>54</v>
      </c>
      <c r="N220" s="19" t="s">
        <v>55</v>
      </c>
      <c r="O220" s="19" t="s">
        <v>1969</v>
      </c>
    </row>
    <row r="221" ht="56.25" customHeight="1">
      <c r="A221" s="23" t="s">
        <v>1972</v>
      </c>
      <c r="B221" s="15" t="str">
        <f>IMAGE("https://imgur.com/Flykgcu.png")</f>
        <v/>
      </c>
      <c r="C221" s="15" t="s">
        <v>28</v>
      </c>
      <c r="D221" s="25" t="s">
        <v>28</v>
      </c>
      <c r="E221" s="13">
        <v>1740.0</v>
      </c>
      <c r="F221" s="13">
        <v>435.0</v>
      </c>
      <c r="G221" s="19">
        <v>4832.0</v>
      </c>
      <c r="H221" s="19" t="s">
        <v>94</v>
      </c>
      <c r="I221" s="19" t="s">
        <v>82</v>
      </c>
      <c r="J221" s="19" t="s">
        <v>37</v>
      </c>
      <c r="K221" s="19" t="s">
        <v>90</v>
      </c>
      <c r="L221" s="19" t="s">
        <v>38</v>
      </c>
      <c r="M221" s="19" t="s">
        <v>43</v>
      </c>
      <c r="N221" s="19" t="s">
        <v>44</v>
      </c>
      <c r="O221" s="19"/>
    </row>
    <row r="222" ht="56.25" customHeight="1">
      <c r="A222" s="23" t="s">
        <v>1974</v>
      </c>
      <c r="B222" s="15" t="str">
        <f>IMAGE("https://imgur.com/VyhIxZb.png")</f>
        <v/>
      </c>
      <c r="C222" s="15" t="s">
        <v>50</v>
      </c>
      <c r="D222" s="15" t="s">
        <v>28</v>
      </c>
      <c r="E222" s="24" t="s">
        <v>51</v>
      </c>
      <c r="F222" s="13">
        <v>750.0</v>
      </c>
      <c r="G222" s="19">
        <v>5489.0</v>
      </c>
      <c r="H222" s="19" t="s">
        <v>118</v>
      </c>
      <c r="I222" s="19" t="s">
        <v>1608</v>
      </c>
      <c r="J222" s="19" t="s">
        <v>284</v>
      </c>
      <c r="K222" s="19" t="s">
        <v>346</v>
      </c>
      <c r="L222" s="19" t="s">
        <v>38</v>
      </c>
      <c r="M222" s="19" t="s">
        <v>54</v>
      </c>
      <c r="N222" s="19" t="s">
        <v>1609</v>
      </c>
      <c r="O222" s="19"/>
    </row>
    <row r="223" ht="56.25" customHeight="1">
      <c r="A223" s="23" t="s">
        <v>1975</v>
      </c>
      <c r="B223" s="15" t="str">
        <f>IMAGE("http://i.imgur.com/3445dCJ.png")</f>
        <v/>
      </c>
      <c r="C223" s="15" t="s">
        <v>28</v>
      </c>
      <c r="D223" s="15" t="s">
        <v>28</v>
      </c>
      <c r="E223" s="13">
        <v>1240.0</v>
      </c>
      <c r="F223" s="13">
        <v>310.0</v>
      </c>
      <c r="G223" s="19">
        <v>4826.0</v>
      </c>
      <c r="H223" s="19" t="s">
        <v>82</v>
      </c>
      <c r="I223" s="19" t="s">
        <v>82</v>
      </c>
      <c r="J223" s="19" t="s">
        <v>90</v>
      </c>
      <c r="K223" s="19" t="s">
        <v>62</v>
      </c>
      <c r="L223" s="19" t="s">
        <v>38</v>
      </c>
      <c r="M223" s="19" t="s">
        <v>43</v>
      </c>
      <c r="N223" s="19" t="s">
        <v>44</v>
      </c>
      <c r="O223" s="19"/>
    </row>
    <row r="224" ht="56.25" customHeight="1">
      <c r="A224" s="23" t="s">
        <v>1977</v>
      </c>
      <c r="B224" s="15" t="str">
        <f>IMAGE("https://imgur.com/R7IOZzc.png")</f>
        <v/>
      </c>
      <c r="C224" s="15" t="s">
        <v>28</v>
      </c>
      <c r="D224" s="15" t="s">
        <v>28</v>
      </c>
      <c r="E224" s="13">
        <v>1900.0</v>
      </c>
      <c r="F224" s="13">
        <v>475.0</v>
      </c>
      <c r="G224" s="19">
        <v>4891.0</v>
      </c>
      <c r="H224" s="19" t="s">
        <v>82</v>
      </c>
      <c r="I224" s="19" t="s">
        <v>82</v>
      </c>
      <c r="J224" s="19" t="s">
        <v>62</v>
      </c>
      <c r="K224" s="19" t="s">
        <v>60</v>
      </c>
      <c r="L224" s="19" t="s">
        <v>38</v>
      </c>
      <c r="M224" s="19" t="s">
        <v>43</v>
      </c>
      <c r="N224" s="19" t="s">
        <v>44</v>
      </c>
      <c r="O224" s="19"/>
    </row>
    <row r="225" ht="56.25" customHeight="1">
      <c r="A225" s="23" t="s">
        <v>1979</v>
      </c>
      <c r="B225" s="15" t="str">
        <f>IMAGE("https://i.imgur.com/kgZiWiY.png")</f>
        <v/>
      </c>
      <c r="C225" s="15" t="s">
        <v>28</v>
      </c>
      <c r="D225" s="25" t="s">
        <v>28</v>
      </c>
      <c r="E225" s="13">
        <v>2000.0</v>
      </c>
      <c r="F225" s="13">
        <v>500.0</v>
      </c>
      <c r="G225" s="19">
        <v>6861.0</v>
      </c>
      <c r="H225" s="19" t="s">
        <v>82</v>
      </c>
      <c r="I225" s="19" t="s">
        <v>82</v>
      </c>
      <c r="J225" s="19" t="s">
        <v>90</v>
      </c>
      <c r="K225" s="19" t="s">
        <v>52</v>
      </c>
      <c r="L225" s="19" t="s">
        <v>38</v>
      </c>
      <c r="M225" s="19" t="s">
        <v>43</v>
      </c>
      <c r="N225" s="19" t="s">
        <v>44</v>
      </c>
      <c r="O225" s="19"/>
    </row>
    <row r="226" ht="56.25" customHeight="1">
      <c r="A226" s="23" t="s">
        <v>1981</v>
      </c>
      <c r="B226" s="15" t="str">
        <f>IMAGE("https://i.imgur.com/Qqje6KI.png")</f>
        <v/>
      </c>
      <c r="C226" s="15" t="s">
        <v>28</v>
      </c>
      <c r="D226" s="25" t="s">
        <v>28</v>
      </c>
      <c r="E226" s="13">
        <v>1680.0</v>
      </c>
      <c r="F226" s="13">
        <v>420.0</v>
      </c>
      <c r="G226" s="19">
        <v>4914.0</v>
      </c>
      <c r="H226" s="19" t="s">
        <v>82</v>
      </c>
      <c r="I226" s="19" t="s">
        <v>82</v>
      </c>
      <c r="J226" s="19" t="s">
        <v>183</v>
      </c>
      <c r="K226" s="19" t="s">
        <v>90</v>
      </c>
      <c r="L226" s="19" t="s">
        <v>38</v>
      </c>
      <c r="M226" s="19" t="s">
        <v>43</v>
      </c>
      <c r="N226" s="19" t="s">
        <v>44</v>
      </c>
      <c r="O226" s="19"/>
    </row>
    <row r="227" ht="56.25" customHeight="1">
      <c r="A227" s="23" t="s">
        <v>1983</v>
      </c>
      <c r="B227" s="15" t="str">
        <f>IMAGE("https://imgur.com/gLfK8Dy.png")</f>
        <v/>
      </c>
      <c r="C227" s="15" t="s">
        <v>28</v>
      </c>
      <c r="D227" s="25" t="s">
        <v>28</v>
      </c>
      <c r="E227" s="13">
        <v>1650.0</v>
      </c>
      <c r="F227" s="13">
        <v>412.0</v>
      </c>
      <c r="G227" s="19">
        <v>4803.0</v>
      </c>
      <c r="H227" s="19" t="s">
        <v>82</v>
      </c>
      <c r="I227" s="19" t="s">
        <v>82</v>
      </c>
      <c r="J227" s="19" t="s">
        <v>60</v>
      </c>
      <c r="K227" s="19" t="s">
        <v>113</v>
      </c>
      <c r="L227" s="19" t="s">
        <v>38</v>
      </c>
      <c r="M227" s="19" t="s">
        <v>43</v>
      </c>
      <c r="N227" s="19" t="s">
        <v>44</v>
      </c>
      <c r="O227" s="19"/>
    </row>
    <row r="228" ht="56.25" customHeight="1">
      <c r="A228" s="23" t="s">
        <v>1985</v>
      </c>
      <c r="B228" s="15" t="str">
        <f>IMAGE("https://imgur.com/b8WjiwH.png")</f>
        <v/>
      </c>
      <c r="C228" s="15" t="s">
        <v>28</v>
      </c>
      <c r="D228" s="25" t="s">
        <v>28</v>
      </c>
      <c r="E228" s="13">
        <v>1180.0</v>
      </c>
      <c r="F228" s="13">
        <v>295.0</v>
      </c>
      <c r="G228" s="19">
        <v>4920.0</v>
      </c>
      <c r="H228" s="19" t="s">
        <v>82</v>
      </c>
      <c r="I228" s="19" t="s">
        <v>82</v>
      </c>
      <c r="J228" s="19" t="s">
        <v>52</v>
      </c>
      <c r="K228" s="19" t="s">
        <v>90</v>
      </c>
      <c r="L228" s="19" t="s">
        <v>38</v>
      </c>
      <c r="M228" s="19" t="s">
        <v>43</v>
      </c>
      <c r="N228" s="19" t="s">
        <v>44</v>
      </c>
      <c r="O228" s="19"/>
    </row>
    <row r="229" ht="56.25" customHeight="1">
      <c r="A229" s="23" t="s">
        <v>1987</v>
      </c>
      <c r="B229" s="15" t="str">
        <f>IMAGE("https://imgur.com/SPPQUJc.png")</f>
        <v/>
      </c>
      <c r="C229" s="15" t="s">
        <v>28</v>
      </c>
      <c r="D229" s="15" t="s">
        <v>28</v>
      </c>
      <c r="E229" s="13">
        <v>750.0</v>
      </c>
      <c r="F229" s="13">
        <v>187.0</v>
      </c>
      <c r="G229" s="19">
        <v>4939.0</v>
      </c>
      <c r="H229" s="19" t="s">
        <v>82</v>
      </c>
      <c r="I229" s="19" t="s">
        <v>82</v>
      </c>
      <c r="J229" s="19" t="s">
        <v>113</v>
      </c>
      <c r="K229" s="19" t="s">
        <v>60</v>
      </c>
      <c r="L229" s="19" t="s">
        <v>38</v>
      </c>
      <c r="M229" s="19" t="s">
        <v>43</v>
      </c>
      <c r="N229" s="19" t="s">
        <v>44</v>
      </c>
      <c r="O229" s="19"/>
    </row>
    <row r="230" ht="56.25" customHeight="1">
      <c r="A230" s="23" t="s">
        <v>1989</v>
      </c>
      <c r="B230" s="15" t="str">
        <f>IMAGE("https://i.imgur.com/cUldthB.png")</f>
        <v/>
      </c>
      <c r="C230" s="15" t="s">
        <v>28</v>
      </c>
      <c r="D230" s="25" t="s">
        <v>28</v>
      </c>
      <c r="E230" s="13">
        <v>1340.0</v>
      </c>
      <c r="F230" s="13">
        <v>335.0</v>
      </c>
      <c r="G230" s="19">
        <v>4941.0</v>
      </c>
      <c r="H230" s="19" t="s">
        <v>82</v>
      </c>
      <c r="I230" s="19" t="s">
        <v>82</v>
      </c>
      <c r="J230" s="19" t="s">
        <v>90</v>
      </c>
      <c r="K230" s="19" t="s">
        <v>37</v>
      </c>
      <c r="L230" s="19" t="s">
        <v>38</v>
      </c>
      <c r="M230" s="19" t="s">
        <v>43</v>
      </c>
      <c r="N230" s="19" t="s">
        <v>44</v>
      </c>
      <c r="O230" s="19"/>
    </row>
    <row r="231" ht="56.25" customHeight="1">
      <c r="A231" s="23" t="s">
        <v>1991</v>
      </c>
      <c r="B231" s="15" t="str">
        <f>IMAGE("https://i.imgur.com/nExCHX1.png")</f>
        <v/>
      </c>
      <c r="C231" s="15" t="s">
        <v>28</v>
      </c>
      <c r="D231" s="25" t="s">
        <v>28</v>
      </c>
      <c r="E231" s="13">
        <v>1000.0</v>
      </c>
      <c r="F231" s="13">
        <v>250.0</v>
      </c>
      <c r="G231" s="19">
        <v>4927.0</v>
      </c>
      <c r="H231" s="19" t="s">
        <v>82</v>
      </c>
      <c r="I231" s="19" t="s">
        <v>82</v>
      </c>
      <c r="J231" s="19" t="s">
        <v>90</v>
      </c>
      <c r="K231" s="19" t="s">
        <v>37</v>
      </c>
      <c r="L231" s="19" t="s">
        <v>38</v>
      </c>
      <c r="M231" s="19" t="s">
        <v>43</v>
      </c>
      <c r="N231" s="19" t="s">
        <v>44</v>
      </c>
      <c r="O231" s="19"/>
    </row>
    <row r="232" ht="56.25" customHeight="1">
      <c r="A232" s="23" t="s">
        <v>1993</v>
      </c>
      <c r="B232" s="15" t="str">
        <f>IMAGE("https://imgur.com/bJWHIJX.png")</f>
        <v/>
      </c>
      <c r="C232" s="15" t="s">
        <v>28</v>
      </c>
      <c r="D232" s="15" t="s">
        <v>28</v>
      </c>
      <c r="E232" s="24" t="s">
        <v>51</v>
      </c>
      <c r="F232" s="13">
        <v>750.0</v>
      </c>
      <c r="G232" s="19">
        <v>4933.0</v>
      </c>
      <c r="H232" s="19" t="s">
        <v>82</v>
      </c>
      <c r="I232" s="19" t="s">
        <v>1608</v>
      </c>
      <c r="J232" s="19" t="s">
        <v>36</v>
      </c>
      <c r="K232" s="19"/>
      <c r="L232" s="19" t="s">
        <v>38</v>
      </c>
      <c r="M232" s="19" t="s">
        <v>54</v>
      </c>
      <c r="N232" s="19" t="s">
        <v>1609</v>
      </c>
      <c r="O232" s="19"/>
    </row>
    <row r="233" ht="56.25" customHeight="1">
      <c r="A233" s="23" t="s">
        <v>1995</v>
      </c>
      <c r="B233" s="15" t="str">
        <f>IMAGE("https://imgur.com/oszOIiW.png")</f>
        <v/>
      </c>
      <c r="C233" s="15" t="s">
        <v>28</v>
      </c>
      <c r="D233" s="15" t="s">
        <v>28</v>
      </c>
      <c r="E233" s="13">
        <v>1720.0</v>
      </c>
      <c r="F233" s="13">
        <v>430.0</v>
      </c>
      <c r="G233" s="19">
        <v>6868.0</v>
      </c>
      <c r="H233" s="19" t="s">
        <v>107</v>
      </c>
      <c r="I233" s="19" t="s">
        <v>82</v>
      </c>
      <c r="J233" s="19" t="s">
        <v>36</v>
      </c>
      <c r="K233" s="19"/>
      <c r="L233" s="19" t="s">
        <v>38</v>
      </c>
      <c r="M233" s="19" t="s">
        <v>43</v>
      </c>
      <c r="N233" s="19" t="s">
        <v>44</v>
      </c>
      <c r="O233" s="19"/>
    </row>
    <row r="234" ht="56.25" customHeight="1">
      <c r="A234" s="23" t="s">
        <v>1997</v>
      </c>
      <c r="B234" s="15" t="str">
        <f>IMAGE("https://imgur.com/4eNksJs.png")</f>
        <v/>
      </c>
      <c r="C234" s="15" t="s">
        <v>28</v>
      </c>
      <c r="D234" s="15" t="s">
        <v>50</v>
      </c>
      <c r="E234" s="24" t="s">
        <v>51</v>
      </c>
      <c r="F234" s="13">
        <v>1800.0</v>
      </c>
      <c r="G234" s="19">
        <v>4858.0</v>
      </c>
      <c r="H234" s="19" t="s">
        <v>99</v>
      </c>
      <c r="I234" s="19" t="s">
        <v>99</v>
      </c>
      <c r="J234" s="19" t="s">
        <v>60</v>
      </c>
      <c r="K234" s="19" t="s">
        <v>37</v>
      </c>
      <c r="L234" s="19" t="s">
        <v>38</v>
      </c>
      <c r="M234" s="19" t="s">
        <v>54</v>
      </c>
      <c r="N234" s="19" t="s">
        <v>55</v>
      </c>
      <c r="O234" s="19"/>
    </row>
    <row r="235" ht="56.25" customHeight="1">
      <c r="A235" s="23" t="s">
        <v>1999</v>
      </c>
      <c r="B235" s="15" t="str">
        <f>IMAGE("https://imgur.com/j5rtzcX.png")</f>
        <v/>
      </c>
      <c r="C235" s="15" t="s">
        <v>28</v>
      </c>
      <c r="D235" s="15" t="s">
        <v>28</v>
      </c>
      <c r="E235" s="24" t="s">
        <v>51</v>
      </c>
      <c r="F235" s="13">
        <v>1800.0</v>
      </c>
      <c r="G235" s="19">
        <v>4911.0</v>
      </c>
      <c r="H235" s="19" t="s">
        <v>118</v>
      </c>
      <c r="I235" s="19" t="s">
        <v>118</v>
      </c>
      <c r="J235" s="19" t="s">
        <v>60</v>
      </c>
      <c r="K235" s="19" t="s">
        <v>113</v>
      </c>
      <c r="L235" s="19" t="s">
        <v>38</v>
      </c>
      <c r="M235" s="19" t="s">
        <v>54</v>
      </c>
      <c r="N235" s="19" t="s">
        <v>55</v>
      </c>
      <c r="O235" s="19"/>
    </row>
    <row r="236" ht="56.25" customHeight="1">
      <c r="A236" s="23" t="s">
        <v>2000</v>
      </c>
      <c r="B236" s="15" t="str">
        <f>IMAGE("https://imgur.com/oxL8sST.png")</f>
        <v/>
      </c>
      <c r="C236" s="15" t="s">
        <v>28</v>
      </c>
      <c r="D236" s="25" t="s">
        <v>50</v>
      </c>
      <c r="E236" s="24" t="s">
        <v>51</v>
      </c>
      <c r="F236" s="13">
        <v>1800.0</v>
      </c>
      <c r="G236" s="19">
        <v>4859.0</v>
      </c>
      <c r="H236" s="19" t="s">
        <v>118</v>
      </c>
      <c r="I236" s="19" t="s">
        <v>118</v>
      </c>
      <c r="J236" s="19" t="s">
        <v>60</v>
      </c>
      <c r="K236" s="19" t="s">
        <v>37</v>
      </c>
      <c r="L236" s="19" t="s">
        <v>38</v>
      </c>
      <c r="M236" s="19" t="s">
        <v>54</v>
      </c>
      <c r="N236" s="19" t="s">
        <v>55</v>
      </c>
      <c r="O236" s="19"/>
    </row>
    <row r="237" ht="56.25" customHeight="1">
      <c r="A237" s="23" t="s">
        <v>2002</v>
      </c>
      <c r="B237" s="15" t="str">
        <f>IMAGE("https://imgur.com/Hrh40mV.png")</f>
        <v/>
      </c>
      <c r="C237" s="15" t="s">
        <v>28</v>
      </c>
      <c r="D237" s="25" t="s">
        <v>28</v>
      </c>
      <c r="E237" s="24" t="s">
        <v>51</v>
      </c>
      <c r="F237" s="13">
        <v>1380.0</v>
      </c>
      <c r="G237" s="19">
        <v>5223.0</v>
      </c>
      <c r="H237" s="19" t="s">
        <v>369</v>
      </c>
      <c r="I237" s="19" t="s">
        <v>369</v>
      </c>
      <c r="J237" s="19" t="s">
        <v>346</v>
      </c>
      <c r="K237" s="19" t="s">
        <v>90</v>
      </c>
      <c r="L237" s="19" t="s">
        <v>38</v>
      </c>
      <c r="M237" s="19" t="s">
        <v>54</v>
      </c>
      <c r="N237" s="19" t="s">
        <v>55</v>
      </c>
      <c r="O237" s="19"/>
    </row>
    <row r="238" ht="56.25" customHeight="1">
      <c r="A238" s="23" t="s">
        <v>2004</v>
      </c>
      <c r="B238" s="15" t="str">
        <f>IMAGE("https://imgur.com/0dQXLwi.png")</f>
        <v/>
      </c>
      <c r="C238" s="15" t="s">
        <v>28</v>
      </c>
      <c r="D238" s="15" t="s">
        <v>28</v>
      </c>
      <c r="E238" s="13">
        <v>1780.0</v>
      </c>
      <c r="F238" s="13">
        <v>445.0</v>
      </c>
      <c r="G238" s="19">
        <v>6872.0</v>
      </c>
      <c r="H238" s="19" t="s">
        <v>211</v>
      </c>
      <c r="I238" s="19" t="s">
        <v>211</v>
      </c>
      <c r="J238" s="19" t="s">
        <v>36</v>
      </c>
      <c r="K238" s="19" t="s">
        <v>60</v>
      </c>
      <c r="L238" s="19" t="s">
        <v>38</v>
      </c>
      <c r="M238" s="19" t="s">
        <v>43</v>
      </c>
      <c r="N238" s="19" t="s">
        <v>44</v>
      </c>
      <c r="O238" s="19"/>
    </row>
    <row r="239" ht="56.25" customHeight="1">
      <c r="A239" s="23" t="s">
        <v>2005</v>
      </c>
      <c r="B239" s="15" t="str">
        <f>IMAGE("https://imgur.com/8EZMkGS.png")</f>
        <v/>
      </c>
      <c r="C239" s="15" t="s">
        <v>28</v>
      </c>
      <c r="D239" s="25" t="s">
        <v>28</v>
      </c>
      <c r="E239" s="13">
        <v>1280.0</v>
      </c>
      <c r="F239" s="13">
        <v>320.0</v>
      </c>
      <c r="G239" s="19">
        <v>6871.0</v>
      </c>
      <c r="H239" s="19" t="s">
        <v>211</v>
      </c>
      <c r="I239" s="19" t="s">
        <v>211</v>
      </c>
      <c r="J239" s="19" t="s">
        <v>36</v>
      </c>
      <c r="K239" s="19" t="s">
        <v>113</v>
      </c>
      <c r="L239" s="19" t="s">
        <v>38</v>
      </c>
      <c r="M239" s="19" t="s">
        <v>43</v>
      </c>
      <c r="N239" s="19" t="s">
        <v>44</v>
      </c>
      <c r="O239" s="19"/>
    </row>
    <row r="240" ht="56.25" customHeight="1">
      <c r="A240" s="23" t="s">
        <v>2007</v>
      </c>
      <c r="B240" s="15" t="str">
        <f>IMAGE("http://imgur.com/laef5rO.png")</f>
        <v/>
      </c>
      <c r="C240" s="15" t="s">
        <v>28</v>
      </c>
      <c r="D240" s="15" t="s">
        <v>28</v>
      </c>
      <c r="E240" s="13">
        <v>1570.0</v>
      </c>
      <c r="F240" s="13">
        <v>392.0</v>
      </c>
      <c r="G240" s="19">
        <v>4849.0</v>
      </c>
      <c r="H240" s="19" t="s">
        <v>211</v>
      </c>
      <c r="I240" s="19" t="s">
        <v>82</v>
      </c>
      <c r="J240" s="19" t="s">
        <v>60</v>
      </c>
      <c r="K240" s="19" t="s">
        <v>37</v>
      </c>
      <c r="L240" s="19" t="s">
        <v>38</v>
      </c>
      <c r="M240" s="19" t="s">
        <v>43</v>
      </c>
      <c r="N240" s="19" t="s">
        <v>44</v>
      </c>
      <c r="O240" s="19"/>
    </row>
    <row r="241" ht="56.25" customHeight="1">
      <c r="A241" s="23" t="s">
        <v>2009</v>
      </c>
      <c r="B241" s="15" t="str">
        <f>IMAGE("https://imgur.com/PEWzc6O.png")</f>
        <v/>
      </c>
      <c r="C241" s="15" t="s">
        <v>28</v>
      </c>
      <c r="D241" s="25" t="s">
        <v>28</v>
      </c>
      <c r="E241" s="13">
        <v>2540.0</v>
      </c>
      <c r="F241" s="13">
        <v>635.0</v>
      </c>
      <c r="G241" s="19">
        <v>6865.0</v>
      </c>
      <c r="H241" s="19" t="s">
        <v>211</v>
      </c>
      <c r="I241" s="19" t="s">
        <v>211</v>
      </c>
      <c r="J241" s="19" t="s">
        <v>113</v>
      </c>
      <c r="K241" s="19" t="s">
        <v>36</v>
      </c>
      <c r="L241" s="19" t="s">
        <v>38</v>
      </c>
      <c r="M241" s="19" t="s">
        <v>43</v>
      </c>
      <c r="N241" s="19" t="s">
        <v>44</v>
      </c>
      <c r="O241" s="19"/>
    </row>
    <row r="242" ht="56.25" customHeight="1">
      <c r="A242" s="23" t="s">
        <v>2010</v>
      </c>
      <c r="B242" s="15" t="str">
        <f>IMAGE("https://imgur.com/eiW3UVE.png")</f>
        <v/>
      </c>
      <c r="C242" s="15" t="s">
        <v>28</v>
      </c>
      <c r="D242" s="25" t="s">
        <v>28</v>
      </c>
      <c r="E242" s="13">
        <v>2150.0</v>
      </c>
      <c r="F242" s="13">
        <v>537.0</v>
      </c>
      <c r="G242" s="19">
        <v>7276.0</v>
      </c>
      <c r="H242" s="19" t="s">
        <v>211</v>
      </c>
      <c r="I242" s="19" t="s">
        <v>82</v>
      </c>
      <c r="J242" s="19" t="s">
        <v>36</v>
      </c>
      <c r="K242" s="19" t="s">
        <v>113</v>
      </c>
      <c r="L242" s="19" t="s">
        <v>38</v>
      </c>
      <c r="M242" s="19" t="s">
        <v>43</v>
      </c>
      <c r="N242" s="19" t="s">
        <v>44</v>
      </c>
      <c r="O242" s="19"/>
    </row>
    <row r="243" ht="56.25" customHeight="1">
      <c r="A243" s="37" t="s">
        <v>2012</v>
      </c>
      <c r="B243" s="15" t="str">
        <f>IMAGE("https://imgur.com/oAnsXX1.png")</f>
        <v/>
      </c>
      <c r="C243" s="15" t="s">
        <v>28</v>
      </c>
      <c r="D243" s="25" t="s">
        <v>28</v>
      </c>
      <c r="E243" s="13">
        <v>750.0</v>
      </c>
      <c r="F243" s="13">
        <v>187.0</v>
      </c>
      <c r="G243" s="19">
        <v>4867.0</v>
      </c>
      <c r="H243" s="19" t="s">
        <v>1608</v>
      </c>
      <c r="I243" s="19" t="s">
        <v>211</v>
      </c>
      <c r="J243" s="19" t="s">
        <v>113</v>
      </c>
      <c r="K243" s="19" t="s">
        <v>60</v>
      </c>
      <c r="L243" s="19" t="s">
        <v>38</v>
      </c>
      <c r="M243" s="19" t="s">
        <v>43</v>
      </c>
      <c r="N243" s="19" t="s">
        <v>44</v>
      </c>
      <c r="O243" s="19"/>
    </row>
    <row r="244" ht="56.25" customHeight="1">
      <c r="A244" s="23" t="s">
        <v>2013</v>
      </c>
      <c r="B244" s="15" t="str">
        <f>IMAGE("https://imgur.com/1vqSgB2.png")</f>
        <v/>
      </c>
      <c r="C244" s="15" t="s">
        <v>28</v>
      </c>
      <c r="D244" s="15" t="s">
        <v>28</v>
      </c>
      <c r="E244" s="13">
        <v>1600.0</v>
      </c>
      <c r="F244" s="13">
        <v>400.0</v>
      </c>
      <c r="G244" s="19">
        <v>4808.0</v>
      </c>
      <c r="H244" s="19" t="s">
        <v>211</v>
      </c>
      <c r="I244" s="19" t="s">
        <v>211</v>
      </c>
      <c r="J244" s="19" t="s">
        <v>36</v>
      </c>
      <c r="K244" s="19" t="s">
        <v>113</v>
      </c>
      <c r="L244" s="19" t="s">
        <v>38</v>
      </c>
      <c r="M244" s="19" t="s">
        <v>43</v>
      </c>
      <c r="N244" s="19" t="s">
        <v>44</v>
      </c>
      <c r="O244" s="19"/>
    </row>
    <row r="245" ht="56.25" customHeight="1">
      <c r="A245" s="23" t="s">
        <v>2015</v>
      </c>
      <c r="B245" s="15" t="str">
        <f>IMAGE("https://imgur.com/x4EHBC2.png")</f>
        <v/>
      </c>
      <c r="C245" s="15" t="s">
        <v>28</v>
      </c>
      <c r="D245" s="25" t="s">
        <v>28</v>
      </c>
      <c r="E245" s="13">
        <v>1520.0</v>
      </c>
      <c r="F245" s="13">
        <v>380.0</v>
      </c>
      <c r="G245" s="19">
        <v>4946.0</v>
      </c>
      <c r="H245" s="19" t="s">
        <v>211</v>
      </c>
      <c r="I245" s="19" t="s">
        <v>1608</v>
      </c>
      <c r="J245" s="19" t="s">
        <v>36</v>
      </c>
      <c r="K245" s="19" t="s">
        <v>113</v>
      </c>
      <c r="L245" s="19" t="s">
        <v>38</v>
      </c>
      <c r="M245" s="19" t="s">
        <v>43</v>
      </c>
      <c r="N245" s="19" t="s">
        <v>44</v>
      </c>
      <c r="O245" s="19"/>
    </row>
  </sheetData>
  <customSheetViews>
    <customSheetView guid="{11AB3FAE-053A-40A1-A322-CF1AF7514E6A}" filter="1" showAutoFilter="1">
      <autoFilter ref="$A$1:$G$245">
        <filterColumn colId="6">
          <filters>
            <filter val="11180"/>
            <filter val="4850"/>
            <filter val="4848"/>
            <filter val="4849"/>
            <filter val="4840"/>
            <filter val="4841"/>
            <filter val="4843"/>
            <filter val="4844"/>
            <filter val="4845"/>
            <filter val="4846"/>
            <filter val="4847"/>
            <filter val="7215"/>
            <filter val="4860"/>
            <filter val="6004"/>
            <filter val="4861"/>
            <filter val="4859"/>
            <filter val="4851"/>
            <filter val="7205"/>
            <filter val="4852"/>
            <filter val="4853"/>
            <filter val="4854"/>
            <filter val="4855"/>
            <filter val="4856"/>
            <filter val="4857"/>
            <filter val="4858"/>
            <filter val="5164"/>
            <filter val="4870"/>
            <filter val="4871"/>
            <filter val="4872"/>
            <filter val="7217"/>
            <filter val="4862"/>
            <filter val="7216"/>
            <filter val="4863"/>
            <filter val="4864"/>
            <filter val="7218"/>
            <filter val="4865"/>
            <filter val="4866"/>
            <filter val="4867"/>
            <filter val="4868"/>
            <filter val="4869"/>
            <filter val="4880"/>
            <filter val="4881"/>
            <filter val="4882"/>
            <filter val="4883"/>
            <filter val="4873"/>
            <filter val="11177"/>
            <filter val="4874"/>
            <filter val="11176"/>
            <filter val="4875"/>
            <filter val="4876"/>
            <filter val="11178"/>
            <filter val="4877"/>
            <filter val="4878"/>
            <filter val="4879"/>
            <filter val="7242"/>
            <filter val="7241"/>
            <filter val="7244"/>
            <filter val="4890"/>
            <filter val="7243"/>
            <filter val="4891"/>
            <filter val="4892"/>
            <filter val="7127"/>
            <filter val="4893"/>
            <filter val="4894"/>
            <filter val="4884"/>
            <filter val="4885"/>
            <filter val="4886"/>
            <filter val="4887"/>
            <filter val="4888"/>
            <filter val="4889"/>
            <filter val="5510"/>
            <filter val="5508"/>
            <filter val="5509"/>
            <filter val="4895"/>
            <filter val="5500"/>
            <filter val="4896"/>
            <filter val="5501"/>
            <filter val="5502"/>
            <filter val="4897"/>
            <filter val="4898"/>
            <filter val="5503"/>
            <filter val="4899"/>
            <filter val="5504"/>
            <filter val="5505"/>
            <filter val="5506"/>
            <filter val="6850"/>
            <filter val="6852"/>
            <filter val="5520"/>
            <filter val="6851"/>
            <filter val="5400"/>
            <filter val="4795"/>
            <filter val="5521"/>
            <filter val="5512"/>
            <filter val="5513"/>
            <filter val="5514"/>
            <filter val="7275"/>
            <filter val="7274"/>
            <filter val="7277"/>
            <filter val="7276"/>
            <filter val="6861"/>
            <filter val="6863"/>
            <filter val="6862"/>
            <filter val="6854"/>
            <filter val="6853"/>
            <filter val="6856"/>
            <filter val="6855"/>
            <filter val="6858"/>
            <filter val="6857"/>
            <filter val="5528"/>
            <filter val="6859"/>
            <filter val="6870"/>
            <filter val="5661"/>
            <filter val="6872"/>
            <filter val="5662"/>
            <filter val="6871"/>
            <filter val="6874"/>
            <filter val="6873"/>
            <filter val="6865"/>
            <filter val="6864"/>
            <filter val="6866"/>
            <filter val="6869"/>
            <filter val="6868"/>
            <filter val="11915"/>
            <filter val="6876"/>
            <filter val="6875"/>
            <filter val="6878"/>
            <filter val="6877"/>
            <filter val="6879"/>
            <filter val="7187"/>
            <filter val="4903"/>
            <filter val="4904"/>
            <filter val="4905"/>
            <filter val="4906"/>
            <filter val="4907"/>
            <filter val="4908"/>
            <filter val="4909"/>
            <filter val="5559"/>
            <filter val="4900"/>
            <filter val="4902"/>
            <filter val="4914"/>
            <filter val="4915"/>
            <filter val="4916"/>
            <filter val="4917"/>
            <filter val="4918"/>
            <filter val="4919"/>
            <filter val="4910"/>
            <filter val="4911"/>
            <filter val="4912"/>
            <filter val="4913"/>
            <filter val="5221"/>
            <filter val="5222"/>
            <filter val="5223"/>
            <filter val="5224"/>
            <filter val="4925"/>
            <filter val="4804"/>
            <filter val="4926"/>
            <filter val="4805"/>
            <filter val="4806"/>
            <filter val="4927"/>
            <filter val="4807"/>
            <filter val="4928"/>
            <filter val="4929"/>
            <filter val="4808"/>
            <filter val="4809"/>
            <filter val="5456"/>
            <filter val="5457"/>
            <filter val="5215"/>
            <filter val="5458"/>
            <filter val="5216"/>
            <filter val="5217"/>
            <filter val="4920"/>
            <filter val="5218"/>
            <filter val="4921"/>
            <filter val="4922"/>
            <filter val="4801"/>
            <filter val="4923"/>
            <filter val="4802"/>
            <filter val="4924"/>
            <filter val="4803"/>
            <filter val="5230"/>
            <filter val="4936"/>
            <filter val="4815"/>
            <filter val="4816"/>
            <filter val="4817"/>
            <filter val="4818"/>
            <filter val="4939"/>
            <filter val="4819"/>
            <filter val="5225"/>
            <filter val="5226"/>
            <filter val="4930"/>
            <filter val="5227"/>
            <filter val="4931"/>
            <filter val="5228"/>
            <filter val="4811"/>
            <filter val="4932"/>
            <filter val="5229"/>
            <filter val="4812"/>
            <filter val="4933"/>
            <filter val="4813"/>
            <filter val="4934"/>
            <filter val="4814"/>
            <filter val="4935"/>
            <filter val="5481"/>
            <filter val="5482"/>
            <filter val="5483"/>
            <filter val="5484"/>
            <filter val="5485"/>
            <filter val="5486"/>
            <filter val="5487"/>
            <filter val="5488"/>
            <filter val="4947"/>
            <filter val="4826"/>
            <filter val="4948"/>
            <filter val="4827"/>
            <filter val="4828"/>
            <filter val="4949"/>
            <filter val="4940"/>
            <filter val="4820"/>
            <filter val="4941"/>
            <filter val="4821"/>
            <filter val="4943"/>
            <filter val="4944"/>
            <filter val="4945"/>
            <filter val="4825"/>
            <filter val="4946"/>
            <filter val="5494"/>
            <filter val="5495"/>
            <filter val="5498"/>
            <filter val="5499"/>
            <filter val="5490"/>
            <filter val="5491"/>
            <filter val="4837"/>
            <filter val="4838"/>
            <filter val="4839"/>
            <filter val="5489"/>
            <filter val="4830"/>
            <filter val="4831"/>
            <filter val="4832"/>
            <filter val="4833"/>
            <filter val="4834"/>
            <filter val="4835"/>
            <filter val="4836"/>
          </filters>
        </filterColumn>
      </autoFilter>
    </customSheetView>
  </customSheetView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57"/>
    <col customWidth="1" min="2" max="2" width="10.86"/>
    <col customWidth="1" min="3" max="3" width="4.43"/>
    <col customWidth="1" min="4" max="4" width="4.14"/>
    <col customWidth="1" min="5" max="5" width="7.14"/>
    <col customWidth="1" min="6" max="6" width="6.14"/>
    <col customWidth="1" min="7" max="7" width="10.57"/>
    <col customWidth="1" min="8" max="9" width="9.43"/>
    <col customWidth="1" min="10" max="11" width="16.0"/>
    <col customWidth="1" min="12" max="12" width="10.57"/>
    <col customWidth="1" min="13" max="13" width="15.29"/>
    <col customWidth="1" min="14" max="14" width="63.86"/>
  </cols>
  <sheetData>
    <row r="1" ht="30.0" customHeight="1">
      <c r="A1" s="47" t="s">
        <v>0</v>
      </c>
      <c r="B1" s="3" t="s">
        <v>1</v>
      </c>
      <c r="C1" s="5" t="s">
        <v>1601</v>
      </c>
      <c r="D1" s="3" t="s">
        <v>4</v>
      </c>
      <c r="E1" s="1" t="s">
        <v>6</v>
      </c>
      <c r="F1" s="1" t="s">
        <v>7</v>
      </c>
      <c r="G1" s="7" t="s">
        <v>8</v>
      </c>
      <c r="H1" s="7" t="s">
        <v>1602</v>
      </c>
      <c r="I1" s="7" t="s">
        <v>1603</v>
      </c>
      <c r="J1" s="7" t="s">
        <v>9</v>
      </c>
      <c r="K1" s="7" t="s">
        <v>10</v>
      </c>
      <c r="L1" s="7" t="s">
        <v>18</v>
      </c>
      <c r="M1" s="7" t="s">
        <v>19</v>
      </c>
      <c r="N1" s="7" t="s">
        <v>20</v>
      </c>
    </row>
    <row r="2" ht="56.25" customHeight="1">
      <c r="A2" s="13" t="s">
        <v>2028</v>
      </c>
      <c r="B2" s="15" t="str">
        <f>IMAGE("https://imgur.com/VFlPNi3.png")</f>
        <v/>
      </c>
      <c r="C2" s="15" t="s">
        <v>28</v>
      </c>
      <c r="D2" s="15" t="s">
        <v>28</v>
      </c>
      <c r="E2" s="13">
        <v>900.0</v>
      </c>
      <c r="F2" s="13">
        <v>225.0</v>
      </c>
      <c r="G2" s="15">
        <v>5036.0</v>
      </c>
      <c r="H2" s="15" t="s">
        <v>1614</v>
      </c>
      <c r="I2" s="15" t="s">
        <v>1614</v>
      </c>
      <c r="J2" s="15" t="s">
        <v>183</v>
      </c>
      <c r="K2" s="15" t="s">
        <v>90</v>
      </c>
      <c r="L2" s="15" t="s">
        <v>43</v>
      </c>
      <c r="M2" s="15" t="s">
        <v>44</v>
      </c>
      <c r="N2" s="15"/>
    </row>
    <row r="3" ht="56.25" customHeight="1">
      <c r="A3" s="13" t="s">
        <v>2030</v>
      </c>
      <c r="B3" s="15" t="str">
        <f>IMAGE("https://imgur.com/D8V8qLN.png")</f>
        <v/>
      </c>
      <c r="C3" s="15" t="s">
        <v>28</v>
      </c>
      <c r="D3" s="25" t="s">
        <v>28</v>
      </c>
      <c r="E3" s="13">
        <v>2120.0</v>
      </c>
      <c r="F3" s="13">
        <v>530.0</v>
      </c>
      <c r="G3" s="15">
        <v>4953.0</v>
      </c>
      <c r="H3" s="15" t="s">
        <v>99</v>
      </c>
      <c r="I3" s="15" t="s">
        <v>94</v>
      </c>
      <c r="J3" s="15" t="s">
        <v>62</v>
      </c>
      <c r="K3" s="15" t="s">
        <v>60</v>
      </c>
      <c r="L3" s="15" t="s">
        <v>43</v>
      </c>
      <c r="M3" s="15" t="s">
        <v>44</v>
      </c>
      <c r="N3" s="15"/>
    </row>
    <row r="4" ht="56.25" customHeight="1">
      <c r="A4" s="13" t="s">
        <v>2032</v>
      </c>
      <c r="B4" s="15" t="str">
        <f>IMAGE("https://imgur.com/Fu7lCXE.png")</f>
        <v/>
      </c>
      <c r="C4" s="15" t="s">
        <v>28</v>
      </c>
      <c r="D4" s="15" t="s">
        <v>28</v>
      </c>
      <c r="E4" s="13">
        <v>1100.0</v>
      </c>
      <c r="F4" s="13">
        <v>275.0</v>
      </c>
      <c r="G4" s="15">
        <v>4998.0</v>
      </c>
      <c r="H4" s="15" t="s">
        <v>118</v>
      </c>
      <c r="I4" s="15" t="s">
        <v>118</v>
      </c>
      <c r="J4" s="15" t="s">
        <v>90</v>
      </c>
      <c r="K4" s="15" t="s">
        <v>37</v>
      </c>
      <c r="L4" s="15" t="s">
        <v>43</v>
      </c>
      <c r="M4" s="15" t="s">
        <v>44</v>
      </c>
      <c r="N4" s="15"/>
    </row>
    <row r="5" ht="56.25" customHeight="1">
      <c r="A5" s="13" t="s">
        <v>2033</v>
      </c>
      <c r="B5" s="15" t="str">
        <f>IMAGE("https://imgur.com/YXcA4WK.png")</f>
        <v/>
      </c>
      <c r="C5" s="15" t="s">
        <v>28</v>
      </c>
      <c r="D5" s="15" t="s">
        <v>28</v>
      </c>
      <c r="E5" s="13">
        <v>1750.0</v>
      </c>
      <c r="F5" s="13">
        <v>437.0</v>
      </c>
      <c r="G5" s="15">
        <v>4994.0</v>
      </c>
      <c r="H5" s="15" t="s">
        <v>82</v>
      </c>
      <c r="I5" s="15" t="s">
        <v>1608</v>
      </c>
      <c r="J5" s="15" t="s">
        <v>183</v>
      </c>
      <c r="K5" s="15" t="s">
        <v>90</v>
      </c>
      <c r="L5" s="15" t="s">
        <v>43</v>
      </c>
      <c r="M5" s="15" t="s">
        <v>44</v>
      </c>
      <c r="N5" s="15"/>
    </row>
    <row r="6" ht="56.25" customHeight="1">
      <c r="A6" s="13" t="s">
        <v>2035</v>
      </c>
      <c r="B6" s="15" t="str">
        <f>IMAGE("https://imgur.com/Q4n3qrE.png")</f>
        <v/>
      </c>
      <c r="C6" s="15" t="s">
        <v>28</v>
      </c>
      <c r="D6" s="25" t="s">
        <v>28</v>
      </c>
      <c r="E6" s="13">
        <v>1800.0</v>
      </c>
      <c r="F6" s="13">
        <v>450.0</v>
      </c>
      <c r="G6" s="15">
        <v>5232.0</v>
      </c>
      <c r="H6" s="15" t="s">
        <v>1608</v>
      </c>
      <c r="I6" s="15" t="s">
        <v>1608</v>
      </c>
      <c r="J6" s="15" t="s">
        <v>90</v>
      </c>
      <c r="K6" s="15" t="s">
        <v>37</v>
      </c>
      <c r="L6" s="15" t="s">
        <v>43</v>
      </c>
      <c r="M6" s="15" t="s">
        <v>44</v>
      </c>
      <c r="N6" s="15"/>
    </row>
    <row r="7" ht="56.25" customHeight="1">
      <c r="A7" s="13" t="s">
        <v>2036</v>
      </c>
      <c r="B7" s="15" t="str">
        <f>IMAGE("https://imgur.com/qdZf3QR.png")</f>
        <v/>
      </c>
      <c r="C7" s="15" t="s">
        <v>28</v>
      </c>
      <c r="D7" s="15" t="s">
        <v>28</v>
      </c>
      <c r="E7" s="24" t="s">
        <v>51</v>
      </c>
      <c r="F7" s="13">
        <v>600.0</v>
      </c>
      <c r="G7" s="15">
        <v>4979.0</v>
      </c>
      <c r="H7" s="15" t="s">
        <v>369</v>
      </c>
      <c r="I7" s="15" t="s">
        <v>369</v>
      </c>
      <c r="J7" s="15" t="s">
        <v>95</v>
      </c>
      <c r="K7" s="15"/>
      <c r="L7" s="15" t="s">
        <v>54</v>
      </c>
      <c r="M7" s="15" t="s">
        <v>55</v>
      </c>
      <c r="N7" s="15"/>
    </row>
    <row r="8" ht="56.25" customHeight="1">
      <c r="A8" s="13" t="s">
        <v>2038</v>
      </c>
      <c r="B8" s="15" t="str">
        <f>IMAGE("https://imgur.com/aZLyID3.png")</f>
        <v/>
      </c>
      <c r="C8" s="15" t="s">
        <v>28</v>
      </c>
      <c r="D8" s="25" t="s">
        <v>50</v>
      </c>
      <c r="E8" s="13" t="s">
        <v>51</v>
      </c>
      <c r="F8" s="13">
        <v>2400.0</v>
      </c>
      <c r="G8" s="15">
        <v>4964.0</v>
      </c>
      <c r="H8" s="15" t="s">
        <v>369</v>
      </c>
      <c r="I8" s="15" t="s">
        <v>1608</v>
      </c>
      <c r="J8" s="15" t="s">
        <v>161</v>
      </c>
      <c r="K8" s="15"/>
      <c r="L8" s="15" t="s">
        <v>54</v>
      </c>
      <c r="M8" s="15" t="s">
        <v>55</v>
      </c>
      <c r="N8" s="15"/>
    </row>
    <row r="9" ht="56.25" customHeight="1">
      <c r="A9" s="13" t="s">
        <v>2040</v>
      </c>
      <c r="B9" s="15" t="str">
        <f>IMAGE("https://imgur.com/yfOhlpM.png")</f>
        <v/>
      </c>
      <c r="C9" s="15" t="s">
        <v>28</v>
      </c>
      <c r="D9" s="25" t="s">
        <v>50</v>
      </c>
      <c r="E9" s="13" t="s">
        <v>51</v>
      </c>
      <c r="F9" s="13">
        <v>1500.0</v>
      </c>
      <c r="G9" s="15">
        <v>4797.0</v>
      </c>
      <c r="H9" s="15" t="s">
        <v>94</v>
      </c>
      <c r="I9" s="15" t="s">
        <v>94</v>
      </c>
      <c r="J9" s="15" t="s">
        <v>346</v>
      </c>
      <c r="K9" s="15" t="s">
        <v>90</v>
      </c>
      <c r="L9" s="15" t="s">
        <v>54</v>
      </c>
      <c r="M9" s="15" t="s">
        <v>55</v>
      </c>
      <c r="N9" s="15"/>
    </row>
    <row r="10" ht="56.25" customHeight="1">
      <c r="A10" s="13" t="s">
        <v>2041</v>
      </c>
      <c r="B10" s="15" t="str">
        <f>IMAGE("https://imgur.com/ez55DPE.png")</f>
        <v/>
      </c>
      <c r="C10" s="15" t="s">
        <v>28</v>
      </c>
      <c r="D10" s="25" t="s">
        <v>28</v>
      </c>
      <c r="E10" s="13">
        <v>2100.0</v>
      </c>
      <c r="F10" s="13">
        <v>525.0</v>
      </c>
      <c r="G10" s="15">
        <v>4965.0</v>
      </c>
      <c r="H10" s="15" t="s">
        <v>1608</v>
      </c>
      <c r="I10" s="15" t="s">
        <v>82</v>
      </c>
      <c r="J10" s="15" t="s">
        <v>183</v>
      </c>
      <c r="K10" s="15" t="s">
        <v>90</v>
      </c>
      <c r="L10" s="15" t="s">
        <v>43</v>
      </c>
      <c r="M10" s="15" t="s">
        <v>44</v>
      </c>
      <c r="N10" s="15"/>
    </row>
    <row r="11" ht="56.25" customHeight="1">
      <c r="A11" s="13" t="s">
        <v>2043</v>
      </c>
      <c r="B11" s="15" t="str">
        <f>IMAGE("https://imgur.com/a0cXHgt.png")</f>
        <v/>
      </c>
      <c r="C11" s="15" t="s">
        <v>28</v>
      </c>
      <c r="D11" s="25" t="s">
        <v>28</v>
      </c>
      <c r="E11" s="24" t="s">
        <v>51</v>
      </c>
      <c r="F11" s="13">
        <v>750.0</v>
      </c>
      <c r="G11" s="15">
        <v>5053.0</v>
      </c>
      <c r="H11" s="15" t="s">
        <v>107</v>
      </c>
      <c r="I11" s="15" t="s">
        <v>107</v>
      </c>
      <c r="J11" s="15" t="s">
        <v>36</v>
      </c>
      <c r="K11" s="15"/>
      <c r="L11" s="15" t="s">
        <v>54</v>
      </c>
      <c r="M11" s="15" t="s">
        <v>1609</v>
      </c>
      <c r="N11" s="15"/>
    </row>
    <row r="12" ht="56.25" customHeight="1">
      <c r="A12" s="13" t="s">
        <v>2044</v>
      </c>
      <c r="B12" s="15" t="str">
        <f>IMAGE("https://imgur.com/2PjHVT8.png")</f>
        <v/>
      </c>
      <c r="C12" s="15" t="s">
        <v>28</v>
      </c>
      <c r="D12" s="15" t="s">
        <v>28</v>
      </c>
      <c r="E12" s="13">
        <v>800.0</v>
      </c>
      <c r="F12" s="13">
        <v>200.0</v>
      </c>
      <c r="G12" s="15">
        <v>5032.0</v>
      </c>
      <c r="H12" s="15" t="s">
        <v>82</v>
      </c>
      <c r="I12" s="15" t="s">
        <v>82</v>
      </c>
      <c r="J12" s="15" t="s">
        <v>60</v>
      </c>
      <c r="K12" s="15" t="s">
        <v>113</v>
      </c>
      <c r="L12" s="15" t="s">
        <v>43</v>
      </c>
      <c r="M12" s="15" t="s">
        <v>44</v>
      </c>
      <c r="N12" s="15"/>
    </row>
    <row r="13" ht="56.25" customHeight="1">
      <c r="A13" s="13" t="s">
        <v>2046</v>
      </c>
      <c r="B13" s="15" t="str">
        <f>IMAGE("https://imgur.com/0FQmgoZ.png")</f>
        <v/>
      </c>
      <c r="C13" s="15" t="s">
        <v>28</v>
      </c>
      <c r="D13" s="25" t="s">
        <v>28</v>
      </c>
      <c r="E13" s="13">
        <v>2350.0</v>
      </c>
      <c r="F13" s="13">
        <v>587.0</v>
      </c>
      <c r="G13" s="15">
        <v>5066.0</v>
      </c>
      <c r="H13" s="15" t="s">
        <v>99</v>
      </c>
      <c r="I13" s="15" t="s">
        <v>82</v>
      </c>
      <c r="J13" s="15" t="s">
        <v>62</v>
      </c>
      <c r="K13" s="15" t="s">
        <v>60</v>
      </c>
      <c r="L13" s="15" t="s">
        <v>43</v>
      </c>
      <c r="M13" s="15" t="s">
        <v>44</v>
      </c>
      <c r="N13" s="15"/>
    </row>
    <row r="14" ht="56.25" customHeight="1">
      <c r="A14" s="13" t="s">
        <v>2047</v>
      </c>
      <c r="B14" s="15" t="str">
        <f>IMAGE("https://imgur.com/Q1vb7gt.png")</f>
        <v/>
      </c>
      <c r="C14" s="15" t="s">
        <v>28</v>
      </c>
      <c r="D14" s="25" t="s">
        <v>28</v>
      </c>
      <c r="E14" s="13">
        <v>1040.0</v>
      </c>
      <c r="F14" s="13">
        <v>260.0</v>
      </c>
      <c r="G14" s="15">
        <v>4976.0</v>
      </c>
      <c r="H14" s="15" t="s">
        <v>99</v>
      </c>
      <c r="I14" s="15" t="s">
        <v>99</v>
      </c>
      <c r="J14" s="15" t="s">
        <v>90</v>
      </c>
      <c r="K14" s="15" t="s">
        <v>37</v>
      </c>
      <c r="L14" s="15" t="s">
        <v>43</v>
      </c>
      <c r="M14" s="15" t="s">
        <v>44</v>
      </c>
      <c r="N14" s="15"/>
    </row>
    <row r="15" ht="56.25" customHeight="1">
      <c r="A15" s="13" t="s">
        <v>2049</v>
      </c>
      <c r="B15" s="41" t="str">
        <f>IMAGE("https://imgur.com/HGjhMwq.png")</f>
        <v/>
      </c>
      <c r="C15" s="15" t="s">
        <v>28</v>
      </c>
      <c r="D15" s="15" t="s">
        <v>28</v>
      </c>
      <c r="E15" s="13">
        <v>1320.0</v>
      </c>
      <c r="F15" s="13">
        <v>330.0</v>
      </c>
      <c r="G15" s="15">
        <v>5016.0</v>
      </c>
      <c r="H15" s="15" t="s">
        <v>112</v>
      </c>
      <c r="I15" s="15" t="s">
        <v>112</v>
      </c>
      <c r="J15" s="15" t="s">
        <v>212</v>
      </c>
      <c r="K15" s="15" t="s">
        <v>113</v>
      </c>
      <c r="L15" s="15" t="s">
        <v>43</v>
      </c>
      <c r="M15" s="15" t="s">
        <v>44</v>
      </c>
      <c r="N15" s="15"/>
    </row>
    <row r="16" ht="56.25" customHeight="1">
      <c r="A16" s="13" t="s">
        <v>2051</v>
      </c>
      <c r="B16" s="41" t="str">
        <f>IMAGE("https://imgur.com/wUQIdPa.png")</f>
        <v/>
      </c>
      <c r="C16" s="15" t="s">
        <v>28</v>
      </c>
      <c r="D16" s="25" t="s">
        <v>28</v>
      </c>
      <c r="E16" s="13">
        <v>2100.0</v>
      </c>
      <c r="F16" s="13">
        <v>525.0</v>
      </c>
      <c r="G16" s="15">
        <v>4966.0</v>
      </c>
      <c r="H16" s="15" t="s">
        <v>112</v>
      </c>
      <c r="I16" s="15" t="s">
        <v>82</v>
      </c>
      <c r="J16" s="15" t="s">
        <v>183</v>
      </c>
      <c r="K16" s="15" t="s">
        <v>90</v>
      </c>
      <c r="L16" s="15" t="s">
        <v>43</v>
      </c>
      <c r="M16" s="15" t="s">
        <v>44</v>
      </c>
      <c r="N16" s="15"/>
    </row>
    <row r="17" ht="56.25" customHeight="1">
      <c r="A17" s="13" t="s">
        <v>2052</v>
      </c>
      <c r="B17" s="15" t="str">
        <f>IMAGE("https://imgur.com/McxC0XD.png")</f>
        <v/>
      </c>
      <c r="C17" s="15" t="s">
        <v>28</v>
      </c>
      <c r="D17" s="15" t="s">
        <v>28</v>
      </c>
      <c r="E17" s="13">
        <v>800.0</v>
      </c>
      <c r="F17" s="13">
        <v>200.0</v>
      </c>
      <c r="G17" s="15">
        <v>5028.0</v>
      </c>
      <c r="H17" s="15" t="s">
        <v>112</v>
      </c>
      <c r="I17" s="15" t="s">
        <v>1614</v>
      </c>
      <c r="J17" s="15" t="s">
        <v>36</v>
      </c>
      <c r="K17" s="15" t="s">
        <v>113</v>
      </c>
      <c r="L17" s="15" t="s">
        <v>43</v>
      </c>
      <c r="M17" s="15" t="s">
        <v>44</v>
      </c>
      <c r="N17" s="15"/>
    </row>
    <row r="18" ht="56.25" customHeight="1">
      <c r="A18" s="13" t="s">
        <v>2053</v>
      </c>
      <c r="B18" s="15" t="str">
        <f>IMAGE("https://imgur.com/7lM9Hy6.png")</f>
        <v/>
      </c>
      <c r="C18" s="15" t="s">
        <v>28</v>
      </c>
      <c r="D18" s="25" t="s">
        <v>28</v>
      </c>
      <c r="E18" s="13">
        <v>1520.0</v>
      </c>
      <c r="F18" s="13">
        <v>380.0</v>
      </c>
      <c r="G18" s="15">
        <v>5074.0</v>
      </c>
      <c r="H18" s="15" t="s">
        <v>112</v>
      </c>
      <c r="I18" s="15" t="s">
        <v>112</v>
      </c>
      <c r="J18" s="15" t="s">
        <v>37</v>
      </c>
      <c r="K18" s="15" t="s">
        <v>60</v>
      </c>
      <c r="L18" s="15" t="s">
        <v>43</v>
      </c>
      <c r="M18" s="15" t="s">
        <v>44</v>
      </c>
      <c r="N18" s="15"/>
    </row>
    <row r="19" ht="56.25" customHeight="1">
      <c r="A19" s="13" t="s">
        <v>2055</v>
      </c>
      <c r="B19" s="15" t="str">
        <f>IMAGE("https://imgur.com/fw7fiNP.png")</f>
        <v/>
      </c>
      <c r="C19" s="15" t="s">
        <v>28</v>
      </c>
      <c r="D19" s="25" t="s">
        <v>28</v>
      </c>
      <c r="E19" s="13">
        <v>1420.0</v>
      </c>
      <c r="F19" s="13">
        <v>355.0</v>
      </c>
      <c r="G19" s="15">
        <v>5040.0</v>
      </c>
      <c r="H19" s="15" t="s">
        <v>112</v>
      </c>
      <c r="I19" s="15" t="s">
        <v>112</v>
      </c>
      <c r="J19" s="15" t="s">
        <v>183</v>
      </c>
      <c r="K19" s="15" t="s">
        <v>90</v>
      </c>
      <c r="L19" s="15" t="s">
        <v>43</v>
      </c>
      <c r="M19" s="15" t="s">
        <v>44</v>
      </c>
      <c r="N19" s="15"/>
    </row>
    <row r="20" ht="56.25" customHeight="1">
      <c r="A20" s="13" t="s">
        <v>2056</v>
      </c>
      <c r="B20" s="15" t="str">
        <f>IMAGE("https://imgur.com/ycu4QAN.png")</f>
        <v/>
      </c>
      <c r="C20" s="15" t="s">
        <v>28</v>
      </c>
      <c r="D20" s="25" t="s">
        <v>28</v>
      </c>
      <c r="E20" s="13">
        <v>900.0</v>
      </c>
      <c r="F20" s="13">
        <v>225.0</v>
      </c>
      <c r="G20" s="15">
        <v>6846.0</v>
      </c>
      <c r="H20" s="15" t="s">
        <v>112</v>
      </c>
      <c r="I20" s="15" t="s">
        <v>112</v>
      </c>
      <c r="J20" s="15" t="s">
        <v>183</v>
      </c>
      <c r="K20" s="15" t="s">
        <v>90</v>
      </c>
      <c r="L20" s="15" t="s">
        <v>43</v>
      </c>
      <c r="M20" s="15" t="s">
        <v>44</v>
      </c>
      <c r="N20" s="15"/>
    </row>
    <row r="21" ht="56.25" customHeight="1">
      <c r="A21" s="13" t="s">
        <v>2058</v>
      </c>
      <c r="B21" s="15" t="str">
        <f>IMAGE("https://imgur.com/CqmYVP6.png")</f>
        <v/>
      </c>
      <c r="C21" s="15" t="s">
        <v>28</v>
      </c>
      <c r="D21" s="25" t="s">
        <v>28</v>
      </c>
      <c r="E21" s="13">
        <v>850.0</v>
      </c>
      <c r="F21" s="13">
        <v>212.0</v>
      </c>
      <c r="G21" s="15">
        <v>4954.0</v>
      </c>
      <c r="H21" s="15" t="s">
        <v>112</v>
      </c>
      <c r="I21" s="15" t="s">
        <v>1614</v>
      </c>
      <c r="J21" s="15" t="s">
        <v>156</v>
      </c>
      <c r="K21" s="15" t="s">
        <v>80</v>
      </c>
      <c r="L21" s="15" t="s">
        <v>43</v>
      </c>
      <c r="M21" s="15" t="s">
        <v>44</v>
      </c>
      <c r="N21" s="15"/>
    </row>
    <row r="22" ht="56.25" customHeight="1">
      <c r="A22" s="13" t="s">
        <v>2059</v>
      </c>
      <c r="B22" s="15" t="str">
        <f>IMAGE("https://imgur.com/9LkljdE.png")</f>
        <v/>
      </c>
      <c r="C22" s="15" t="s">
        <v>28</v>
      </c>
      <c r="D22" s="25" t="s">
        <v>28</v>
      </c>
      <c r="E22" s="13">
        <v>1040.0</v>
      </c>
      <c r="F22" s="13">
        <v>260.0</v>
      </c>
      <c r="G22" s="15">
        <v>5057.0</v>
      </c>
      <c r="H22" s="15" t="s">
        <v>1614</v>
      </c>
      <c r="I22" s="15" t="s">
        <v>82</v>
      </c>
      <c r="J22" s="15" t="s">
        <v>36</v>
      </c>
      <c r="K22" s="15" t="s">
        <v>113</v>
      </c>
      <c r="L22" s="15" t="s">
        <v>43</v>
      </c>
      <c r="M22" s="15" t="s">
        <v>44</v>
      </c>
      <c r="N22" s="15"/>
    </row>
    <row r="23" ht="56.25" customHeight="1">
      <c r="A23" s="13" t="s">
        <v>2061</v>
      </c>
      <c r="B23" s="15" t="str">
        <f>IMAGE("https://imgur.com/Jwa43Mz.png")</f>
        <v/>
      </c>
      <c r="C23" s="15" t="s">
        <v>28</v>
      </c>
      <c r="D23" s="15" t="s">
        <v>28</v>
      </c>
      <c r="E23" s="24" t="s">
        <v>51</v>
      </c>
      <c r="F23" s="13">
        <v>750.0</v>
      </c>
      <c r="G23" s="15">
        <v>4982.0</v>
      </c>
      <c r="H23" s="15" t="s">
        <v>112</v>
      </c>
      <c r="I23" s="15" t="s">
        <v>112</v>
      </c>
      <c r="J23" s="15" t="s">
        <v>156</v>
      </c>
      <c r="K23" s="15"/>
      <c r="L23" s="15" t="s">
        <v>54</v>
      </c>
      <c r="M23" s="15" t="s">
        <v>1609</v>
      </c>
      <c r="N23" s="15"/>
    </row>
    <row r="24" ht="56.25" customHeight="1">
      <c r="A24" s="13" t="s">
        <v>2062</v>
      </c>
      <c r="B24" s="41" t="str">
        <f>IMAGE("https://imgur.com/YwRe7fX.png")</f>
        <v/>
      </c>
      <c r="C24" s="15" t="s">
        <v>28</v>
      </c>
      <c r="D24" s="15" t="s">
        <v>28</v>
      </c>
      <c r="E24" s="13">
        <v>1440.0</v>
      </c>
      <c r="F24" s="13">
        <v>360.0</v>
      </c>
      <c r="G24" s="15">
        <v>5081.0</v>
      </c>
      <c r="H24" s="15" t="s">
        <v>118</v>
      </c>
      <c r="I24" s="15" t="s">
        <v>118</v>
      </c>
      <c r="J24" s="15" t="s">
        <v>62</v>
      </c>
      <c r="K24" s="15" t="s">
        <v>90</v>
      </c>
      <c r="L24" s="15" t="s">
        <v>43</v>
      </c>
      <c r="M24" s="15" t="s">
        <v>44</v>
      </c>
      <c r="N24" s="15"/>
    </row>
    <row r="25" ht="56.25" customHeight="1">
      <c r="A25" s="13" t="s">
        <v>2064</v>
      </c>
      <c r="B25" s="15" t="str">
        <f>IMAGE("https://imgur.com/d4AMi67.png")</f>
        <v/>
      </c>
      <c r="C25" s="15" t="s">
        <v>28</v>
      </c>
      <c r="D25" s="25" t="s">
        <v>28</v>
      </c>
      <c r="E25" s="13">
        <v>1520.0</v>
      </c>
      <c r="F25" s="13">
        <v>380.0</v>
      </c>
      <c r="G25" s="15">
        <v>5075.0</v>
      </c>
      <c r="H25" s="15" t="s">
        <v>118</v>
      </c>
      <c r="I25" s="15" t="s">
        <v>82</v>
      </c>
      <c r="J25" s="15" t="s">
        <v>37</v>
      </c>
      <c r="K25" s="15" t="s">
        <v>60</v>
      </c>
      <c r="L25" s="15" t="s">
        <v>43</v>
      </c>
      <c r="M25" s="15" t="s">
        <v>44</v>
      </c>
      <c r="N25" s="15"/>
    </row>
    <row r="26" ht="56.25" customHeight="1">
      <c r="A26" s="13" t="s">
        <v>2065</v>
      </c>
      <c r="B26" s="15" t="str">
        <f>IMAGE("https://imgur.com/8Ldkd0X.png")</f>
        <v/>
      </c>
      <c r="C26" s="15" t="s">
        <v>28</v>
      </c>
      <c r="D26" s="25" t="s">
        <v>28</v>
      </c>
      <c r="E26" s="13">
        <v>1420.0</v>
      </c>
      <c r="F26" s="13">
        <v>355.0</v>
      </c>
      <c r="G26" s="15">
        <v>5038.0</v>
      </c>
      <c r="H26" s="15" t="s">
        <v>118</v>
      </c>
      <c r="I26" s="15" t="s">
        <v>118</v>
      </c>
      <c r="J26" s="15" t="s">
        <v>183</v>
      </c>
      <c r="K26" s="15" t="s">
        <v>90</v>
      </c>
      <c r="L26" s="15" t="s">
        <v>43</v>
      </c>
      <c r="M26" s="15" t="s">
        <v>44</v>
      </c>
      <c r="N26" s="15"/>
    </row>
    <row r="27" ht="56.25" customHeight="1">
      <c r="A27" s="13" t="s">
        <v>2067</v>
      </c>
      <c r="B27" s="15" t="str">
        <f>IMAGE("https://imgur.com/VubA2dz.png")</f>
        <v/>
      </c>
      <c r="C27" s="15" t="s">
        <v>28</v>
      </c>
      <c r="D27" s="15" t="s">
        <v>28</v>
      </c>
      <c r="E27" s="13">
        <v>2350.0</v>
      </c>
      <c r="F27" s="13">
        <v>587.0</v>
      </c>
      <c r="G27" s="15">
        <v>5065.0</v>
      </c>
      <c r="H27" s="15" t="s">
        <v>1608</v>
      </c>
      <c r="I27" s="15" t="s">
        <v>1608</v>
      </c>
      <c r="J27" s="15" t="s">
        <v>62</v>
      </c>
      <c r="K27" s="15" t="s">
        <v>60</v>
      </c>
      <c r="L27" s="15" t="s">
        <v>43</v>
      </c>
      <c r="M27" s="15" t="s">
        <v>44</v>
      </c>
      <c r="N27" s="15"/>
    </row>
    <row r="28" ht="56.25" customHeight="1">
      <c r="A28" s="13" t="s">
        <v>2069</v>
      </c>
      <c r="B28" s="15" t="str">
        <f>IMAGE("https://imgur.com/SkCC78n.png")</f>
        <v/>
      </c>
      <c r="C28" s="15" t="s">
        <v>28</v>
      </c>
      <c r="D28" s="25" t="s">
        <v>28</v>
      </c>
      <c r="E28" s="13">
        <v>1040.0</v>
      </c>
      <c r="F28" s="13">
        <v>260.0</v>
      </c>
      <c r="G28" s="15">
        <v>6849.0</v>
      </c>
      <c r="H28" s="15" t="s">
        <v>118</v>
      </c>
      <c r="I28" s="15" t="s">
        <v>118</v>
      </c>
      <c r="J28" s="15" t="s">
        <v>90</v>
      </c>
      <c r="K28" s="15" t="s">
        <v>37</v>
      </c>
      <c r="L28" s="15" t="s">
        <v>43</v>
      </c>
      <c r="M28" s="15" t="s">
        <v>44</v>
      </c>
      <c r="N28" s="15"/>
    </row>
    <row r="29" ht="56.25" customHeight="1">
      <c r="A29" s="13" t="s">
        <v>2070</v>
      </c>
      <c r="B29" s="41" t="str">
        <f>IMAGE("https://imgur.com/Cdw4Gna.png")</f>
        <v/>
      </c>
      <c r="C29" s="25" t="s">
        <v>28</v>
      </c>
      <c r="D29" s="25" t="s">
        <v>50</v>
      </c>
      <c r="E29" s="13" t="s">
        <v>51</v>
      </c>
      <c r="F29" s="24">
        <v>4800.0</v>
      </c>
      <c r="G29" s="15"/>
      <c r="H29" s="15"/>
      <c r="I29" s="15"/>
      <c r="J29" s="15"/>
      <c r="K29" s="15"/>
      <c r="L29" s="15" t="s">
        <v>54</v>
      </c>
      <c r="M29" s="15" t="s">
        <v>55</v>
      </c>
      <c r="N29" s="15"/>
    </row>
    <row r="30" ht="56.25" customHeight="1">
      <c r="A30" s="13" t="s">
        <v>2072</v>
      </c>
      <c r="B30" s="15" t="str">
        <f>IMAGE("https://imgur.com/G3torD9.png")</f>
        <v/>
      </c>
      <c r="C30" s="15" t="s">
        <v>28</v>
      </c>
      <c r="D30" s="25" t="s">
        <v>28</v>
      </c>
      <c r="E30" s="13">
        <v>1320.0</v>
      </c>
      <c r="F30" s="13">
        <v>330.0</v>
      </c>
      <c r="G30" s="15">
        <v>5015.0</v>
      </c>
      <c r="H30" s="15" t="s">
        <v>99</v>
      </c>
      <c r="I30" s="15" t="s">
        <v>369</v>
      </c>
      <c r="J30" s="15" t="s">
        <v>212</v>
      </c>
      <c r="K30" s="15" t="s">
        <v>113</v>
      </c>
      <c r="L30" s="15" t="s">
        <v>43</v>
      </c>
      <c r="M30" s="15" t="s">
        <v>44</v>
      </c>
      <c r="N30" s="15"/>
    </row>
    <row r="31" ht="56.25" customHeight="1">
      <c r="A31" s="13" t="s">
        <v>2073</v>
      </c>
      <c r="B31" s="15" t="str">
        <f>IMAGE("https://imgur.com/pKZbnWz.png")</f>
        <v/>
      </c>
      <c r="C31" s="15" t="s">
        <v>28</v>
      </c>
      <c r="D31" s="25" t="s">
        <v>50</v>
      </c>
      <c r="E31" s="24" t="s">
        <v>51</v>
      </c>
      <c r="F31" s="13">
        <v>4400.0</v>
      </c>
      <c r="G31" s="15">
        <v>7204.0</v>
      </c>
      <c r="H31" s="15" t="s">
        <v>107</v>
      </c>
      <c r="I31" s="15" t="s">
        <v>107</v>
      </c>
      <c r="J31" s="15" t="s">
        <v>95</v>
      </c>
      <c r="K31" s="15" t="s">
        <v>36</v>
      </c>
      <c r="L31" s="15" t="s">
        <v>54</v>
      </c>
      <c r="M31" s="15" t="s">
        <v>55</v>
      </c>
      <c r="N31" s="15" t="s">
        <v>282</v>
      </c>
    </row>
    <row r="32" ht="56.25" customHeight="1">
      <c r="A32" s="13" t="s">
        <v>2075</v>
      </c>
      <c r="B32" s="15" t="str">
        <f>IMAGE("https://imgur.com/QsA4EGI.png")</f>
        <v/>
      </c>
      <c r="C32" s="15" t="s">
        <v>28</v>
      </c>
      <c r="D32" s="15" t="s">
        <v>28</v>
      </c>
      <c r="E32" s="24" t="s">
        <v>51</v>
      </c>
      <c r="F32" s="13">
        <v>750.0</v>
      </c>
      <c r="G32" s="15">
        <v>5082.0</v>
      </c>
      <c r="H32" s="15" t="s">
        <v>369</v>
      </c>
      <c r="I32" s="15" t="s">
        <v>369</v>
      </c>
      <c r="J32" s="15" t="s">
        <v>90</v>
      </c>
      <c r="K32" s="15"/>
      <c r="L32" s="15" t="s">
        <v>54</v>
      </c>
      <c r="M32" s="15" t="s">
        <v>1609</v>
      </c>
      <c r="N32" s="15"/>
    </row>
    <row r="33" ht="56.25" customHeight="1">
      <c r="A33" s="13" t="s">
        <v>2076</v>
      </c>
      <c r="B33" s="41" t="str">
        <f>IMAGE("https://imgur.com/XAFbLp6.png")</f>
        <v/>
      </c>
      <c r="C33" s="15" t="s">
        <v>50</v>
      </c>
      <c r="D33" s="15" t="s">
        <v>28</v>
      </c>
      <c r="E33" s="24" t="s">
        <v>51</v>
      </c>
      <c r="F33" s="13">
        <v>750.0</v>
      </c>
      <c r="G33" s="15">
        <v>5267.0</v>
      </c>
      <c r="H33" s="15" t="s">
        <v>82</v>
      </c>
      <c r="I33" s="15" t="s">
        <v>82</v>
      </c>
      <c r="J33" s="15" t="s">
        <v>36</v>
      </c>
      <c r="K33" s="15"/>
      <c r="L33" s="15" t="s">
        <v>54</v>
      </c>
      <c r="M33" s="15" t="s">
        <v>1609</v>
      </c>
      <c r="N33" s="15"/>
    </row>
    <row r="34" ht="56.25" customHeight="1">
      <c r="A34" s="13" t="s">
        <v>2078</v>
      </c>
      <c r="B34" s="15" t="str">
        <f>IMAGE("https://imgur.com/iHKS5tN.png")</f>
        <v/>
      </c>
      <c r="C34" s="15" t="s">
        <v>28</v>
      </c>
      <c r="D34" s="25" t="s">
        <v>50</v>
      </c>
      <c r="E34" s="24" t="s">
        <v>51</v>
      </c>
      <c r="F34" s="13">
        <v>4300.0</v>
      </c>
      <c r="G34" s="15">
        <v>4990.0</v>
      </c>
      <c r="H34" s="15" t="s">
        <v>521</v>
      </c>
      <c r="I34" s="15" t="s">
        <v>521</v>
      </c>
      <c r="J34" s="15" t="s">
        <v>95</v>
      </c>
      <c r="K34" s="15"/>
      <c r="L34" s="15" t="s">
        <v>54</v>
      </c>
      <c r="M34" s="15" t="s">
        <v>55</v>
      </c>
      <c r="N34" s="15" t="s">
        <v>1442</v>
      </c>
    </row>
    <row r="35" ht="56.25" customHeight="1">
      <c r="A35" s="13" t="s">
        <v>2079</v>
      </c>
      <c r="B35" s="15" t="str">
        <f>IMAGE("https://imgur.com/uKKr8VO.png")</f>
        <v/>
      </c>
      <c r="C35" s="15" t="s">
        <v>28</v>
      </c>
      <c r="D35" s="25" t="s">
        <v>28</v>
      </c>
      <c r="E35" s="13">
        <v>900.0</v>
      </c>
      <c r="F35" s="13">
        <v>225.0</v>
      </c>
      <c r="G35" s="15">
        <v>5037.0</v>
      </c>
      <c r="H35" s="15" t="s">
        <v>258</v>
      </c>
      <c r="I35" s="15" t="s">
        <v>82</v>
      </c>
      <c r="J35" s="15" t="s">
        <v>183</v>
      </c>
      <c r="K35" s="15" t="s">
        <v>90</v>
      </c>
      <c r="L35" s="15" t="s">
        <v>43</v>
      </c>
      <c r="M35" s="15" t="s">
        <v>44</v>
      </c>
      <c r="N35" s="15"/>
    </row>
    <row r="36" ht="56.25" customHeight="1">
      <c r="A36" s="13" t="s">
        <v>2081</v>
      </c>
      <c r="B36" s="15" t="str">
        <f>IMAGE("https://imgur.com/55PTpmU.png")</f>
        <v/>
      </c>
      <c r="C36" s="15" t="s">
        <v>28</v>
      </c>
      <c r="D36" s="25" t="s">
        <v>28</v>
      </c>
      <c r="E36" s="13">
        <v>1450.0</v>
      </c>
      <c r="F36" s="13">
        <v>362.0</v>
      </c>
      <c r="G36" s="15">
        <v>4957.0</v>
      </c>
      <c r="H36" s="15" t="s">
        <v>258</v>
      </c>
      <c r="I36" s="15" t="s">
        <v>258</v>
      </c>
      <c r="J36" s="15" t="s">
        <v>36</v>
      </c>
      <c r="K36" s="15" t="s">
        <v>113</v>
      </c>
      <c r="L36" s="15" t="s">
        <v>43</v>
      </c>
      <c r="M36" s="15" t="s">
        <v>44</v>
      </c>
      <c r="N36" s="15"/>
    </row>
    <row r="37" ht="56.25" customHeight="1">
      <c r="A37" s="13" t="s">
        <v>2082</v>
      </c>
      <c r="B37" s="15" t="str">
        <f>IMAGE("https://imgur.com/eOnT92Y.png")</f>
        <v/>
      </c>
      <c r="C37" s="15" t="s">
        <v>28</v>
      </c>
      <c r="D37" s="25" t="s">
        <v>28</v>
      </c>
      <c r="E37" s="13">
        <v>1620.0</v>
      </c>
      <c r="F37" s="13">
        <v>405.0</v>
      </c>
      <c r="G37" s="15">
        <v>5068.0</v>
      </c>
      <c r="H37" s="15" t="s">
        <v>258</v>
      </c>
      <c r="I37" s="15" t="s">
        <v>258</v>
      </c>
      <c r="J37" s="15" t="s">
        <v>60</v>
      </c>
      <c r="K37" s="15" t="s">
        <v>113</v>
      </c>
      <c r="L37" s="15" t="s">
        <v>43</v>
      </c>
      <c r="M37" s="15" t="s">
        <v>44</v>
      </c>
      <c r="N37" s="15"/>
    </row>
    <row r="38" ht="56.25" customHeight="1">
      <c r="A38" s="13" t="s">
        <v>2084</v>
      </c>
      <c r="B38" s="25" t="str">
        <f>IMAGE("https://imgur.com/yoEPyZk.png")</f>
        <v/>
      </c>
      <c r="C38" s="15" t="s">
        <v>28</v>
      </c>
      <c r="D38" s="25" t="s">
        <v>28</v>
      </c>
      <c r="E38" s="13">
        <v>720.0</v>
      </c>
      <c r="F38" s="13">
        <v>180.0</v>
      </c>
      <c r="G38" s="15">
        <v>5018.0</v>
      </c>
      <c r="H38" s="15" t="s">
        <v>118</v>
      </c>
      <c r="I38" s="15" t="s">
        <v>118</v>
      </c>
      <c r="J38" s="15" t="s">
        <v>60</v>
      </c>
      <c r="K38" s="15" t="s">
        <v>80</v>
      </c>
      <c r="L38" s="15" t="s">
        <v>43</v>
      </c>
      <c r="M38" s="15" t="s">
        <v>44</v>
      </c>
      <c r="N38" s="15"/>
    </row>
    <row r="39" ht="56.25" customHeight="1">
      <c r="A39" s="13" t="s">
        <v>2085</v>
      </c>
      <c r="B39" s="15" t="str">
        <f>IMAGE("https://imgur.com/t5nGNeu.png")</f>
        <v/>
      </c>
      <c r="C39" s="15" t="s">
        <v>28</v>
      </c>
      <c r="D39" s="15" t="s">
        <v>28</v>
      </c>
      <c r="E39" s="13">
        <v>820.0</v>
      </c>
      <c r="F39" s="13">
        <v>205.0</v>
      </c>
      <c r="G39" s="15">
        <v>4951.0</v>
      </c>
      <c r="H39" s="15" t="s">
        <v>94</v>
      </c>
      <c r="I39" s="15" t="s">
        <v>94</v>
      </c>
      <c r="J39" s="15" t="s">
        <v>243</v>
      </c>
      <c r="K39" s="15" t="s">
        <v>90</v>
      </c>
      <c r="L39" s="15" t="s">
        <v>43</v>
      </c>
      <c r="M39" s="15" t="s">
        <v>44</v>
      </c>
      <c r="N39" s="15"/>
    </row>
    <row r="40" ht="56.25" customHeight="1">
      <c r="A40" s="13" t="s">
        <v>2087</v>
      </c>
      <c r="B40" s="15" t="str">
        <f>IMAGE("https://imgur.com/B7eShpo.png")</f>
        <v/>
      </c>
      <c r="C40" s="15" t="s">
        <v>28</v>
      </c>
      <c r="D40" s="15" t="s">
        <v>28</v>
      </c>
      <c r="E40" s="24" t="s">
        <v>51</v>
      </c>
      <c r="F40" s="13">
        <v>750.0</v>
      </c>
      <c r="G40" s="15">
        <v>5235.0</v>
      </c>
      <c r="H40" s="15" t="s">
        <v>118</v>
      </c>
      <c r="I40" s="15" t="s">
        <v>82</v>
      </c>
      <c r="J40" s="15" t="s">
        <v>243</v>
      </c>
      <c r="K40" s="15" t="s">
        <v>90</v>
      </c>
      <c r="L40" s="15" t="s">
        <v>54</v>
      </c>
      <c r="M40" s="15" t="s">
        <v>1609</v>
      </c>
      <c r="N40" s="15"/>
    </row>
    <row r="41" ht="56.25" customHeight="1">
      <c r="A41" s="13" t="s">
        <v>2088</v>
      </c>
      <c r="B41" s="15" t="str">
        <f>IMAGE("https://imgur.com/aaBE6Wa.png")</f>
        <v/>
      </c>
      <c r="C41" s="15" t="s">
        <v>28</v>
      </c>
      <c r="D41" s="15" t="s">
        <v>28</v>
      </c>
      <c r="E41" s="13">
        <v>1150.0</v>
      </c>
      <c r="F41" s="13">
        <v>287.0</v>
      </c>
      <c r="G41" s="15">
        <v>6844.0</v>
      </c>
      <c r="H41" s="15" t="s">
        <v>112</v>
      </c>
      <c r="I41" s="15" t="s">
        <v>94</v>
      </c>
      <c r="J41" s="15" t="s">
        <v>62</v>
      </c>
      <c r="K41" s="15"/>
      <c r="L41" s="15" t="s">
        <v>43</v>
      </c>
      <c r="M41" s="15" t="s">
        <v>44</v>
      </c>
      <c r="N41" s="15"/>
    </row>
    <row r="42" ht="56.25" customHeight="1">
      <c r="A42" s="13" t="s">
        <v>2090</v>
      </c>
      <c r="B42" s="15" t="str">
        <f>IMAGE("https://imgur.com/4zDxeNJ.png")</f>
        <v/>
      </c>
      <c r="C42" s="15" t="s">
        <v>28</v>
      </c>
      <c r="D42" s="25" t="s">
        <v>28</v>
      </c>
      <c r="E42" s="13">
        <v>2200.0</v>
      </c>
      <c r="F42" s="13">
        <v>550.0</v>
      </c>
      <c r="G42" s="15">
        <v>5071.0</v>
      </c>
      <c r="H42" s="15" t="s">
        <v>258</v>
      </c>
      <c r="I42" s="15" t="s">
        <v>258</v>
      </c>
      <c r="J42" s="15" t="s">
        <v>36</v>
      </c>
      <c r="K42" s="15" t="s">
        <v>113</v>
      </c>
      <c r="L42" s="15" t="s">
        <v>43</v>
      </c>
      <c r="M42" s="15" t="s">
        <v>44</v>
      </c>
      <c r="N42" s="15"/>
    </row>
    <row r="43" ht="56.25" customHeight="1">
      <c r="A43" s="13" t="s">
        <v>2091</v>
      </c>
      <c r="B43" s="15" t="str">
        <f>IMAGE("https://imgur.com/QakP9D3.png")</f>
        <v/>
      </c>
      <c r="C43" s="15" t="s">
        <v>28</v>
      </c>
      <c r="D43" s="25" t="s">
        <v>28</v>
      </c>
      <c r="E43" s="13">
        <v>1500.0</v>
      </c>
      <c r="F43" s="13">
        <v>375.0</v>
      </c>
      <c r="G43" s="15">
        <v>4969.0</v>
      </c>
      <c r="H43" s="15" t="s">
        <v>1608</v>
      </c>
      <c r="I43" s="15" t="s">
        <v>1608</v>
      </c>
      <c r="J43" s="15" t="s">
        <v>80</v>
      </c>
      <c r="K43" s="15" t="s">
        <v>52</v>
      </c>
      <c r="L43" s="15" t="s">
        <v>43</v>
      </c>
      <c r="M43" s="15" t="s">
        <v>44</v>
      </c>
      <c r="N43" s="15"/>
    </row>
    <row r="44" ht="56.25" customHeight="1">
      <c r="A44" s="13" t="s">
        <v>2092</v>
      </c>
      <c r="B44" s="15" t="str">
        <f>IMAGE("https://imgur.com/eOmFXqC.png")</f>
        <v/>
      </c>
      <c r="C44" s="15" t="s">
        <v>28</v>
      </c>
      <c r="D44" s="15" t="s">
        <v>28</v>
      </c>
      <c r="E44" s="24" t="s">
        <v>51</v>
      </c>
      <c r="F44" s="13">
        <v>750.0</v>
      </c>
      <c r="G44" s="15">
        <v>5243.0</v>
      </c>
      <c r="H44" s="15" t="s">
        <v>369</v>
      </c>
      <c r="I44" s="15" t="s">
        <v>369</v>
      </c>
      <c r="J44" s="15" t="s">
        <v>95</v>
      </c>
      <c r="K44" s="15"/>
      <c r="L44" s="15" t="s">
        <v>54</v>
      </c>
      <c r="M44" s="15" t="s">
        <v>1609</v>
      </c>
      <c r="N44" s="15"/>
    </row>
    <row r="45" ht="56.25" customHeight="1">
      <c r="A45" s="13" t="s">
        <v>2094</v>
      </c>
      <c r="B45" s="41" t="str">
        <f>IMAGE("https://imgur.com/aVMuoI0.png")</f>
        <v/>
      </c>
      <c r="C45" s="15" t="s">
        <v>28</v>
      </c>
      <c r="D45" s="25" t="s">
        <v>28</v>
      </c>
      <c r="E45" s="24" t="s">
        <v>51</v>
      </c>
      <c r="F45" s="13">
        <v>750.0</v>
      </c>
      <c r="G45" s="15">
        <v>5007.0</v>
      </c>
      <c r="H45" s="15" t="s">
        <v>1608</v>
      </c>
      <c r="I45" s="15" t="s">
        <v>99</v>
      </c>
      <c r="J45" s="15" t="s">
        <v>90</v>
      </c>
      <c r="K45" s="15"/>
      <c r="L45" s="15" t="s">
        <v>54</v>
      </c>
      <c r="M45" s="15" t="s">
        <v>1609</v>
      </c>
      <c r="N45" s="15"/>
    </row>
    <row r="46" ht="56.25" customHeight="1">
      <c r="A46" s="13" t="s">
        <v>2095</v>
      </c>
      <c r="B46" s="15" t="str">
        <f>IMAGE("https://imgur.com/xZ06qKC.png")</f>
        <v/>
      </c>
      <c r="C46" s="15" t="s">
        <v>28</v>
      </c>
      <c r="D46" s="25" t="s">
        <v>28</v>
      </c>
      <c r="E46" s="13">
        <v>1500.0</v>
      </c>
      <c r="F46" s="13">
        <v>375.0</v>
      </c>
      <c r="G46" s="15">
        <v>4987.0</v>
      </c>
      <c r="H46" s="15" t="s">
        <v>521</v>
      </c>
      <c r="I46" s="15" t="s">
        <v>521</v>
      </c>
      <c r="J46" s="15" t="s">
        <v>60</v>
      </c>
      <c r="K46" s="15" t="s">
        <v>113</v>
      </c>
      <c r="L46" s="15" t="s">
        <v>43</v>
      </c>
      <c r="M46" s="15" t="s">
        <v>44</v>
      </c>
      <c r="N46" s="15"/>
    </row>
    <row r="47" ht="56.25" customHeight="1">
      <c r="A47" s="13" t="s">
        <v>2097</v>
      </c>
      <c r="B47" s="15" t="str">
        <f>IMAGE("https://imgur.com/Uet7WiU.png")</f>
        <v/>
      </c>
      <c r="C47" s="15" t="s">
        <v>28</v>
      </c>
      <c r="D47" s="25" t="s">
        <v>28</v>
      </c>
      <c r="E47" s="13">
        <v>780.0</v>
      </c>
      <c r="F47" s="13">
        <v>195.0</v>
      </c>
      <c r="G47" s="15">
        <v>7221.0</v>
      </c>
      <c r="H47" s="15" t="s">
        <v>112</v>
      </c>
      <c r="I47" s="15" t="s">
        <v>112</v>
      </c>
      <c r="J47" s="15" t="s">
        <v>36</v>
      </c>
      <c r="K47" s="15" t="s">
        <v>113</v>
      </c>
      <c r="L47" s="15" t="s">
        <v>43</v>
      </c>
      <c r="M47" s="15" t="s">
        <v>44</v>
      </c>
      <c r="N47" s="15"/>
    </row>
    <row r="48" ht="56.25" customHeight="1">
      <c r="A48" s="13" t="s">
        <v>2098</v>
      </c>
      <c r="B48" s="15" t="str">
        <f>IMAGE("https://imgur.com/mnYH8og.png")</f>
        <v/>
      </c>
      <c r="C48" s="15" t="s">
        <v>28</v>
      </c>
      <c r="D48" s="15" t="s">
        <v>28</v>
      </c>
      <c r="E48" s="13">
        <v>780.0</v>
      </c>
      <c r="F48" s="13">
        <v>195.0</v>
      </c>
      <c r="G48" s="15">
        <v>7220.0</v>
      </c>
      <c r="H48" s="15" t="s">
        <v>208</v>
      </c>
      <c r="I48" s="15" t="s">
        <v>107</v>
      </c>
      <c r="J48" s="15" t="s">
        <v>36</v>
      </c>
      <c r="K48" s="15" t="s">
        <v>113</v>
      </c>
      <c r="L48" s="15" t="s">
        <v>43</v>
      </c>
      <c r="M48" s="15" t="s">
        <v>44</v>
      </c>
      <c r="N48" s="15"/>
    </row>
    <row r="49" ht="56.25" customHeight="1">
      <c r="A49" s="13" t="s">
        <v>2100</v>
      </c>
      <c r="B49" s="15" t="str">
        <f>IMAGE("https://imgur.com/0hkJXrh.png")</f>
        <v/>
      </c>
      <c r="C49" s="15" t="s">
        <v>28</v>
      </c>
      <c r="D49" s="25" t="s">
        <v>28</v>
      </c>
      <c r="E49" s="13">
        <v>780.0</v>
      </c>
      <c r="F49" s="13">
        <v>195.0</v>
      </c>
      <c r="G49" s="15">
        <v>7219.0</v>
      </c>
      <c r="H49" s="15" t="s">
        <v>82</v>
      </c>
      <c r="I49" s="15" t="s">
        <v>82</v>
      </c>
      <c r="J49" s="15" t="s">
        <v>36</v>
      </c>
      <c r="K49" s="15" t="s">
        <v>113</v>
      </c>
      <c r="L49" s="15" t="s">
        <v>43</v>
      </c>
      <c r="M49" s="15" t="s">
        <v>44</v>
      </c>
      <c r="N49" s="15"/>
    </row>
    <row r="50" ht="56.25" customHeight="1">
      <c r="A50" s="13" t="s">
        <v>2102</v>
      </c>
      <c r="B50" s="15" t="str">
        <f>IMAGE("https://imgur.com/6WXEEnj.png")</f>
        <v/>
      </c>
      <c r="C50" s="15" t="s">
        <v>28</v>
      </c>
      <c r="D50" s="25" t="s">
        <v>28</v>
      </c>
      <c r="E50" s="13">
        <v>780.0</v>
      </c>
      <c r="F50" s="13">
        <v>195.0</v>
      </c>
      <c r="G50" s="15">
        <v>7222.0</v>
      </c>
      <c r="H50" s="15" t="s">
        <v>211</v>
      </c>
      <c r="I50" s="15" t="s">
        <v>211</v>
      </c>
      <c r="J50" s="15" t="s">
        <v>36</v>
      </c>
      <c r="K50" s="15" t="s">
        <v>113</v>
      </c>
      <c r="L50" s="15" t="s">
        <v>43</v>
      </c>
      <c r="M50" s="15" t="s">
        <v>44</v>
      </c>
      <c r="N50" s="15"/>
    </row>
    <row r="51" ht="56.25" customHeight="1">
      <c r="A51" s="13" t="s">
        <v>2103</v>
      </c>
      <c r="B51" s="15" t="str">
        <f>IMAGE("https://imgur.com/DK5GTfX.png")</f>
        <v/>
      </c>
      <c r="C51" s="15" t="s">
        <v>28</v>
      </c>
      <c r="D51" s="15" t="s">
        <v>28</v>
      </c>
      <c r="E51" s="13">
        <v>2200.0</v>
      </c>
      <c r="F51" s="13">
        <v>550.0</v>
      </c>
      <c r="G51" s="15">
        <v>5070.0</v>
      </c>
      <c r="H51" s="15" t="s">
        <v>107</v>
      </c>
      <c r="I51" s="15" t="s">
        <v>521</v>
      </c>
      <c r="J51" s="15" t="s">
        <v>36</v>
      </c>
      <c r="K51" s="15" t="s">
        <v>113</v>
      </c>
      <c r="L51" s="15" t="s">
        <v>43</v>
      </c>
      <c r="M51" s="15" t="s">
        <v>44</v>
      </c>
      <c r="N51" s="15"/>
    </row>
    <row r="52" ht="56.25" customHeight="1">
      <c r="A52" s="13" t="s">
        <v>2104</v>
      </c>
      <c r="B52" s="15" t="str">
        <f>IMAGE("https://imgur.com/t3orbMZ.png")</f>
        <v/>
      </c>
      <c r="C52" s="15" t="s">
        <v>28</v>
      </c>
      <c r="D52" s="15" t="s">
        <v>28</v>
      </c>
      <c r="E52" s="24" t="s">
        <v>51</v>
      </c>
      <c r="F52" s="13">
        <v>750.0</v>
      </c>
      <c r="G52" s="15">
        <v>5005.0</v>
      </c>
      <c r="H52" s="15" t="s">
        <v>369</v>
      </c>
      <c r="I52" s="15" t="s">
        <v>369</v>
      </c>
      <c r="J52" s="15" t="s">
        <v>95</v>
      </c>
      <c r="K52" s="15"/>
      <c r="L52" s="15" t="s">
        <v>54</v>
      </c>
      <c r="M52" s="15" t="s">
        <v>1609</v>
      </c>
      <c r="N52" s="15"/>
    </row>
    <row r="53" ht="56.25" customHeight="1">
      <c r="A53" s="13" t="s">
        <v>2105</v>
      </c>
      <c r="B53" s="15" t="str">
        <f>IMAGE("https://imgur.com/f2zDKuh.png")</f>
        <v/>
      </c>
      <c r="C53" s="15" t="s">
        <v>28</v>
      </c>
      <c r="D53" s="15" t="s">
        <v>28</v>
      </c>
      <c r="E53" s="13">
        <v>1200.0</v>
      </c>
      <c r="F53" s="13">
        <v>300.0</v>
      </c>
      <c r="G53" s="15">
        <v>5062.0</v>
      </c>
      <c r="H53" s="15" t="s">
        <v>118</v>
      </c>
      <c r="I53" s="15" t="s">
        <v>118</v>
      </c>
      <c r="J53" s="15" t="s">
        <v>60</v>
      </c>
      <c r="K53" s="15" t="s">
        <v>37</v>
      </c>
      <c r="L53" s="15" t="s">
        <v>43</v>
      </c>
      <c r="M53" s="15" t="s">
        <v>44</v>
      </c>
      <c r="N53" s="15"/>
    </row>
    <row r="54" ht="56.25" customHeight="1">
      <c r="A54" s="13" t="s">
        <v>2106</v>
      </c>
      <c r="B54" s="15" t="str">
        <f>IMAGE("https://imgur.com/Ua6Dz4R.png")</f>
        <v/>
      </c>
      <c r="C54" s="15" t="s">
        <v>28</v>
      </c>
      <c r="D54" s="25" t="s">
        <v>28</v>
      </c>
      <c r="E54" s="13">
        <v>1560.0</v>
      </c>
      <c r="F54" s="13">
        <v>390.0</v>
      </c>
      <c r="G54" s="15">
        <v>5025.0</v>
      </c>
      <c r="H54" s="15" t="s">
        <v>99</v>
      </c>
      <c r="I54" s="15" t="s">
        <v>94</v>
      </c>
      <c r="J54" s="15" t="s">
        <v>60</v>
      </c>
      <c r="K54" s="15"/>
      <c r="L54" s="15" t="s">
        <v>43</v>
      </c>
      <c r="M54" s="15" t="s">
        <v>44</v>
      </c>
      <c r="N54" s="15"/>
    </row>
    <row r="55" ht="56.25" customHeight="1">
      <c r="A55" s="13" t="s">
        <v>2107</v>
      </c>
      <c r="B55" s="15" t="str">
        <f>IMAGE("https://imgur.com/rvvphJA.png")</f>
        <v/>
      </c>
      <c r="C55" s="15" t="s">
        <v>28</v>
      </c>
      <c r="D55" s="15" t="s">
        <v>28</v>
      </c>
      <c r="E55" s="13">
        <v>1500.0</v>
      </c>
      <c r="F55" s="13">
        <v>375.0</v>
      </c>
      <c r="G55" s="15">
        <v>4992.0</v>
      </c>
      <c r="H55" s="15" t="s">
        <v>99</v>
      </c>
      <c r="I55" s="15" t="s">
        <v>99</v>
      </c>
      <c r="J55" s="15" t="s">
        <v>60</v>
      </c>
      <c r="K55" s="15" t="s">
        <v>37</v>
      </c>
      <c r="L55" s="15" t="s">
        <v>43</v>
      </c>
      <c r="M55" s="15" t="s">
        <v>44</v>
      </c>
      <c r="N55" s="15"/>
    </row>
    <row r="56" ht="56.25" customHeight="1">
      <c r="A56" s="13" t="s">
        <v>2108</v>
      </c>
      <c r="B56" s="15" t="str">
        <f>IMAGE("https://imgur.com/DiqwgVS.png")</f>
        <v/>
      </c>
      <c r="C56" s="15" t="s">
        <v>28</v>
      </c>
      <c r="D56" s="25" t="s">
        <v>28</v>
      </c>
      <c r="E56" s="13">
        <v>1380.0</v>
      </c>
      <c r="F56" s="13">
        <v>345.0</v>
      </c>
      <c r="G56" s="15">
        <v>5035.0</v>
      </c>
      <c r="H56" s="15" t="s">
        <v>118</v>
      </c>
      <c r="I56" s="15" t="s">
        <v>118</v>
      </c>
      <c r="J56" s="15" t="s">
        <v>80</v>
      </c>
      <c r="K56" s="15"/>
      <c r="L56" s="15" t="s">
        <v>43</v>
      </c>
      <c r="M56" s="15" t="s">
        <v>44</v>
      </c>
      <c r="N56" s="15"/>
    </row>
    <row r="57" ht="56.25" customHeight="1">
      <c r="A57" s="13" t="s">
        <v>2109</v>
      </c>
      <c r="B57" s="15" t="str">
        <f>IMAGE("https://imgur.com/x1yFNvZ.png")</f>
        <v/>
      </c>
      <c r="C57" s="15" t="s">
        <v>28</v>
      </c>
      <c r="D57" s="25" t="s">
        <v>28</v>
      </c>
      <c r="E57" s="24" t="s">
        <v>51</v>
      </c>
      <c r="F57" s="13">
        <v>750.0</v>
      </c>
      <c r="G57" s="15">
        <v>5050.0</v>
      </c>
      <c r="H57" s="15" t="s">
        <v>118</v>
      </c>
      <c r="I57" s="15" t="s">
        <v>118</v>
      </c>
      <c r="J57" s="15" t="s">
        <v>36</v>
      </c>
      <c r="K57" s="15"/>
      <c r="L57" s="15" t="s">
        <v>54</v>
      </c>
      <c r="M57" s="15" t="s">
        <v>1609</v>
      </c>
      <c r="N57" s="15"/>
    </row>
    <row r="58" ht="56.25" customHeight="1">
      <c r="A58" s="13" t="s">
        <v>2110</v>
      </c>
      <c r="B58" s="15" t="str">
        <f>IMAGE("https://imgur.com/2NUTaeS.png")</f>
        <v/>
      </c>
      <c r="C58" s="15" t="s">
        <v>28</v>
      </c>
      <c r="D58" s="15" t="s">
        <v>28</v>
      </c>
      <c r="E58" s="24" t="s">
        <v>51</v>
      </c>
      <c r="F58" s="13">
        <v>750.0</v>
      </c>
      <c r="G58" s="15">
        <v>5011.0</v>
      </c>
      <c r="H58" s="15" t="s">
        <v>118</v>
      </c>
      <c r="I58" s="15" t="s">
        <v>1608</v>
      </c>
      <c r="J58" s="15" t="s">
        <v>95</v>
      </c>
      <c r="K58" s="15" t="s">
        <v>346</v>
      </c>
      <c r="L58" s="15" t="s">
        <v>54</v>
      </c>
      <c r="M58" s="15" t="s">
        <v>1609</v>
      </c>
      <c r="N58" s="15"/>
    </row>
    <row r="59" ht="56.25" customHeight="1">
      <c r="A59" s="13" t="s">
        <v>2112</v>
      </c>
      <c r="B59" s="15" t="str">
        <f>IMAGE("https://imgur.com/IyhDPsf.png")</f>
        <v/>
      </c>
      <c r="C59" s="15" t="s">
        <v>28</v>
      </c>
      <c r="D59" s="25" t="s">
        <v>28</v>
      </c>
      <c r="E59" s="24" t="s">
        <v>51</v>
      </c>
      <c r="F59" s="13">
        <v>750.0</v>
      </c>
      <c r="G59" s="15">
        <v>4981.0</v>
      </c>
      <c r="H59" s="15" t="s">
        <v>118</v>
      </c>
      <c r="I59" s="15" t="s">
        <v>99</v>
      </c>
      <c r="J59" s="15" t="s">
        <v>95</v>
      </c>
      <c r="K59" s="15" t="s">
        <v>338</v>
      </c>
      <c r="L59" s="15" t="s">
        <v>54</v>
      </c>
      <c r="M59" s="15" t="s">
        <v>1609</v>
      </c>
      <c r="N59" s="15"/>
    </row>
    <row r="60" ht="56.25" customHeight="1">
      <c r="A60" s="13" t="s">
        <v>2114</v>
      </c>
      <c r="B60" s="15" t="str">
        <f>IMAGE("https://imgur.com/5iVAvzl.png")</f>
        <v/>
      </c>
      <c r="C60" s="15" t="s">
        <v>28</v>
      </c>
      <c r="D60" s="15" t="s">
        <v>28</v>
      </c>
      <c r="E60" s="24" t="s">
        <v>51</v>
      </c>
      <c r="F60" s="13">
        <v>750.0</v>
      </c>
      <c r="G60" s="15">
        <v>4980.0</v>
      </c>
      <c r="H60" s="15" t="s">
        <v>118</v>
      </c>
      <c r="I60" s="15" t="s">
        <v>118</v>
      </c>
      <c r="J60" s="15" t="s">
        <v>95</v>
      </c>
      <c r="K60" s="15"/>
      <c r="L60" s="15" t="s">
        <v>54</v>
      </c>
      <c r="M60" s="15" t="s">
        <v>1609</v>
      </c>
      <c r="N60" s="15"/>
    </row>
    <row r="61" ht="56.25" customHeight="1">
      <c r="A61" s="13" t="s">
        <v>2115</v>
      </c>
      <c r="B61" s="15" t="str">
        <f>IMAGE("https://imgur.com/ASd8o8f.png")</f>
        <v/>
      </c>
      <c r="C61" s="15" t="s">
        <v>28</v>
      </c>
      <c r="D61" s="15" t="s">
        <v>28</v>
      </c>
      <c r="E61" s="13">
        <v>1700.0</v>
      </c>
      <c r="F61" s="13">
        <v>425.0</v>
      </c>
      <c r="G61" s="15">
        <v>5031.0</v>
      </c>
      <c r="H61" s="15" t="s">
        <v>1608</v>
      </c>
      <c r="I61" s="15" t="s">
        <v>1608</v>
      </c>
      <c r="J61" s="15" t="s">
        <v>37</v>
      </c>
      <c r="K61" s="15" t="s">
        <v>90</v>
      </c>
      <c r="L61" s="15" t="s">
        <v>43</v>
      </c>
      <c r="M61" s="15" t="s">
        <v>44</v>
      </c>
      <c r="N61" s="15"/>
    </row>
    <row r="62" ht="56.25" customHeight="1">
      <c r="A62" s="13" t="s">
        <v>2116</v>
      </c>
      <c r="B62" s="15" t="str">
        <f>IMAGE("https://imgur.com/ctEwReM.png")</f>
        <v/>
      </c>
      <c r="C62" s="15" t="s">
        <v>28</v>
      </c>
      <c r="D62" s="25" t="s">
        <v>28</v>
      </c>
      <c r="E62" s="13">
        <v>1080.0</v>
      </c>
      <c r="F62" s="13">
        <v>270.0</v>
      </c>
      <c r="G62" s="15">
        <v>4993.0</v>
      </c>
      <c r="H62" s="15" t="s">
        <v>82</v>
      </c>
      <c r="I62" s="15" t="s">
        <v>82</v>
      </c>
      <c r="J62" s="15" t="s">
        <v>183</v>
      </c>
      <c r="K62" s="15" t="s">
        <v>90</v>
      </c>
      <c r="L62" s="15" t="s">
        <v>43</v>
      </c>
      <c r="M62" s="15" t="s">
        <v>44</v>
      </c>
      <c r="N62" s="15"/>
    </row>
    <row r="63" ht="56.25" customHeight="1">
      <c r="A63" s="13" t="s">
        <v>2120</v>
      </c>
      <c r="B63" s="15" t="str">
        <f>IMAGE("http://imgur.com/h637BDF.png")</f>
        <v/>
      </c>
      <c r="C63" s="15" t="s">
        <v>28</v>
      </c>
      <c r="D63" s="15" t="s">
        <v>28</v>
      </c>
      <c r="E63" s="24" t="s">
        <v>51</v>
      </c>
      <c r="F63" s="13">
        <v>750.0</v>
      </c>
      <c r="G63" s="15">
        <v>4977.0</v>
      </c>
      <c r="H63" s="15" t="s">
        <v>82</v>
      </c>
      <c r="I63" s="15" t="s">
        <v>82</v>
      </c>
      <c r="J63" s="15" t="s">
        <v>36</v>
      </c>
      <c r="K63" s="15" t="s">
        <v>161</v>
      </c>
      <c r="L63" s="15" t="s">
        <v>54</v>
      </c>
      <c r="M63" s="15" t="s">
        <v>1609</v>
      </c>
      <c r="N63" s="15"/>
    </row>
    <row r="64" ht="56.25" customHeight="1">
      <c r="A64" s="13" t="s">
        <v>2123</v>
      </c>
      <c r="B64" s="15" t="str">
        <f>IMAGE("https://imgur.com/9cKBB9S.png")</f>
        <v/>
      </c>
      <c r="C64" s="15" t="s">
        <v>50</v>
      </c>
      <c r="D64" s="25" t="s">
        <v>28</v>
      </c>
      <c r="E64" s="24" t="s">
        <v>51</v>
      </c>
      <c r="F64" s="13">
        <v>750.0</v>
      </c>
      <c r="G64" s="15">
        <v>5273.0</v>
      </c>
      <c r="H64" s="15" t="s">
        <v>94</v>
      </c>
      <c r="I64" s="15" t="s">
        <v>1614</v>
      </c>
      <c r="J64" s="15" t="s">
        <v>95</v>
      </c>
      <c r="K64" s="15"/>
      <c r="L64" s="15" t="s">
        <v>54</v>
      </c>
      <c r="M64" s="15" t="s">
        <v>1609</v>
      </c>
      <c r="N64" s="15"/>
    </row>
    <row r="65" ht="56.25" customHeight="1">
      <c r="A65" s="13" t="s">
        <v>2125</v>
      </c>
      <c r="B65" s="15" t="str">
        <f>IMAGE("https://imgur.com/27782Xq.png")</f>
        <v/>
      </c>
      <c r="C65" s="15" t="s">
        <v>28</v>
      </c>
      <c r="D65" s="25" t="s">
        <v>50</v>
      </c>
      <c r="E65" s="13" t="s">
        <v>51</v>
      </c>
      <c r="F65" s="13">
        <v>35000.0</v>
      </c>
      <c r="G65" s="15">
        <v>7186.0</v>
      </c>
      <c r="H65" s="15" t="s">
        <v>118</v>
      </c>
      <c r="I65" s="15" t="s">
        <v>118</v>
      </c>
      <c r="J65" s="15" t="s">
        <v>95</v>
      </c>
      <c r="K65" s="15" t="s">
        <v>346</v>
      </c>
      <c r="L65" s="15" t="s">
        <v>54</v>
      </c>
      <c r="M65" s="15" t="s">
        <v>55</v>
      </c>
      <c r="N65" s="15" t="s">
        <v>1544</v>
      </c>
    </row>
    <row r="66" ht="56.25" customHeight="1">
      <c r="A66" s="13" t="s">
        <v>2126</v>
      </c>
      <c r="B66" s="15" t="str">
        <f>IMAGE("https://imgur.com/YOho0In.png")</f>
        <v/>
      </c>
      <c r="C66" s="15" t="s">
        <v>50</v>
      </c>
      <c r="D66" s="25" t="s">
        <v>28</v>
      </c>
      <c r="E66" s="24" t="s">
        <v>51</v>
      </c>
      <c r="F66" s="13">
        <v>750.0</v>
      </c>
      <c r="G66" s="15">
        <v>5250.0</v>
      </c>
      <c r="H66" s="15" t="s">
        <v>99</v>
      </c>
      <c r="I66" s="15" t="s">
        <v>99</v>
      </c>
      <c r="J66" s="15" t="s">
        <v>346</v>
      </c>
      <c r="K66" s="15" t="s">
        <v>284</v>
      </c>
      <c r="L66" s="15" t="s">
        <v>54</v>
      </c>
      <c r="M66" s="15" t="s">
        <v>1609</v>
      </c>
      <c r="N66" s="15"/>
    </row>
    <row r="67" ht="56.25" customHeight="1">
      <c r="A67" s="13" t="s">
        <v>2129</v>
      </c>
      <c r="B67" s="15" t="str">
        <f>IMAGE("https://imgur.com/7SHtfuo.png")</f>
        <v/>
      </c>
      <c r="C67" s="15" t="s">
        <v>28</v>
      </c>
      <c r="D67" s="25" t="s">
        <v>50</v>
      </c>
      <c r="E67" s="13" t="s">
        <v>51</v>
      </c>
      <c r="F67" s="13">
        <v>7500.0</v>
      </c>
      <c r="G67" s="15">
        <v>5269.0</v>
      </c>
      <c r="H67" s="15" t="s">
        <v>112</v>
      </c>
      <c r="I67" s="15" t="s">
        <v>112</v>
      </c>
      <c r="J67" s="15" t="s">
        <v>269</v>
      </c>
      <c r="K67" s="15"/>
      <c r="L67" s="15" t="s">
        <v>54</v>
      </c>
      <c r="M67" s="15" t="s">
        <v>55</v>
      </c>
      <c r="N67" s="15"/>
    </row>
    <row r="68" ht="56.25" customHeight="1">
      <c r="A68" s="13" t="s">
        <v>2132</v>
      </c>
      <c r="B68" s="15" t="str">
        <f>IMAGE("https://imgur.com/YSUaAHk.png")</f>
        <v/>
      </c>
      <c r="C68" s="15" t="s">
        <v>50</v>
      </c>
      <c r="D68" s="15" t="s">
        <v>50</v>
      </c>
      <c r="E68" s="13" t="s">
        <v>51</v>
      </c>
      <c r="F68" s="13">
        <v>120.0</v>
      </c>
      <c r="G68" s="15">
        <v>5236.0</v>
      </c>
      <c r="H68" s="15" t="s">
        <v>82</v>
      </c>
      <c r="I68" s="15" t="s">
        <v>82</v>
      </c>
      <c r="J68" s="15" t="s">
        <v>346</v>
      </c>
      <c r="K68" s="15" t="s">
        <v>243</v>
      </c>
      <c r="L68" s="15" t="s">
        <v>54</v>
      </c>
      <c r="M68" s="15" t="s">
        <v>55</v>
      </c>
      <c r="N68" s="15"/>
    </row>
    <row r="69" ht="56.25" customHeight="1">
      <c r="A69" s="13" t="s">
        <v>2136</v>
      </c>
      <c r="B69" s="15" t="str">
        <f>IMAGE("https://imgur.com/qFyWLGv.png")</f>
        <v/>
      </c>
      <c r="C69" s="15" t="s">
        <v>28</v>
      </c>
      <c r="D69" s="25" t="s">
        <v>28</v>
      </c>
      <c r="E69" s="13">
        <v>1300.0</v>
      </c>
      <c r="F69" s="13">
        <v>325.0</v>
      </c>
      <c r="G69" s="15">
        <v>4961.0</v>
      </c>
      <c r="H69" s="15" t="s">
        <v>1608</v>
      </c>
      <c r="I69" s="15" t="s">
        <v>1608</v>
      </c>
      <c r="J69" s="15" t="s">
        <v>212</v>
      </c>
      <c r="K69" s="15" t="s">
        <v>36</v>
      </c>
      <c r="L69" s="15" t="s">
        <v>43</v>
      </c>
      <c r="M69" s="15" t="s">
        <v>44</v>
      </c>
      <c r="N69" s="15"/>
    </row>
    <row r="70" ht="56.25" customHeight="1">
      <c r="A70" s="13" t="s">
        <v>2138</v>
      </c>
      <c r="B70" s="15" t="str">
        <f>IMAGE("https://imgur.com/OOLnKD6.png")</f>
        <v/>
      </c>
      <c r="C70" s="15" t="s">
        <v>28</v>
      </c>
      <c r="D70" s="25" t="s">
        <v>28</v>
      </c>
      <c r="E70" s="13">
        <v>2350.0</v>
      </c>
      <c r="F70" s="13">
        <v>587.0</v>
      </c>
      <c r="G70" s="15">
        <v>5064.0</v>
      </c>
      <c r="H70" s="15" t="s">
        <v>1608</v>
      </c>
      <c r="I70" s="15" t="s">
        <v>1608</v>
      </c>
      <c r="J70" s="15" t="s">
        <v>62</v>
      </c>
      <c r="K70" s="15" t="s">
        <v>60</v>
      </c>
      <c r="L70" s="15" t="s">
        <v>43</v>
      </c>
      <c r="M70" s="15" t="s">
        <v>44</v>
      </c>
      <c r="N70" s="15"/>
    </row>
    <row r="71" ht="56.25" customHeight="1">
      <c r="A71" s="13" t="s">
        <v>2142</v>
      </c>
      <c r="B71" s="15" t="str">
        <f>IMAGE("https://imgur.com/RvAD4XF.png")</f>
        <v/>
      </c>
      <c r="C71" s="15" t="s">
        <v>28</v>
      </c>
      <c r="D71" s="25" t="s">
        <v>50</v>
      </c>
      <c r="E71" s="13" t="s">
        <v>51</v>
      </c>
      <c r="F71" s="13">
        <v>40000.0</v>
      </c>
      <c r="G71" s="15">
        <v>5021.0</v>
      </c>
      <c r="H71" s="15" t="s">
        <v>211</v>
      </c>
      <c r="I71" s="15" t="s">
        <v>211</v>
      </c>
      <c r="J71" s="15" t="s">
        <v>62</v>
      </c>
      <c r="K71" s="15" t="s">
        <v>346</v>
      </c>
      <c r="L71" s="15" t="s">
        <v>54</v>
      </c>
      <c r="M71" s="15" t="s">
        <v>55</v>
      </c>
      <c r="N71" s="15"/>
    </row>
    <row r="72" ht="56.25" customHeight="1">
      <c r="A72" s="13" t="s">
        <v>2144</v>
      </c>
      <c r="B72" s="15" t="str">
        <f>IMAGE("https://imgur.com/cgRqyxB.png")</f>
        <v/>
      </c>
      <c r="C72" s="15" t="s">
        <v>28</v>
      </c>
      <c r="D72" s="15" t="s">
        <v>50</v>
      </c>
      <c r="E72" s="24" t="s">
        <v>51</v>
      </c>
      <c r="F72" s="13">
        <v>750.0</v>
      </c>
      <c r="G72" s="15">
        <v>4978.0</v>
      </c>
      <c r="H72" s="15" t="s">
        <v>94</v>
      </c>
      <c r="I72" s="15" t="s">
        <v>94</v>
      </c>
      <c r="J72" s="15" t="s">
        <v>95</v>
      </c>
      <c r="K72" s="15" t="s">
        <v>90</v>
      </c>
      <c r="L72" s="15" t="s">
        <v>54</v>
      </c>
      <c r="M72" s="15" t="s">
        <v>1609</v>
      </c>
      <c r="N72" s="15"/>
    </row>
    <row r="73" ht="56.25" customHeight="1">
      <c r="A73" s="13" t="s">
        <v>2146</v>
      </c>
      <c r="B73" s="15" t="str">
        <f>IMAGE("https://imgur.com/bnFxWnL.png")</f>
        <v/>
      </c>
      <c r="C73" s="15" t="s">
        <v>28</v>
      </c>
      <c r="D73" s="25" t="s">
        <v>28</v>
      </c>
      <c r="E73" s="13">
        <v>1440.0</v>
      </c>
      <c r="F73" s="13">
        <v>360.0</v>
      </c>
      <c r="G73" s="15">
        <v>5080.0</v>
      </c>
      <c r="H73" s="15" t="s">
        <v>94</v>
      </c>
      <c r="I73" s="15" t="s">
        <v>82</v>
      </c>
      <c r="J73" s="15" t="s">
        <v>62</v>
      </c>
      <c r="K73" s="15" t="s">
        <v>90</v>
      </c>
      <c r="L73" s="15" t="s">
        <v>43</v>
      </c>
      <c r="M73" s="15" t="s">
        <v>44</v>
      </c>
      <c r="N73" s="15"/>
    </row>
    <row r="74" ht="56.25" customHeight="1">
      <c r="A74" s="13" t="s">
        <v>2148</v>
      </c>
      <c r="B74" s="15" t="str">
        <f>IMAGE("https://imgur.com/OPeuE57.png")</f>
        <v/>
      </c>
      <c r="C74" s="15" t="s">
        <v>28</v>
      </c>
      <c r="D74" s="25" t="s">
        <v>28</v>
      </c>
      <c r="E74" s="13">
        <v>1150.0</v>
      </c>
      <c r="F74" s="24">
        <v>287.0</v>
      </c>
      <c r="G74" s="15">
        <v>5046.0</v>
      </c>
      <c r="H74" s="15" t="s">
        <v>94</v>
      </c>
      <c r="I74" s="15" t="s">
        <v>82</v>
      </c>
      <c r="J74" s="15" t="s">
        <v>62</v>
      </c>
      <c r="K74" s="15"/>
      <c r="L74" s="15" t="s">
        <v>43</v>
      </c>
      <c r="M74" s="15" t="s">
        <v>44</v>
      </c>
      <c r="N74" s="15"/>
    </row>
    <row r="75" ht="56.25" customHeight="1">
      <c r="A75" s="13" t="s">
        <v>2150</v>
      </c>
      <c r="B75" s="15" t="str">
        <f>IMAGE("https://imgur.com/qkwSP6v.png")</f>
        <v/>
      </c>
      <c r="C75" s="15" t="s">
        <v>28</v>
      </c>
      <c r="D75" s="25" t="s">
        <v>28</v>
      </c>
      <c r="E75" s="13">
        <v>1520.0</v>
      </c>
      <c r="F75" s="13">
        <v>380.0</v>
      </c>
      <c r="G75" s="15">
        <v>6847.0</v>
      </c>
      <c r="H75" s="15" t="s">
        <v>369</v>
      </c>
      <c r="I75" s="15" t="s">
        <v>369</v>
      </c>
      <c r="J75" s="15" t="s">
        <v>37</v>
      </c>
      <c r="K75" s="15" t="s">
        <v>60</v>
      </c>
      <c r="L75" s="15" t="s">
        <v>43</v>
      </c>
      <c r="M75" s="15" t="s">
        <v>44</v>
      </c>
      <c r="N75" s="15"/>
    </row>
    <row r="76" ht="56.25" customHeight="1">
      <c r="A76" s="13" t="s">
        <v>2152</v>
      </c>
      <c r="B76" s="15" t="str">
        <f>IMAGE("https://imgur.com/I357yY8.png")</f>
        <v/>
      </c>
      <c r="C76" s="15" t="s">
        <v>28</v>
      </c>
      <c r="D76" s="15" t="s">
        <v>28</v>
      </c>
      <c r="E76" s="13">
        <v>1420.0</v>
      </c>
      <c r="F76" s="13">
        <v>355.0</v>
      </c>
      <c r="G76" s="15">
        <v>5041.0</v>
      </c>
      <c r="H76" s="15" t="s">
        <v>369</v>
      </c>
      <c r="I76" s="15" t="s">
        <v>369</v>
      </c>
      <c r="J76" s="15" t="s">
        <v>183</v>
      </c>
      <c r="K76" s="15" t="s">
        <v>90</v>
      </c>
      <c r="L76" s="15" t="s">
        <v>43</v>
      </c>
      <c r="M76" s="15" t="s">
        <v>44</v>
      </c>
      <c r="N76" s="15"/>
    </row>
    <row r="77" ht="56.25" customHeight="1">
      <c r="A77" s="13" t="s">
        <v>2155</v>
      </c>
      <c r="B77" s="15" t="str">
        <f>IMAGE("https://imgur.com/rqbjHfk.png")</f>
        <v/>
      </c>
      <c r="C77" s="15" t="s">
        <v>28</v>
      </c>
      <c r="D77" s="15"/>
      <c r="E77" s="13">
        <v>1540.0</v>
      </c>
      <c r="F77" s="13">
        <v>385.0</v>
      </c>
      <c r="G77" s="15">
        <v>5045.0</v>
      </c>
      <c r="H77" s="15" t="s">
        <v>369</v>
      </c>
      <c r="I77" s="15" t="s">
        <v>369</v>
      </c>
      <c r="J77" s="15" t="s">
        <v>86</v>
      </c>
      <c r="K77" s="15" t="s">
        <v>37</v>
      </c>
      <c r="L77" s="15" t="s">
        <v>43</v>
      </c>
      <c r="M77" s="15" t="s">
        <v>44</v>
      </c>
      <c r="N77" s="15"/>
    </row>
    <row r="78" ht="56.25" customHeight="1">
      <c r="A78" s="13" t="s">
        <v>2157</v>
      </c>
      <c r="B78" s="15" t="str">
        <f>IMAGE("https://imgur.com/iLK62LU.png")</f>
        <v/>
      </c>
      <c r="C78" s="15" t="s">
        <v>28</v>
      </c>
      <c r="D78" s="25" t="s">
        <v>28</v>
      </c>
      <c r="E78" s="13">
        <v>850.0</v>
      </c>
      <c r="F78" s="13">
        <v>212.0</v>
      </c>
      <c r="G78" s="15">
        <v>4952.0</v>
      </c>
      <c r="H78" s="15" t="s">
        <v>369</v>
      </c>
      <c r="I78" s="15" t="s">
        <v>369</v>
      </c>
      <c r="J78" s="15" t="s">
        <v>156</v>
      </c>
      <c r="K78" s="15" t="s">
        <v>80</v>
      </c>
      <c r="L78" s="15" t="s">
        <v>43</v>
      </c>
      <c r="M78" s="15" t="s">
        <v>44</v>
      </c>
      <c r="N78" s="15"/>
    </row>
    <row r="79" ht="56.25" customHeight="1">
      <c r="A79" s="13" t="s">
        <v>2159</v>
      </c>
      <c r="B79" s="15" t="str">
        <f>IMAGE("https://imgur.com/7yRdzuS.png")</f>
        <v/>
      </c>
      <c r="C79" s="15" t="s">
        <v>28</v>
      </c>
      <c r="D79" s="15" t="s">
        <v>28</v>
      </c>
      <c r="E79" s="13">
        <v>1150.0</v>
      </c>
      <c r="F79" s="13">
        <v>287.0</v>
      </c>
      <c r="G79" s="15">
        <v>5048.0</v>
      </c>
      <c r="H79" s="15" t="s">
        <v>369</v>
      </c>
      <c r="I79" s="15" t="s">
        <v>82</v>
      </c>
      <c r="J79" s="15" t="s">
        <v>62</v>
      </c>
      <c r="K79" s="15"/>
      <c r="L79" s="15" t="s">
        <v>43</v>
      </c>
      <c r="M79" s="15" t="s">
        <v>44</v>
      </c>
      <c r="N79" s="15"/>
    </row>
    <row r="80" ht="56.25" customHeight="1">
      <c r="A80" s="13" t="s">
        <v>2160</v>
      </c>
      <c r="B80" s="15" t="str">
        <f>IMAGE("https://imgur.com/MOnddcW.png")</f>
        <v/>
      </c>
      <c r="C80" s="15" t="s">
        <v>28</v>
      </c>
      <c r="D80" s="25" t="s">
        <v>28</v>
      </c>
      <c r="E80" s="13">
        <v>1040.0</v>
      </c>
      <c r="F80" s="13">
        <v>260.0</v>
      </c>
      <c r="G80" s="15">
        <v>5058.0</v>
      </c>
      <c r="H80" s="15" t="s">
        <v>369</v>
      </c>
      <c r="I80" s="15" t="s">
        <v>369</v>
      </c>
      <c r="J80" s="15" t="s">
        <v>36</v>
      </c>
      <c r="K80" s="15" t="s">
        <v>113</v>
      </c>
      <c r="L80" s="15" t="s">
        <v>43</v>
      </c>
      <c r="M80" s="15" t="s">
        <v>44</v>
      </c>
      <c r="N80" s="15"/>
    </row>
    <row r="81" ht="56.25" customHeight="1">
      <c r="A81" s="13" t="s">
        <v>2162</v>
      </c>
      <c r="B81" s="15" t="str">
        <f>IMAGE("https://imgur.com/Kr227BZ.png")</f>
        <v/>
      </c>
      <c r="C81" s="15" t="s">
        <v>28</v>
      </c>
      <c r="D81" s="25" t="s">
        <v>28</v>
      </c>
      <c r="E81" s="13">
        <v>860.0</v>
      </c>
      <c r="F81" s="13">
        <v>215.0</v>
      </c>
      <c r="G81" s="15">
        <v>4972.0</v>
      </c>
      <c r="H81" s="15" t="s">
        <v>82</v>
      </c>
      <c r="I81" s="15" t="s">
        <v>82</v>
      </c>
      <c r="J81" s="15" t="s">
        <v>161</v>
      </c>
      <c r="K81" s="15" t="s">
        <v>37</v>
      </c>
      <c r="L81" s="15" t="s">
        <v>43</v>
      </c>
      <c r="M81" s="15" t="s">
        <v>44</v>
      </c>
      <c r="N81" s="15"/>
    </row>
    <row r="82" ht="56.25" customHeight="1">
      <c r="A82" s="13" t="s">
        <v>2163</v>
      </c>
      <c r="B82" s="15" t="str">
        <f>IMAGE("https://imgur.com/M6REFVx.png")</f>
        <v/>
      </c>
      <c r="C82" s="15" t="s">
        <v>28</v>
      </c>
      <c r="D82" s="15" t="s">
        <v>28</v>
      </c>
      <c r="E82" s="24" t="s">
        <v>51</v>
      </c>
      <c r="F82" s="13">
        <v>750.0</v>
      </c>
      <c r="G82" s="15">
        <v>5237.0</v>
      </c>
      <c r="H82" s="15" t="s">
        <v>94</v>
      </c>
      <c r="I82" s="15" t="s">
        <v>1608</v>
      </c>
      <c r="J82" s="15" t="s">
        <v>90</v>
      </c>
      <c r="K82" s="15"/>
      <c r="L82" s="15" t="s">
        <v>54</v>
      </c>
      <c r="M82" s="15" t="s">
        <v>1609</v>
      </c>
      <c r="N82" s="15"/>
    </row>
    <row r="83" ht="56.25" customHeight="1">
      <c r="A83" s="13" t="s">
        <v>2165</v>
      </c>
      <c r="B83" s="15" t="str">
        <f>IMAGE("https://imgur.com/N56tEXo.png")</f>
        <v/>
      </c>
      <c r="C83" s="15" t="s">
        <v>28</v>
      </c>
      <c r="D83" s="25" t="s">
        <v>50</v>
      </c>
      <c r="E83" s="13" t="s">
        <v>51</v>
      </c>
      <c r="F83" s="13">
        <v>3000.0</v>
      </c>
      <c r="G83" s="15">
        <v>4999.0</v>
      </c>
      <c r="H83" s="15" t="s">
        <v>211</v>
      </c>
      <c r="I83" s="15" t="s">
        <v>211</v>
      </c>
      <c r="J83" s="15" t="s">
        <v>36</v>
      </c>
      <c r="K83" s="15" t="s">
        <v>90</v>
      </c>
      <c r="L83" s="15" t="s">
        <v>54</v>
      </c>
      <c r="M83" s="15" t="s">
        <v>55</v>
      </c>
      <c r="N83" s="15"/>
    </row>
    <row r="84" ht="56.25" customHeight="1">
      <c r="A84" s="13" t="s">
        <v>2167</v>
      </c>
      <c r="B84" s="15" t="str">
        <f>IMAGE("https://imgur.com/nkYEETT.png")</f>
        <v/>
      </c>
      <c r="C84" s="15" t="s">
        <v>50</v>
      </c>
      <c r="D84" s="25" t="s">
        <v>50</v>
      </c>
      <c r="E84" s="13" t="s">
        <v>51</v>
      </c>
      <c r="F84" s="13">
        <v>8200.0</v>
      </c>
      <c r="G84" s="15">
        <v>5516.0</v>
      </c>
      <c r="H84" s="15" t="s">
        <v>1614</v>
      </c>
      <c r="I84" s="15" t="s">
        <v>1614</v>
      </c>
      <c r="J84" s="15" t="s">
        <v>745</v>
      </c>
      <c r="K84" s="15" t="s">
        <v>90</v>
      </c>
      <c r="L84" s="15" t="s">
        <v>54</v>
      </c>
      <c r="M84" s="15" t="s">
        <v>747</v>
      </c>
      <c r="N84" s="15" t="s">
        <v>749</v>
      </c>
    </row>
    <row r="85" ht="56.25" customHeight="1">
      <c r="A85" s="13" t="s">
        <v>2169</v>
      </c>
      <c r="B85" s="15" t="str">
        <f>IMAGE("https://imgur.com/apRbOFq.png")</f>
        <v/>
      </c>
      <c r="C85" s="15" t="s">
        <v>50</v>
      </c>
      <c r="D85" s="25" t="s">
        <v>50</v>
      </c>
      <c r="E85" s="13" t="s">
        <v>51</v>
      </c>
      <c r="F85" s="13">
        <v>4000.0</v>
      </c>
      <c r="G85" s="15">
        <v>5253.0</v>
      </c>
      <c r="H85" s="15" t="s">
        <v>82</v>
      </c>
      <c r="I85" s="15" t="s">
        <v>1614</v>
      </c>
      <c r="J85" s="15" t="s">
        <v>745</v>
      </c>
      <c r="K85" s="15"/>
      <c r="L85" s="15" t="s">
        <v>54</v>
      </c>
      <c r="M85" s="15" t="s">
        <v>55</v>
      </c>
      <c r="N85" s="15" t="s">
        <v>1057</v>
      </c>
    </row>
    <row r="86" ht="56.25" customHeight="1">
      <c r="A86" s="13" t="s">
        <v>2171</v>
      </c>
      <c r="B86" s="15" t="str">
        <f>IMAGE("https://imgur.com/5mqGScf.png")</f>
        <v/>
      </c>
      <c r="C86" s="15" t="s">
        <v>28</v>
      </c>
      <c r="D86" s="25" t="s">
        <v>28</v>
      </c>
      <c r="E86" s="24" t="s">
        <v>51</v>
      </c>
      <c r="F86" s="13">
        <v>750.0</v>
      </c>
      <c r="G86" s="15">
        <v>5012.0</v>
      </c>
      <c r="H86" s="15" t="s">
        <v>82</v>
      </c>
      <c r="I86" s="15" t="s">
        <v>94</v>
      </c>
      <c r="J86" s="15" t="s">
        <v>62</v>
      </c>
      <c r="K86" s="15"/>
      <c r="L86" s="15" t="s">
        <v>54</v>
      </c>
      <c r="M86" s="15" t="s">
        <v>1609</v>
      </c>
      <c r="N86" s="15"/>
    </row>
    <row r="87" ht="56.25" customHeight="1">
      <c r="A87" s="13" t="s">
        <v>2173</v>
      </c>
      <c r="B87" s="15" t="str">
        <f>IMAGE("https://imgur.com/rOToOk2.png")</f>
        <v/>
      </c>
      <c r="C87" s="15" t="s">
        <v>28</v>
      </c>
      <c r="D87" s="15" t="s">
        <v>28</v>
      </c>
      <c r="E87" s="13">
        <v>1050.0</v>
      </c>
      <c r="F87" s="13">
        <v>262.0</v>
      </c>
      <c r="G87" s="15">
        <v>4955.0</v>
      </c>
      <c r="H87" s="15" t="s">
        <v>1608</v>
      </c>
      <c r="I87" s="15" t="s">
        <v>1608</v>
      </c>
      <c r="J87" s="15" t="s">
        <v>80</v>
      </c>
      <c r="K87" s="15" t="s">
        <v>113</v>
      </c>
      <c r="L87" s="15" t="s">
        <v>43</v>
      </c>
      <c r="M87" s="15" t="s">
        <v>44</v>
      </c>
      <c r="N87" s="15"/>
    </row>
    <row r="88" ht="56.25" customHeight="1">
      <c r="A88" s="13" t="s">
        <v>2176</v>
      </c>
      <c r="B88" s="15" t="str">
        <f>IMAGE("https://imgur.com/TiKkzaY.png")</f>
        <v/>
      </c>
      <c r="C88" s="15" t="s">
        <v>28</v>
      </c>
      <c r="D88" s="25" t="s">
        <v>50</v>
      </c>
      <c r="E88" s="13" t="s">
        <v>51</v>
      </c>
      <c r="F88" s="13">
        <v>2200.0</v>
      </c>
      <c r="G88" s="15">
        <v>5515.0</v>
      </c>
      <c r="H88" s="15" t="s">
        <v>369</v>
      </c>
      <c r="I88" s="15" t="s">
        <v>369</v>
      </c>
      <c r="J88" s="15" t="s">
        <v>95</v>
      </c>
      <c r="K88" s="15" t="s">
        <v>90</v>
      </c>
      <c r="L88" s="15" t="s">
        <v>54</v>
      </c>
      <c r="M88" s="15" t="s">
        <v>55</v>
      </c>
      <c r="N88" s="15"/>
    </row>
    <row r="89" ht="56.25" customHeight="1">
      <c r="A89" s="13" t="s">
        <v>2178</v>
      </c>
      <c r="B89" s="15" t="str">
        <f>IMAGE("https://imgur.com/ztedPq6.png")</f>
        <v/>
      </c>
      <c r="C89" s="15" t="s">
        <v>28</v>
      </c>
      <c r="D89" s="25" t="s">
        <v>28</v>
      </c>
      <c r="E89" s="13">
        <v>1280.0</v>
      </c>
      <c r="F89" s="13">
        <v>320.0</v>
      </c>
      <c r="G89" s="15">
        <v>5076.0</v>
      </c>
      <c r="H89" s="15" t="s">
        <v>107</v>
      </c>
      <c r="I89" s="15" t="s">
        <v>82</v>
      </c>
      <c r="J89" s="15" t="s">
        <v>212</v>
      </c>
      <c r="K89" s="15"/>
      <c r="L89" s="15" t="s">
        <v>43</v>
      </c>
      <c r="M89" s="15" t="s">
        <v>44</v>
      </c>
      <c r="N89" s="15"/>
    </row>
    <row r="90" ht="56.25" customHeight="1">
      <c r="A90" s="13" t="s">
        <v>2180</v>
      </c>
      <c r="B90" s="15" t="str">
        <f>IMAGE("https://imgur.com/7cZys1Z.png")</f>
        <v/>
      </c>
      <c r="C90" s="15" t="s">
        <v>50</v>
      </c>
      <c r="D90" s="15" t="s">
        <v>28</v>
      </c>
      <c r="E90" s="24" t="s">
        <v>51</v>
      </c>
      <c r="F90" s="13">
        <v>750.0</v>
      </c>
      <c r="G90" s="15">
        <v>5274.0</v>
      </c>
      <c r="H90" s="15" t="s">
        <v>99</v>
      </c>
      <c r="I90" s="15" t="s">
        <v>521</v>
      </c>
      <c r="J90" s="15" t="s">
        <v>346</v>
      </c>
      <c r="K90" s="15"/>
      <c r="L90" s="15" t="s">
        <v>54</v>
      </c>
      <c r="M90" s="15" t="s">
        <v>1609</v>
      </c>
      <c r="N90" s="15"/>
    </row>
    <row r="91" ht="56.25" customHeight="1">
      <c r="A91" s="13" t="s">
        <v>2182</v>
      </c>
      <c r="B91" s="15" t="str">
        <f>IMAGE("https://imgur.com/pAFhHUG.png")</f>
        <v/>
      </c>
      <c r="C91" s="15" t="s">
        <v>28</v>
      </c>
      <c r="D91" s="15" t="s">
        <v>28</v>
      </c>
      <c r="E91" s="13">
        <v>1300.0</v>
      </c>
      <c r="F91" s="13">
        <v>325.0</v>
      </c>
      <c r="G91" s="15">
        <v>4959.0</v>
      </c>
      <c r="H91" s="15" t="s">
        <v>521</v>
      </c>
      <c r="I91" s="15" t="s">
        <v>118</v>
      </c>
      <c r="J91" s="15" t="s">
        <v>212</v>
      </c>
      <c r="K91" s="15" t="s">
        <v>36</v>
      </c>
      <c r="L91" s="15" t="s">
        <v>43</v>
      </c>
      <c r="M91" s="15" t="s">
        <v>44</v>
      </c>
      <c r="N91" s="15"/>
    </row>
    <row r="92" ht="56.25" customHeight="1">
      <c r="A92" s="13" t="s">
        <v>2184</v>
      </c>
      <c r="B92" s="15" t="str">
        <f>IMAGE("https://imgur.com/JOLPf8m.png")</f>
        <v/>
      </c>
      <c r="C92" s="15" t="s">
        <v>28</v>
      </c>
      <c r="D92" s="25" t="s">
        <v>28</v>
      </c>
      <c r="E92" s="13">
        <v>1200.0</v>
      </c>
      <c r="F92" s="13">
        <v>300.0</v>
      </c>
      <c r="G92" s="15">
        <v>5061.0</v>
      </c>
      <c r="H92" s="15" t="s">
        <v>1608</v>
      </c>
      <c r="I92" s="15" t="s">
        <v>1608</v>
      </c>
      <c r="J92" s="15" t="s">
        <v>60</v>
      </c>
      <c r="K92" s="15" t="s">
        <v>37</v>
      </c>
      <c r="L92" s="15" t="s">
        <v>43</v>
      </c>
      <c r="M92" s="15" t="s">
        <v>44</v>
      </c>
      <c r="N92" s="15"/>
    </row>
    <row r="93" ht="56.25" customHeight="1">
      <c r="A93" s="13" t="s">
        <v>2185</v>
      </c>
      <c r="B93" s="15" t="str">
        <f>IMAGE("https://imgur.com/DJ2EPuy.png")</f>
        <v/>
      </c>
      <c r="C93" s="15" t="s">
        <v>28</v>
      </c>
      <c r="D93" s="25" t="s">
        <v>28</v>
      </c>
      <c r="E93" s="13">
        <v>1560.0</v>
      </c>
      <c r="F93" s="13">
        <v>390.0</v>
      </c>
      <c r="G93" s="15">
        <v>5022.0</v>
      </c>
      <c r="H93" s="15" t="s">
        <v>1608</v>
      </c>
      <c r="I93" s="15" t="s">
        <v>118</v>
      </c>
      <c r="J93" s="15" t="s">
        <v>60</v>
      </c>
      <c r="K93" s="15" t="s">
        <v>37</v>
      </c>
      <c r="L93" s="15" t="s">
        <v>43</v>
      </c>
      <c r="M93" s="15" t="s">
        <v>44</v>
      </c>
      <c r="N93" s="15"/>
    </row>
    <row r="94" ht="56.25" customHeight="1">
      <c r="A94" s="13" t="s">
        <v>2186</v>
      </c>
      <c r="B94" s="15" t="str">
        <f>IMAGE("https://imgur.com/TcOE60A.png")</f>
        <v/>
      </c>
      <c r="C94" s="15" t="s">
        <v>28</v>
      </c>
      <c r="D94" s="25" t="s">
        <v>28</v>
      </c>
      <c r="E94" s="13">
        <v>1500.0</v>
      </c>
      <c r="F94" s="13">
        <v>375.0</v>
      </c>
      <c r="G94" s="15">
        <v>4991.0</v>
      </c>
      <c r="H94" s="15" t="s">
        <v>1608</v>
      </c>
      <c r="I94" s="15" t="s">
        <v>1608</v>
      </c>
      <c r="J94" s="15" t="s">
        <v>60</v>
      </c>
      <c r="K94" s="15" t="s">
        <v>37</v>
      </c>
      <c r="L94" s="15" t="s">
        <v>43</v>
      </c>
      <c r="M94" s="15" t="s">
        <v>44</v>
      </c>
      <c r="N94" s="15"/>
    </row>
    <row r="95" ht="56.25" customHeight="1">
      <c r="A95" s="13" t="s">
        <v>2188</v>
      </c>
      <c r="B95" s="15" t="str">
        <f>IMAGE("https://imgur.com/1DJYGtw.png")</f>
        <v/>
      </c>
      <c r="C95" s="15" t="s">
        <v>28</v>
      </c>
      <c r="D95" s="15" t="s">
        <v>28</v>
      </c>
      <c r="E95" s="24" t="s">
        <v>51</v>
      </c>
      <c r="F95" s="13">
        <v>750.0</v>
      </c>
      <c r="G95" s="15">
        <v>5034.0</v>
      </c>
      <c r="H95" s="15" t="s">
        <v>464</v>
      </c>
      <c r="I95" s="15" t="s">
        <v>99</v>
      </c>
      <c r="J95" s="15" t="s">
        <v>90</v>
      </c>
      <c r="K95" s="15" t="s">
        <v>212</v>
      </c>
      <c r="L95" s="15" t="s">
        <v>54</v>
      </c>
      <c r="M95" s="15" t="s">
        <v>1609</v>
      </c>
      <c r="N95" s="15"/>
    </row>
    <row r="96" ht="56.25" customHeight="1">
      <c r="A96" s="13" t="s">
        <v>2189</v>
      </c>
      <c r="B96" s="15" t="str">
        <f>IMAGE("https://imgur.com/mHOTRig.png")</f>
        <v/>
      </c>
      <c r="C96" s="15" t="s">
        <v>28</v>
      </c>
      <c r="D96" s="25" t="s">
        <v>50</v>
      </c>
      <c r="E96" s="13" t="s">
        <v>51</v>
      </c>
      <c r="F96" s="13">
        <v>7500.0</v>
      </c>
      <c r="G96" s="15">
        <v>4968.0</v>
      </c>
      <c r="H96" s="15" t="s">
        <v>82</v>
      </c>
      <c r="I96" s="15" t="s">
        <v>94</v>
      </c>
      <c r="J96" s="15" t="s">
        <v>269</v>
      </c>
      <c r="K96" s="15"/>
      <c r="L96" s="15" t="s">
        <v>54</v>
      </c>
      <c r="M96" s="15" t="s">
        <v>55</v>
      </c>
      <c r="N96" s="15"/>
    </row>
    <row r="97" ht="56.25" customHeight="1">
      <c r="A97" s="13" t="s">
        <v>2191</v>
      </c>
      <c r="B97" s="15" t="str">
        <f>IMAGE("https://imgur.com/Irb4gMB.png")</f>
        <v/>
      </c>
      <c r="C97" s="15" t="s">
        <v>28</v>
      </c>
      <c r="D97" s="25" t="s">
        <v>28</v>
      </c>
      <c r="E97" s="13">
        <v>2020.0</v>
      </c>
      <c r="F97" s="13">
        <v>505.0</v>
      </c>
      <c r="G97" s="15">
        <v>5024.0</v>
      </c>
      <c r="H97" s="15" t="s">
        <v>112</v>
      </c>
      <c r="I97" s="15" t="s">
        <v>112</v>
      </c>
      <c r="J97" s="15" t="s">
        <v>113</v>
      </c>
      <c r="K97" s="15" t="s">
        <v>36</v>
      </c>
      <c r="L97" s="15" t="s">
        <v>43</v>
      </c>
      <c r="M97" s="15" t="s">
        <v>44</v>
      </c>
      <c r="N97" s="15"/>
    </row>
    <row r="98" ht="56.25" customHeight="1">
      <c r="A98" s="13" t="s">
        <v>2193</v>
      </c>
      <c r="B98" s="15" t="str">
        <f>IMAGE("https://imgur.com/4hHVmB6.png")</f>
        <v/>
      </c>
      <c r="C98" s="15" t="s">
        <v>28</v>
      </c>
      <c r="D98" s="15" t="s">
        <v>28</v>
      </c>
      <c r="E98" s="13">
        <v>800.0</v>
      </c>
      <c r="F98" s="13">
        <v>200.0</v>
      </c>
      <c r="G98" s="15">
        <v>5026.0</v>
      </c>
      <c r="H98" s="15" t="s">
        <v>369</v>
      </c>
      <c r="I98" s="15" t="s">
        <v>369</v>
      </c>
      <c r="J98" s="15" t="s">
        <v>36</v>
      </c>
      <c r="K98" s="15" t="s">
        <v>113</v>
      </c>
      <c r="L98" s="15" t="s">
        <v>43</v>
      </c>
      <c r="M98" s="15" t="s">
        <v>44</v>
      </c>
      <c r="N98" s="15"/>
    </row>
    <row r="99" ht="56.25" customHeight="1">
      <c r="A99" s="13" t="s">
        <v>2196</v>
      </c>
      <c r="B99" s="15" t="str">
        <f>IMAGE("https://imgur.com/oUoi4fz.png")</f>
        <v/>
      </c>
      <c r="C99" s="15" t="s">
        <v>28</v>
      </c>
      <c r="D99" s="25" t="s">
        <v>28</v>
      </c>
      <c r="E99" s="13">
        <v>1280.0</v>
      </c>
      <c r="F99" s="13">
        <v>320.0</v>
      </c>
      <c r="G99" s="15">
        <v>5044.0</v>
      </c>
      <c r="H99" s="15" t="s">
        <v>118</v>
      </c>
      <c r="I99" s="15" t="s">
        <v>118</v>
      </c>
      <c r="J99" s="15" t="s">
        <v>60</v>
      </c>
      <c r="K99" s="15" t="s">
        <v>113</v>
      </c>
      <c r="L99" s="15" t="s">
        <v>43</v>
      </c>
      <c r="M99" s="15" t="s">
        <v>44</v>
      </c>
      <c r="N99" s="15"/>
    </row>
    <row r="100" ht="56.25" customHeight="1">
      <c r="A100" s="13" t="s">
        <v>2198</v>
      </c>
      <c r="B100" s="15" t="str">
        <f>IMAGE("https://imgur.com/ozMHygl.png")</f>
        <v/>
      </c>
      <c r="C100" s="15" t="s">
        <v>28</v>
      </c>
      <c r="D100" s="25" t="s">
        <v>50</v>
      </c>
      <c r="E100" s="13" t="s">
        <v>51</v>
      </c>
      <c r="F100" s="13">
        <v>25000.0</v>
      </c>
      <c r="G100" s="15">
        <v>4986.0</v>
      </c>
      <c r="H100" s="15" t="s">
        <v>82</v>
      </c>
      <c r="I100" s="15" t="s">
        <v>82</v>
      </c>
      <c r="J100" s="15" t="s">
        <v>62</v>
      </c>
      <c r="K100" s="15"/>
      <c r="L100" s="15" t="s">
        <v>54</v>
      </c>
      <c r="M100" s="15" t="s">
        <v>55</v>
      </c>
      <c r="N100" s="15"/>
    </row>
    <row r="101" ht="56.25" customHeight="1">
      <c r="A101" s="13" t="s">
        <v>2199</v>
      </c>
      <c r="B101" s="15" t="str">
        <f>IMAGE("https://imgur.com/RKwyfxK.png")</f>
        <v/>
      </c>
      <c r="C101" s="15" t="s">
        <v>28</v>
      </c>
      <c r="D101" s="15" t="s">
        <v>28</v>
      </c>
      <c r="E101" s="13">
        <v>800.0</v>
      </c>
      <c r="F101" s="13">
        <v>200.0</v>
      </c>
      <c r="G101" s="15">
        <v>5023.0</v>
      </c>
      <c r="H101" s="15" t="s">
        <v>94</v>
      </c>
      <c r="I101" s="15" t="s">
        <v>82</v>
      </c>
      <c r="J101" s="15" t="s">
        <v>36</v>
      </c>
      <c r="K101" s="15" t="s">
        <v>113</v>
      </c>
      <c r="L101" s="15" t="s">
        <v>43</v>
      </c>
      <c r="M101" s="15" t="s">
        <v>44</v>
      </c>
      <c r="N101" s="15"/>
    </row>
    <row r="102" ht="56.25" customHeight="1">
      <c r="A102" s="13" t="s">
        <v>2201</v>
      </c>
      <c r="B102" s="15" t="str">
        <f>IMAGE("https://imgur.com/uc3uVmp.png")</f>
        <v/>
      </c>
      <c r="C102" s="15" t="s">
        <v>28</v>
      </c>
      <c r="D102" s="25" t="s">
        <v>28</v>
      </c>
      <c r="E102" s="13">
        <v>1620.0</v>
      </c>
      <c r="F102" s="13">
        <v>405.0</v>
      </c>
      <c r="G102" s="15">
        <v>5067.0</v>
      </c>
      <c r="H102" s="15" t="s">
        <v>99</v>
      </c>
      <c r="I102" s="15" t="s">
        <v>82</v>
      </c>
      <c r="J102" s="15" t="s">
        <v>136</v>
      </c>
      <c r="K102" s="15" t="s">
        <v>60</v>
      </c>
      <c r="L102" s="15" t="s">
        <v>43</v>
      </c>
      <c r="M102" s="15" t="s">
        <v>44</v>
      </c>
      <c r="N102" s="15"/>
    </row>
    <row r="103" ht="56.25" customHeight="1">
      <c r="A103" s="13" t="s">
        <v>2202</v>
      </c>
      <c r="B103" s="15" t="str">
        <f>IMAGE("https://imgur.com/BvgDLrj.png")</f>
        <v/>
      </c>
      <c r="C103" s="15" t="s">
        <v>28</v>
      </c>
      <c r="D103" s="15" t="s">
        <v>28</v>
      </c>
      <c r="E103" s="24" t="s">
        <v>51</v>
      </c>
      <c r="F103" s="13">
        <v>750.0</v>
      </c>
      <c r="G103" s="15">
        <v>5234.0</v>
      </c>
      <c r="H103" s="15" t="s">
        <v>369</v>
      </c>
      <c r="I103" s="15" t="s">
        <v>369</v>
      </c>
      <c r="J103" s="15" t="s">
        <v>161</v>
      </c>
      <c r="K103" s="15" t="s">
        <v>95</v>
      </c>
      <c r="L103" s="15" t="s">
        <v>54</v>
      </c>
      <c r="M103" s="15" t="s">
        <v>1609</v>
      </c>
      <c r="N103" s="15"/>
    </row>
    <row r="104" ht="56.25" customHeight="1">
      <c r="A104" s="13" t="s">
        <v>2204</v>
      </c>
      <c r="B104" s="15" t="str">
        <f>IMAGE("https://imgur.com/7zchdgz.png")</f>
        <v/>
      </c>
      <c r="C104" s="15" t="s">
        <v>28</v>
      </c>
      <c r="D104" s="15" t="s">
        <v>28</v>
      </c>
      <c r="E104" s="13">
        <v>1380.0</v>
      </c>
      <c r="F104" s="13">
        <v>345.0</v>
      </c>
      <c r="G104" s="15">
        <v>5033.0</v>
      </c>
      <c r="H104" s="15" t="s">
        <v>118</v>
      </c>
      <c r="I104" s="15" t="s">
        <v>1608</v>
      </c>
      <c r="J104" s="15" t="s">
        <v>80</v>
      </c>
      <c r="K104" s="15"/>
      <c r="L104" s="15" t="s">
        <v>43</v>
      </c>
      <c r="M104" s="15" t="s">
        <v>44</v>
      </c>
      <c r="N104" s="15"/>
    </row>
    <row r="105" ht="56.25" customHeight="1">
      <c r="A105" s="13" t="s">
        <v>2206</v>
      </c>
      <c r="B105" s="15" t="str">
        <f>IMAGE("https://imgur.com/RcrANTJ.png")</f>
        <v/>
      </c>
      <c r="C105" s="15" t="s">
        <v>28</v>
      </c>
      <c r="D105" s="15" t="s">
        <v>28</v>
      </c>
      <c r="E105" s="13">
        <v>24000.0</v>
      </c>
      <c r="F105" s="13">
        <v>6000.0</v>
      </c>
      <c r="G105" s="15">
        <v>6005.0</v>
      </c>
      <c r="H105" s="15" t="s">
        <v>118</v>
      </c>
      <c r="I105" s="15" t="s">
        <v>118</v>
      </c>
      <c r="J105" s="15" t="s">
        <v>80</v>
      </c>
      <c r="K105" s="15" t="s">
        <v>37</v>
      </c>
      <c r="L105" s="15" t="s">
        <v>54</v>
      </c>
      <c r="M105" s="15" t="s">
        <v>516</v>
      </c>
      <c r="N105" s="15"/>
    </row>
    <row r="106" ht="56.25" customHeight="1">
      <c r="A106" s="13" t="s">
        <v>2207</v>
      </c>
      <c r="B106" s="15" t="str">
        <f>IMAGE("https://imgur.com/7EryZyo.png")</f>
        <v/>
      </c>
      <c r="C106" s="15" t="s">
        <v>50</v>
      </c>
      <c r="D106" s="15"/>
      <c r="E106" s="24" t="s">
        <v>51</v>
      </c>
      <c r="F106" s="13">
        <v>750.0</v>
      </c>
      <c r="G106" s="15">
        <v>5255.0</v>
      </c>
      <c r="H106" s="15" t="s">
        <v>1608</v>
      </c>
      <c r="I106" s="15" t="s">
        <v>1614</v>
      </c>
      <c r="J106" s="15" t="s">
        <v>95</v>
      </c>
      <c r="K106" s="15" t="s">
        <v>284</v>
      </c>
      <c r="L106" s="15" t="s">
        <v>54</v>
      </c>
      <c r="M106" s="15" t="s">
        <v>1609</v>
      </c>
      <c r="N106" s="15"/>
    </row>
    <row r="107" ht="56.25" customHeight="1">
      <c r="A107" s="13" t="s">
        <v>2209</v>
      </c>
      <c r="B107" s="15" t="str">
        <f>IMAGE("https://imgur.com/RwQt7Sx.png")</f>
        <v/>
      </c>
      <c r="C107" s="15" t="s">
        <v>28</v>
      </c>
      <c r="D107" s="15" t="s">
        <v>28</v>
      </c>
      <c r="E107" s="13">
        <v>2100.0</v>
      </c>
      <c r="F107" s="13">
        <v>525.0</v>
      </c>
      <c r="G107" s="15">
        <v>6928.0</v>
      </c>
      <c r="H107" s="15" t="s">
        <v>211</v>
      </c>
      <c r="I107" s="15" t="s">
        <v>118</v>
      </c>
      <c r="J107" s="15" t="s">
        <v>183</v>
      </c>
      <c r="K107" s="15" t="s">
        <v>90</v>
      </c>
      <c r="L107" s="15" t="s">
        <v>43</v>
      </c>
      <c r="M107" s="15" t="s">
        <v>44</v>
      </c>
      <c r="N107" s="15"/>
    </row>
    <row r="108" ht="56.25" customHeight="1">
      <c r="A108" s="13" t="s">
        <v>2211</v>
      </c>
      <c r="B108" s="15" t="str">
        <f>IMAGE("https://imgur.com/VmaH0YX.png")</f>
        <v/>
      </c>
      <c r="C108" s="15" t="s">
        <v>28</v>
      </c>
      <c r="D108" s="15"/>
      <c r="E108" s="13">
        <v>1320.0</v>
      </c>
      <c r="F108" s="13">
        <v>330.0</v>
      </c>
      <c r="G108" s="15">
        <v>6845.0</v>
      </c>
      <c r="H108" s="15" t="s">
        <v>521</v>
      </c>
      <c r="I108" s="15" t="s">
        <v>521</v>
      </c>
      <c r="J108" s="15" t="s">
        <v>212</v>
      </c>
      <c r="K108" s="15" t="s">
        <v>113</v>
      </c>
      <c r="L108" s="15" t="s">
        <v>43</v>
      </c>
      <c r="M108" s="15" t="s">
        <v>44</v>
      </c>
      <c r="N108" s="15"/>
    </row>
    <row r="109" ht="56.25" customHeight="1">
      <c r="A109" s="13" t="s">
        <v>2213</v>
      </c>
      <c r="B109" s="15" t="str">
        <f>IMAGE("https://imgur.com/W8K8U5L.png")</f>
        <v/>
      </c>
      <c r="C109" s="15" t="s">
        <v>28</v>
      </c>
      <c r="D109" s="15" t="s">
        <v>28</v>
      </c>
      <c r="E109" s="13">
        <v>1540.0</v>
      </c>
      <c r="F109" s="13">
        <v>385.0</v>
      </c>
      <c r="G109" s="15">
        <v>5043.0</v>
      </c>
      <c r="H109" s="15" t="s">
        <v>521</v>
      </c>
      <c r="I109" s="15" t="s">
        <v>521</v>
      </c>
      <c r="J109" s="15" t="s">
        <v>86</v>
      </c>
      <c r="K109" s="15" t="s">
        <v>37</v>
      </c>
      <c r="L109" s="15" t="s">
        <v>43</v>
      </c>
      <c r="M109" s="15" t="s">
        <v>44</v>
      </c>
      <c r="N109" s="15"/>
    </row>
    <row r="110" ht="56.25" customHeight="1">
      <c r="A110" s="13" t="s">
        <v>2215</v>
      </c>
      <c r="B110" s="15" t="str">
        <f>IMAGE("https://imgur.com/PdaMDU0.png")</f>
        <v/>
      </c>
      <c r="C110" s="15" t="s">
        <v>28</v>
      </c>
      <c r="D110" s="15" t="s">
        <v>28</v>
      </c>
      <c r="E110" s="24" t="s">
        <v>51</v>
      </c>
      <c r="F110" s="13">
        <v>750.0</v>
      </c>
      <c r="G110" s="15">
        <v>4988.0</v>
      </c>
      <c r="H110" s="15" t="s">
        <v>82</v>
      </c>
      <c r="I110" s="15" t="s">
        <v>258</v>
      </c>
      <c r="J110" s="15" t="s">
        <v>243</v>
      </c>
      <c r="K110" s="15" t="s">
        <v>90</v>
      </c>
      <c r="L110" s="15" t="s">
        <v>54</v>
      </c>
      <c r="M110" s="15" t="s">
        <v>1609</v>
      </c>
      <c r="N110" s="15"/>
    </row>
    <row r="111" ht="56.25" customHeight="1">
      <c r="A111" s="13" t="s">
        <v>2217</v>
      </c>
      <c r="B111" s="15" t="str">
        <f>IMAGE("https://imgur.com/roljtdz.png")</f>
        <v/>
      </c>
      <c r="C111" s="15" t="s">
        <v>28</v>
      </c>
      <c r="D111" s="25" t="s">
        <v>28</v>
      </c>
      <c r="E111" s="24" t="s">
        <v>51</v>
      </c>
      <c r="F111" s="13">
        <v>750.0</v>
      </c>
      <c r="G111" s="15">
        <v>5051.0</v>
      </c>
      <c r="H111" s="15" t="s">
        <v>82</v>
      </c>
      <c r="I111" s="15" t="s">
        <v>82</v>
      </c>
      <c r="J111" s="15" t="s">
        <v>62</v>
      </c>
      <c r="K111" s="15" t="s">
        <v>284</v>
      </c>
      <c r="L111" s="15" t="s">
        <v>54</v>
      </c>
      <c r="M111" s="15" t="s">
        <v>1609</v>
      </c>
      <c r="N111" s="15"/>
    </row>
    <row r="112" ht="56.25" customHeight="1">
      <c r="A112" s="13" t="s">
        <v>2219</v>
      </c>
      <c r="B112" s="15" t="str">
        <f>IMAGE("https://imgur.com/WBr45KX.png")</f>
        <v/>
      </c>
      <c r="C112" s="15" t="s">
        <v>28</v>
      </c>
      <c r="D112" s="15" t="s">
        <v>28</v>
      </c>
      <c r="E112" s="24" t="s">
        <v>51</v>
      </c>
      <c r="F112" s="13">
        <v>750.0</v>
      </c>
      <c r="G112" s="15">
        <v>4997.0</v>
      </c>
      <c r="H112" s="15" t="s">
        <v>99</v>
      </c>
      <c r="I112" s="15" t="s">
        <v>94</v>
      </c>
      <c r="J112" s="15" t="s">
        <v>90</v>
      </c>
      <c r="K112" s="15"/>
      <c r="L112" s="15" t="s">
        <v>54</v>
      </c>
      <c r="M112" s="15" t="s">
        <v>1609</v>
      </c>
      <c r="N112" s="15"/>
    </row>
    <row r="113" ht="56.25" customHeight="1">
      <c r="A113" s="13" t="s">
        <v>2220</v>
      </c>
      <c r="B113" s="15" t="str">
        <f>IMAGE("https://imgur.com/lVQEs8A.png")</f>
        <v/>
      </c>
      <c r="C113" s="15" t="s">
        <v>28</v>
      </c>
      <c r="D113" s="25" t="s">
        <v>28</v>
      </c>
      <c r="E113" s="24" t="s">
        <v>51</v>
      </c>
      <c r="F113" s="13">
        <v>370.0</v>
      </c>
      <c r="G113" s="15">
        <v>5241.0</v>
      </c>
      <c r="H113" s="15" t="s">
        <v>258</v>
      </c>
      <c r="I113" s="15" t="s">
        <v>94</v>
      </c>
      <c r="J113" s="15" t="s">
        <v>212</v>
      </c>
      <c r="K113" s="15" t="s">
        <v>36</v>
      </c>
      <c r="L113" s="15" t="s">
        <v>54</v>
      </c>
      <c r="M113" s="15" t="s">
        <v>220</v>
      </c>
      <c r="N113" s="15"/>
    </row>
    <row r="114" ht="56.25" customHeight="1">
      <c r="A114" s="13" t="s">
        <v>2222</v>
      </c>
      <c r="B114" s="15" t="str">
        <f>IMAGE("https://imgur.com/of0XuZr.png")</f>
        <v/>
      </c>
      <c r="C114" s="15" t="s">
        <v>28</v>
      </c>
      <c r="D114" s="25" t="s">
        <v>28</v>
      </c>
      <c r="E114" s="13">
        <v>1450.0</v>
      </c>
      <c r="F114" s="13">
        <v>362.0</v>
      </c>
      <c r="G114" s="15">
        <v>4956.0</v>
      </c>
      <c r="H114" s="15" t="s">
        <v>82</v>
      </c>
      <c r="I114" s="15" t="s">
        <v>82</v>
      </c>
      <c r="J114" s="15" t="s">
        <v>36</v>
      </c>
      <c r="K114" s="15" t="s">
        <v>113</v>
      </c>
      <c r="L114" s="15" t="s">
        <v>43</v>
      </c>
      <c r="M114" s="15" t="s">
        <v>44</v>
      </c>
      <c r="N114" s="15"/>
    </row>
    <row r="115" ht="56.25" customHeight="1">
      <c r="A115" s="13" t="s">
        <v>2224</v>
      </c>
      <c r="B115" s="15" t="str">
        <f>IMAGE("https://imgur.com/XjUWkD0.png")</f>
        <v/>
      </c>
      <c r="C115" s="15" t="s">
        <v>28</v>
      </c>
      <c r="D115" s="15" t="s">
        <v>28</v>
      </c>
      <c r="E115" s="13">
        <v>2100.0</v>
      </c>
      <c r="F115" s="13">
        <v>525.0</v>
      </c>
      <c r="G115" s="15">
        <v>4995.0</v>
      </c>
      <c r="H115" s="15" t="s">
        <v>82</v>
      </c>
      <c r="I115" s="15" t="s">
        <v>82</v>
      </c>
      <c r="J115" s="15" t="s">
        <v>62</v>
      </c>
      <c r="K115" s="15" t="s">
        <v>37</v>
      </c>
      <c r="L115" s="15" t="s">
        <v>43</v>
      </c>
      <c r="M115" s="15" t="s">
        <v>44</v>
      </c>
      <c r="N115" s="15"/>
    </row>
    <row r="116" ht="56.25" customHeight="1">
      <c r="A116" s="13" t="s">
        <v>2226</v>
      </c>
      <c r="B116" s="15" t="str">
        <f>IMAGE("https://imgur.com/GbKUfu1.png")</f>
        <v/>
      </c>
      <c r="C116" s="15" t="s">
        <v>28</v>
      </c>
      <c r="D116" s="15" t="s">
        <v>28</v>
      </c>
      <c r="E116" s="13">
        <v>2500.0</v>
      </c>
      <c r="F116" s="13">
        <v>625.0</v>
      </c>
      <c r="G116" s="15">
        <v>5019.0</v>
      </c>
      <c r="H116" s="15" t="s">
        <v>1608</v>
      </c>
      <c r="I116" s="15" t="s">
        <v>1608</v>
      </c>
      <c r="J116" s="15" t="s">
        <v>60</v>
      </c>
      <c r="K116" s="15" t="s">
        <v>113</v>
      </c>
      <c r="L116" s="15" t="s">
        <v>43</v>
      </c>
      <c r="M116" s="15" t="s">
        <v>44</v>
      </c>
      <c r="N116" s="15"/>
    </row>
    <row r="117" ht="56.25" customHeight="1">
      <c r="A117" s="13" t="s">
        <v>2228</v>
      </c>
      <c r="B117" s="15" t="str">
        <f>IMAGE("https://imgur.com/WSemKwB.png")</f>
        <v/>
      </c>
      <c r="C117" s="15" t="s">
        <v>28</v>
      </c>
      <c r="D117" s="15" t="s">
        <v>28</v>
      </c>
      <c r="E117" s="13">
        <v>1040.0</v>
      </c>
      <c r="F117" s="13">
        <v>260.0</v>
      </c>
      <c r="G117" s="15">
        <v>5059.0</v>
      </c>
      <c r="H117" s="15" t="s">
        <v>107</v>
      </c>
      <c r="I117" s="15" t="s">
        <v>107</v>
      </c>
      <c r="J117" s="15" t="s">
        <v>36</v>
      </c>
      <c r="K117" s="15" t="s">
        <v>113</v>
      </c>
      <c r="L117" s="15" t="s">
        <v>43</v>
      </c>
      <c r="M117" s="15" t="s">
        <v>44</v>
      </c>
      <c r="N117" s="15"/>
    </row>
    <row r="118" ht="56.25" customHeight="1">
      <c r="A118" s="13" t="s">
        <v>2230</v>
      </c>
      <c r="B118" s="15" t="str">
        <f>IMAGE("https://imgur.com/2CPNu4H.png")</f>
        <v/>
      </c>
      <c r="C118" s="15" t="s">
        <v>28</v>
      </c>
      <c r="D118" s="25" t="s">
        <v>28</v>
      </c>
      <c r="E118" s="13">
        <v>1320.0</v>
      </c>
      <c r="F118" s="13">
        <v>330.0</v>
      </c>
      <c r="G118" s="15">
        <v>5017.0</v>
      </c>
      <c r="H118" s="15" t="s">
        <v>464</v>
      </c>
      <c r="I118" s="15" t="s">
        <v>464</v>
      </c>
      <c r="J118" s="15" t="s">
        <v>212</v>
      </c>
      <c r="K118" s="15" t="s">
        <v>113</v>
      </c>
      <c r="L118" s="15" t="s">
        <v>43</v>
      </c>
      <c r="M118" s="15" t="s">
        <v>44</v>
      </c>
      <c r="N118" s="15"/>
    </row>
    <row r="119" ht="56.25" customHeight="1">
      <c r="A119" s="13" t="s">
        <v>2232</v>
      </c>
      <c r="B119" s="15" t="str">
        <f>IMAGE("https://imgur.com/tk9Jsjz.png")</f>
        <v/>
      </c>
      <c r="C119" s="15" t="s">
        <v>28</v>
      </c>
      <c r="D119" s="15" t="s">
        <v>28</v>
      </c>
      <c r="E119" s="13">
        <v>2100.0</v>
      </c>
      <c r="F119" s="13">
        <v>525.0</v>
      </c>
      <c r="G119" s="15">
        <v>6927.0</v>
      </c>
      <c r="H119" s="15" t="s">
        <v>464</v>
      </c>
      <c r="I119" s="15" t="s">
        <v>82</v>
      </c>
      <c r="J119" s="15" t="s">
        <v>183</v>
      </c>
      <c r="K119" s="15" t="s">
        <v>90</v>
      </c>
      <c r="L119" s="15" t="s">
        <v>43</v>
      </c>
      <c r="M119" s="15" t="s">
        <v>44</v>
      </c>
      <c r="N119" s="15"/>
    </row>
    <row r="120" ht="56.25" customHeight="1">
      <c r="A120" s="13" t="s">
        <v>2234</v>
      </c>
      <c r="B120" s="15" t="str">
        <f>IMAGE("https://imgur.com/wT5N6NG.png")</f>
        <v/>
      </c>
      <c r="C120" s="15" t="s">
        <v>28</v>
      </c>
      <c r="D120" s="15" t="s">
        <v>28</v>
      </c>
      <c r="E120" s="13">
        <v>1450.0</v>
      </c>
      <c r="F120" s="13">
        <v>362.0</v>
      </c>
      <c r="G120" s="15">
        <v>7185.0</v>
      </c>
      <c r="H120" s="15" t="s">
        <v>464</v>
      </c>
      <c r="I120" s="15" t="s">
        <v>258</v>
      </c>
      <c r="J120" s="15" t="s">
        <v>36</v>
      </c>
      <c r="K120" s="15"/>
      <c r="L120" s="15" t="s">
        <v>43</v>
      </c>
      <c r="M120" s="15" t="s">
        <v>44</v>
      </c>
      <c r="N120" s="15"/>
    </row>
    <row r="121" ht="56.25" customHeight="1">
      <c r="A121" s="13" t="s">
        <v>2237</v>
      </c>
      <c r="B121" s="15" t="str">
        <f>IMAGE("https://imgur.com/yfgt4g2.png")</f>
        <v/>
      </c>
      <c r="C121" s="15" t="s">
        <v>28</v>
      </c>
      <c r="D121" s="15" t="s">
        <v>28</v>
      </c>
      <c r="E121" s="24" t="s">
        <v>51</v>
      </c>
      <c r="F121" s="13">
        <v>750.0</v>
      </c>
      <c r="G121" s="15">
        <v>5054.0</v>
      </c>
      <c r="H121" s="15" t="s">
        <v>1608</v>
      </c>
      <c r="I121" s="15" t="s">
        <v>1608</v>
      </c>
      <c r="J121" s="15" t="s">
        <v>284</v>
      </c>
      <c r="K121" s="15"/>
      <c r="L121" s="15" t="s">
        <v>54</v>
      </c>
      <c r="M121" s="15" t="s">
        <v>1609</v>
      </c>
      <c r="N121" s="15"/>
    </row>
    <row r="122" ht="56.25" customHeight="1">
      <c r="A122" s="13" t="s">
        <v>2239</v>
      </c>
      <c r="B122" s="15" t="str">
        <f>IMAGE("https://imgur.com/tP1OeF1.png")</f>
        <v/>
      </c>
      <c r="C122" s="15" t="s">
        <v>28</v>
      </c>
      <c r="D122" s="15" t="s">
        <v>28</v>
      </c>
      <c r="E122" s="24" t="s">
        <v>51</v>
      </c>
      <c r="F122" s="13">
        <v>750.0</v>
      </c>
      <c r="G122" s="15">
        <v>4996.0</v>
      </c>
      <c r="H122" s="15" t="s">
        <v>369</v>
      </c>
      <c r="I122" s="15" t="s">
        <v>369</v>
      </c>
      <c r="J122" s="15" t="s">
        <v>156</v>
      </c>
      <c r="K122" s="15" t="s">
        <v>80</v>
      </c>
      <c r="L122" s="15" t="s">
        <v>54</v>
      </c>
      <c r="M122" s="15" t="s">
        <v>1609</v>
      </c>
      <c r="N122" s="15"/>
    </row>
    <row r="123" ht="56.25" customHeight="1">
      <c r="A123" s="13" t="s">
        <v>2241</v>
      </c>
      <c r="B123" s="15" t="str">
        <f>IMAGE("https://imgur.com/Frd3Qja.png")</f>
        <v/>
      </c>
      <c r="C123" s="15" t="s">
        <v>28</v>
      </c>
      <c r="D123" s="15" t="s">
        <v>28</v>
      </c>
      <c r="E123" s="24" t="s">
        <v>51</v>
      </c>
      <c r="F123" s="13">
        <v>750.0</v>
      </c>
      <c r="G123" s="15">
        <v>5240.0</v>
      </c>
      <c r="H123" s="15" t="s">
        <v>1608</v>
      </c>
      <c r="I123" s="15" t="s">
        <v>1608</v>
      </c>
      <c r="J123" s="15" t="s">
        <v>346</v>
      </c>
      <c r="K123" s="15"/>
      <c r="L123" s="15" t="s">
        <v>54</v>
      </c>
      <c r="M123" s="15" t="s">
        <v>1609</v>
      </c>
      <c r="N123" s="15"/>
    </row>
    <row r="124" ht="56.25" customHeight="1">
      <c r="A124" s="13" t="s">
        <v>2243</v>
      </c>
      <c r="B124" s="15" t="str">
        <f>IMAGE("https://imgur.com/PmQFQal.png")</f>
        <v/>
      </c>
      <c r="C124" s="15" t="s">
        <v>28</v>
      </c>
      <c r="D124" s="25" t="s">
        <v>28</v>
      </c>
      <c r="E124" s="13">
        <v>1360.0</v>
      </c>
      <c r="F124" s="13">
        <v>340.0</v>
      </c>
      <c r="G124" s="15">
        <v>4973.0</v>
      </c>
      <c r="H124" s="15" t="s">
        <v>82</v>
      </c>
      <c r="I124" s="15" t="s">
        <v>82</v>
      </c>
      <c r="J124" s="15" t="s">
        <v>90</v>
      </c>
      <c r="K124" s="15" t="s">
        <v>37</v>
      </c>
      <c r="L124" s="15" t="s">
        <v>43</v>
      </c>
      <c r="M124" s="15" t="s">
        <v>44</v>
      </c>
      <c r="N124" s="15"/>
    </row>
    <row r="125" ht="56.25" customHeight="1">
      <c r="A125" s="13" t="s">
        <v>2245</v>
      </c>
      <c r="B125" s="15" t="str">
        <f>IMAGE("https://imgur.com/U1nwIOR.png")</f>
        <v/>
      </c>
      <c r="C125" s="15" t="s">
        <v>28</v>
      </c>
      <c r="D125" s="25" t="s">
        <v>28</v>
      </c>
      <c r="E125" s="13">
        <v>1100.0</v>
      </c>
      <c r="F125" s="13">
        <v>275.0</v>
      </c>
      <c r="G125" s="15">
        <v>4967.0</v>
      </c>
      <c r="H125" s="15" t="s">
        <v>1608</v>
      </c>
      <c r="I125" s="15" t="s">
        <v>1608</v>
      </c>
      <c r="J125" s="15" t="s">
        <v>90</v>
      </c>
      <c r="K125" s="15" t="s">
        <v>37</v>
      </c>
      <c r="L125" s="15" t="s">
        <v>43</v>
      </c>
      <c r="M125" s="15" t="s">
        <v>44</v>
      </c>
      <c r="N125" s="15"/>
    </row>
    <row r="126" ht="56.25" customHeight="1">
      <c r="A126" s="13" t="s">
        <v>2247</v>
      </c>
      <c r="B126" s="15" t="str">
        <f>IMAGE("https://imgur.com/4TY7vIQ.png")</f>
        <v/>
      </c>
      <c r="C126" s="15" t="s">
        <v>28</v>
      </c>
      <c r="D126" s="15" t="s">
        <v>28</v>
      </c>
      <c r="E126" s="13">
        <v>800.0</v>
      </c>
      <c r="F126" s="13">
        <v>200.0</v>
      </c>
      <c r="G126" s="15">
        <v>5027.0</v>
      </c>
      <c r="H126" s="15" t="s">
        <v>208</v>
      </c>
      <c r="I126" s="15" t="s">
        <v>208</v>
      </c>
      <c r="J126" s="15" t="s">
        <v>36</v>
      </c>
      <c r="K126" s="15" t="s">
        <v>113</v>
      </c>
      <c r="L126" s="15" t="s">
        <v>43</v>
      </c>
      <c r="M126" s="15" t="s">
        <v>44</v>
      </c>
      <c r="N126" s="15"/>
    </row>
    <row r="127" ht="56.25" customHeight="1">
      <c r="A127" s="13" t="s">
        <v>2249</v>
      </c>
      <c r="B127" s="15" t="str">
        <f>IMAGE("https://imgur.com/jdGPGKm.png")</f>
        <v/>
      </c>
      <c r="C127" s="15" t="s">
        <v>28</v>
      </c>
      <c r="D127" s="25" t="s">
        <v>28</v>
      </c>
      <c r="E127" s="13">
        <v>1150.0</v>
      </c>
      <c r="F127" s="13">
        <v>287.0</v>
      </c>
      <c r="G127" s="15">
        <v>5047.0</v>
      </c>
      <c r="H127" s="15" t="s">
        <v>208</v>
      </c>
      <c r="I127" s="15" t="s">
        <v>94</v>
      </c>
      <c r="J127" s="15" t="s">
        <v>62</v>
      </c>
      <c r="K127" s="15"/>
      <c r="L127" s="15" t="s">
        <v>43</v>
      </c>
      <c r="M127" s="15" t="s">
        <v>44</v>
      </c>
      <c r="N127" s="15"/>
    </row>
    <row r="128" ht="56.25" customHeight="1">
      <c r="A128" s="13" t="s">
        <v>2251</v>
      </c>
      <c r="B128" s="15" t="str">
        <f>IMAGE("https://imgur.com/cj62Ydk.png")</f>
        <v/>
      </c>
      <c r="C128" s="15" t="s">
        <v>28</v>
      </c>
      <c r="D128" s="25" t="s">
        <v>28</v>
      </c>
      <c r="E128" s="13">
        <v>1040.0</v>
      </c>
      <c r="F128" s="13">
        <v>260.0</v>
      </c>
      <c r="G128" s="15">
        <v>4975.0</v>
      </c>
      <c r="H128" s="15" t="s">
        <v>208</v>
      </c>
      <c r="I128" s="15" t="s">
        <v>118</v>
      </c>
      <c r="J128" s="15" t="s">
        <v>90</v>
      </c>
      <c r="K128" s="15" t="s">
        <v>37</v>
      </c>
      <c r="L128" s="15" t="s">
        <v>43</v>
      </c>
      <c r="M128" s="15" t="s">
        <v>44</v>
      </c>
      <c r="N128" s="15"/>
    </row>
    <row r="129" ht="56.25" customHeight="1">
      <c r="A129" s="13" t="s">
        <v>2252</v>
      </c>
      <c r="B129" s="15" t="str">
        <f>IMAGE("https://imgur.com/JNpL832.png")</f>
        <v/>
      </c>
      <c r="C129" s="15" t="s">
        <v>28</v>
      </c>
      <c r="D129" s="25" t="s">
        <v>28</v>
      </c>
      <c r="E129" s="24" t="s">
        <v>51</v>
      </c>
      <c r="F129" s="13">
        <v>750.0</v>
      </c>
      <c r="G129" s="15">
        <v>5239.0</v>
      </c>
      <c r="H129" s="15" t="s">
        <v>1608</v>
      </c>
      <c r="I129" s="15" t="s">
        <v>1608</v>
      </c>
      <c r="J129" s="15" t="s">
        <v>95</v>
      </c>
      <c r="K129" s="15"/>
      <c r="L129" s="15" t="s">
        <v>54</v>
      </c>
      <c r="M129" s="15" t="s">
        <v>1609</v>
      </c>
      <c r="N129" s="15"/>
    </row>
    <row r="130" ht="56.25" customHeight="1">
      <c r="A130" s="13" t="s">
        <v>2254</v>
      </c>
      <c r="B130" s="15" t="str">
        <f>IMAGE("https://imgur.com/rHrDPlH.png")</f>
        <v/>
      </c>
      <c r="C130" s="15" t="s">
        <v>28</v>
      </c>
      <c r="D130" s="15" t="s">
        <v>28</v>
      </c>
      <c r="E130" s="13">
        <v>2200.0</v>
      </c>
      <c r="F130" s="13">
        <v>550.0</v>
      </c>
      <c r="G130" s="15">
        <v>4958.0</v>
      </c>
      <c r="H130" s="15" t="s">
        <v>208</v>
      </c>
      <c r="I130" s="15" t="s">
        <v>208</v>
      </c>
      <c r="J130" s="15" t="s">
        <v>36</v>
      </c>
      <c r="K130" s="15" t="s">
        <v>62</v>
      </c>
      <c r="L130" s="15" t="s">
        <v>43</v>
      </c>
      <c r="M130" s="15" t="s">
        <v>44</v>
      </c>
      <c r="N130" s="15"/>
    </row>
    <row r="131" ht="56.25" customHeight="1">
      <c r="A131" s="13" t="s">
        <v>2256</v>
      </c>
      <c r="B131" s="15" t="str">
        <f>IMAGE("https://imgur.com/FYwfpit.png")</f>
        <v/>
      </c>
      <c r="C131" s="15" t="s">
        <v>28</v>
      </c>
      <c r="D131" s="25" t="s">
        <v>28</v>
      </c>
      <c r="E131" s="13">
        <v>2420.0</v>
      </c>
      <c r="F131" s="13">
        <v>605.0</v>
      </c>
      <c r="G131" s="15">
        <v>5063.0</v>
      </c>
      <c r="H131" s="15" t="s">
        <v>94</v>
      </c>
      <c r="I131" s="15" t="s">
        <v>94</v>
      </c>
      <c r="J131" s="15" t="s">
        <v>62</v>
      </c>
      <c r="K131" s="15" t="s">
        <v>60</v>
      </c>
      <c r="L131" s="15" t="s">
        <v>43</v>
      </c>
      <c r="M131" s="15" t="s">
        <v>44</v>
      </c>
      <c r="N131" s="15"/>
    </row>
    <row r="132" ht="56.25" customHeight="1">
      <c r="A132" s="13" t="s">
        <v>2258</v>
      </c>
      <c r="B132" s="15" t="str">
        <f>IMAGE("https://imgur.com/02uaMKM.png")</f>
        <v/>
      </c>
      <c r="C132" s="15" t="s">
        <v>28</v>
      </c>
      <c r="D132" s="15" t="s">
        <v>28</v>
      </c>
      <c r="E132" s="13">
        <v>700.0</v>
      </c>
      <c r="F132" s="13">
        <v>175.0</v>
      </c>
      <c r="G132" s="15">
        <v>5163.0</v>
      </c>
      <c r="H132" s="15" t="s">
        <v>94</v>
      </c>
      <c r="I132" s="15" t="s">
        <v>94</v>
      </c>
      <c r="J132" s="15" t="s">
        <v>90</v>
      </c>
      <c r="K132" s="15" t="s">
        <v>37</v>
      </c>
      <c r="L132" s="15" t="s">
        <v>43</v>
      </c>
      <c r="M132" s="15" t="s">
        <v>44</v>
      </c>
      <c r="N132" s="15"/>
    </row>
    <row r="133" ht="56.25" customHeight="1">
      <c r="A133" s="13" t="s">
        <v>2260</v>
      </c>
      <c r="B133" s="49" t="str">
        <f>IMAGE("https://imgur.com/3pumTML.png")</f>
        <v/>
      </c>
      <c r="C133" s="15" t="s">
        <v>28</v>
      </c>
      <c r="D133" s="25" t="s">
        <v>28</v>
      </c>
      <c r="E133" s="13">
        <v>2200.0</v>
      </c>
      <c r="F133" s="13">
        <v>550.0</v>
      </c>
      <c r="G133" s="15">
        <v>5079.0</v>
      </c>
      <c r="H133" s="15" t="s">
        <v>1608</v>
      </c>
      <c r="I133" s="15" t="s">
        <v>1608</v>
      </c>
      <c r="J133" s="15" t="s">
        <v>161</v>
      </c>
      <c r="K133" s="15" t="s">
        <v>60</v>
      </c>
      <c r="L133" s="15" t="s">
        <v>43</v>
      </c>
      <c r="M133" s="15" t="s">
        <v>44</v>
      </c>
      <c r="N133" s="15"/>
    </row>
    <row r="134" ht="56.25" customHeight="1">
      <c r="A134" s="13" t="s">
        <v>2262</v>
      </c>
      <c r="B134" s="15" t="str">
        <f>IMAGE("https://imgur.com/ll3NnDf.png")</f>
        <v/>
      </c>
      <c r="C134" s="15" t="s">
        <v>28</v>
      </c>
      <c r="D134" s="25" t="s">
        <v>28</v>
      </c>
      <c r="E134" s="13">
        <v>2200.0</v>
      </c>
      <c r="F134" s="13">
        <v>550.0</v>
      </c>
      <c r="G134" s="15">
        <v>5078.0</v>
      </c>
      <c r="H134" s="15" t="s">
        <v>1608</v>
      </c>
      <c r="I134" s="15" t="s">
        <v>1608</v>
      </c>
      <c r="J134" s="15" t="s">
        <v>161</v>
      </c>
      <c r="K134" s="15" t="s">
        <v>60</v>
      </c>
      <c r="L134" s="15" t="s">
        <v>43</v>
      </c>
      <c r="M134" s="15" t="s">
        <v>44</v>
      </c>
      <c r="N134" s="15"/>
    </row>
    <row r="135" ht="56.25" customHeight="1">
      <c r="A135" s="13" t="s">
        <v>2264</v>
      </c>
      <c r="B135" s="15" t="str">
        <f>IMAGE("https://imgur.com/Wnymxlh.png")</f>
        <v/>
      </c>
      <c r="C135" s="25" t="s">
        <v>28</v>
      </c>
      <c r="D135" s="25" t="s">
        <v>28</v>
      </c>
      <c r="E135" s="24" t="s">
        <v>51</v>
      </c>
      <c r="F135" s="13">
        <v>750.0</v>
      </c>
      <c r="G135" s="15">
        <v>4983.0</v>
      </c>
      <c r="H135" s="15" t="s">
        <v>1608</v>
      </c>
      <c r="I135" s="15" t="s">
        <v>1608</v>
      </c>
      <c r="J135" s="15" t="s">
        <v>284</v>
      </c>
      <c r="K135" s="15"/>
      <c r="L135" s="15" t="s">
        <v>54</v>
      </c>
      <c r="M135" s="15" t="s">
        <v>1609</v>
      </c>
      <c r="N135" s="15"/>
    </row>
    <row r="136" ht="56.25" customHeight="1">
      <c r="A136" s="13" t="s">
        <v>2266</v>
      </c>
      <c r="B136" s="15" t="str">
        <f>IMAGE("https://imgur.com/JVPVTpN.png")</f>
        <v/>
      </c>
      <c r="C136" s="15" t="s">
        <v>28</v>
      </c>
      <c r="D136" s="25" t="s">
        <v>50</v>
      </c>
      <c r="E136" s="13" t="s">
        <v>51</v>
      </c>
      <c r="F136" s="13">
        <v>3200.0</v>
      </c>
      <c r="G136" s="15">
        <v>5056.0</v>
      </c>
      <c r="H136" s="15" t="s">
        <v>107</v>
      </c>
      <c r="I136" s="15" t="s">
        <v>107</v>
      </c>
      <c r="J136" s="15" t="s">
        <v>113</v>
      </c>
      <c r="K136" s="15" t="s">
        <v>36</v>
      </c>
      <c r="L136" s="15" t="s">
        <v>54</v>
      </c>
      <c r="M136" s="15" t="s">
        <v>55</v>
      </c>
      <c r="N136" s="15" t="s">
        <v>282</v>
      </c>
    </row>
    <row r="137" ht="56.25" customHeight="1">
      <c r="A137" s="13" t="s">
        <v>2268</v>
      </c>
      <c r="B137" s="15" t="str">
        <f>IMAGE("https://imgur.com/8J61GQ4.png")</f>
        <v/>
      </c>
      <c r="C137" s="15" t="s">
        <v>28</v>
      </c>
      <c r="D137" s="25" t="s">
        <v>50</v>
      </c>
      <c r="E137" s="24" t="s">
        <v>51</v>
      </c>
      <c r="F137" s="13">
        <v>750.0</v>
      </c>
      <c r="G137" s="15">
        <v>4985.0</v>
      </c>
      <c r="H137" s="15" t="s">
        <v>211</v>
      </c>
      <c r="I137" s="15" t="s">
        <v>1608</v>
      </c>
      <c r="J137" s="15" t="s">
        <v>95</v>
      </c>
      <c r="K137" s="15"/>
      <c r="L137" s="15" t="s">
        <v>54</v>
      </c>
      <c r="M137" s="15" t="s">
        <v>1609</v>
      </c>
      <c r="N137" s="15"/>
    </row>
    <row r="138" ht="56.25" customHeight="1">
      <c r="A138" s="13" t="s">
        <v>2271</v>
      </c>
      <c r="B138" s="15" t="str">
        <f>IMAGE("https://imgur.com/jRkTV5N.png")</f>
        <v/>
      </c>
      <c r="C138" s="15" t="s">
        <v>28</v>
      </c>
      <c r="D138" s="15" t="s">
        <v>50</v>
      </c>
      <c r="E138" s="13" t="s">
        <v>51</v>
      </c>
      <c r="F138" s="13">
        <v>4120.0</v>
      </c>
      <c r="G138" s="15">
        <v>4970.0</v>
      </c>
      <c r="H138" s="15" t="s">
        <v>1608</v>
      </c>
      <c r="I138" s="15" t="s">
        <v>1608</v>
      </c>
      <c r="J138" s="15" t="s">
        <v>84</v>
      </c>
      <c r="K138" s="15"/>
      <c r="L138" s="15" t="s">
        <v>54</v>
      </c>
      <c r="M138" s="15" t="s">
        <v>55</v>
      </c>
      <c r="N138" s="15"/>
    </row>
    <row r="139" ht="56.25" customHeight="1">
      <c r="A139" s="13" t="s">
        <v>2273</v>
      </c>
      <c r="B139" s="15" t="str">
        <f>IMAGE("https://imgur.com/lhzENnK.png")</f>
        <v/>
      </c>
      <c r="C139" s="15" t="s">
        <v>50</v>
      </c>
      <c r="D139" s="25" t="s">
        <v>50</v>
      </c>
      <c r="E139" s="13" t="s">
        <v>51</v>
      </c>
      <c r="F139" s="13">
        <v>7500.0</v>
      </c>
      <c r="G139" s="15">
        <v>5270.0</v>
      </c>
      <c r="H139" s="15" t="s">
        <v>99</v>
      </c>
      <c r="I139" s="15" t="s">
        <v>99</v>
      </c>
      <c r="J139" s="15" t="s">
        <v>269</v>
      </c>
      <c r="K139" s="15" t="s">
        <v>90</v>
      </c>
      <c r="L139" s="15" t="s">
        <v>54</v>
      </c>
      <c r="M139" s="15" t="s">
        <v>55</v>
      </c>
      <c r="N139" s="15"/>
    </row>
    <row r="140" ht="56.25" customHeight="1">
      <c r="A140" s="13" t="s">
        <v>2275</v>
      </c>
      <c r="B140" s="15" t="str">
        <f>IMAGE("https://imgur.com/G95RKZP.png")</f>
        <v/>
      </c>
      <c r="C140" s="15" t="s">
        <v>28</v>
      </c>
      <c r="D140" s="15" t="s">
        <v>28</v>
      </c>
      <c r="E140" s="24" t="s">
        <v>51</v>
      </c>
      <c r="F140" s="13">
        <v>750.0</v>
      </c>
      <c r="G140" s="15">
        <v>5010.0</v>
      </c>
      <c r="H140" s="15" t="s">
        <v>94</v>
      </c>
      <c r="I140" s="15" t="s">
        <v>94</v>
      </c>
      <c r="J140" s="15" t="s">
        <v>90</v>
      </c>
      <c r="K140" s="15"/>
      <c r="L140" s="15" t="s">
        <v>54</v>
      </c>
      <c r="M140" s="15" t="s">
        <v>1609</v>
      </c>
      <c r="N140" s="15"/>
    </row>
    <row r="141" ht="56.25" customHeight="1">
      <c r="A141" s="13" t="s">
        <v>2277</v>
      </c>
      <c r="B141" s="15" t="str">
        <f>IMAGE("https://imgur.com/u8BzgWe.png")</f>
        <v/>
      </c>
      <c r="C141" s="15" t="s">
        <v>28</v>
      </c>
      <c r="D141" s="15" t="s">
        <v>28</v>
      </c>
      <c r="E141" s="13">
        <v>1450.0</v>
      </c>
      <c r="F141" s="13">
        <v>362.0</v>
      </c>
      <c r="G141" s="15">
        <v>7184.0</v>
      </c>
      <c r="H141" s="15" t="s">
        <v>258</v>
      </c>
      <c r="I141" s="15" t="s">
        <v>258</v>
      </c>
      <c r="J141" s="15" t="s">
        <v>36</v>
      </c>
      <c r="K141" s="15" t="s">
        <v>113</v>
      </c>
      <c r="L141" s="15" t="s">
        <v>43</v>
      </c>
      <c r="M141" s="15" t="s">
        <v>44</v>
      </c>
      <c r="N141" s="15"/>
    </row>
    <row r="142" ht="56.25" customHeight="1">
      <c r="A142" s="13" t="s">
        <v>2279</v>
      </c>
      <c r="B142" s="15" t="str">
        <f>IMAGE("https://imgur.com/TJuYi4k.png")</f>
        <v/>
      </c>
      <c r="C142" s="15" t="s">
        <v>28</v>
      </c>
      <c r="D142" s="25" t="s">
        <v>28</v>
      </c>
      <c r="E142" s="13">
        <v>4000.0</v>
      </c>
      <c r="F142" s="13">
        <v>1000.0</v>
      </c>
      <c r="G142" s="15">
        <v>4950.0</v>
      </c>
      <c r="H142" s="15" t="s">
        <v>1608</v>
      </c>
      <c r="I142" s="15" t="s">
        <v>1608</v>
      </c>
      <c r="J142" s="15" t="s">
        <v>84</v>
      </c>
      <c r="K142" s="15"/>
      <c r="L142" s="15" t="s">
        <v>43</v>
      </c>
      <c r="M142" s="15" t="s">
        <v>44</v>
      </c>
      <c r="N142" s="15"/>
    </row>
    <row r="143" ht="56.25" customHeight="1">
      <c r="A143" s="13" t="s">
        <v>2280</v>
      </c>
      <c r="B143" s="15" t="str">
        <f>IMAGE("https://imgur.com/4nj7xWp.png")</f>
        <v/>
      </c>
      <c r="C143" s="15" t="s">
        <v>28</v>
      </c>
      <c r="D143" s="25" t="s">
        <v>28</v>
      </c>
      <c r="E143" s="24" t="s">
        <v>51</v>
      </c>
      <c r="F143" s="13">
        <v>750.0</v>
      </c>
      <c r="G143" s="15">
        <v>5008.0</v>
      </c>
      <c r="H143" s="15" t="s">
        <v>94</v>
      </c>
      <c r="I143" s="15" t="s">
        <v>118</v>
      </c>
      <c r="J143" s="15" t="s">
        <v>37</v>
      </c>
      <c r="K143" s="15" t="s">
        <v>90</v>
      </c>
      <c r="L143" s="15" t="s">
        <v>54</v>
      </c>
      <c r="M143" s="15" t="s">
        <v>1609</v>
      </c>
      <c r="N143" s="15"/>
    </row>
    <row r="144" ht="56.25" customHeight="1">
      <c r="A144" s="13" t="s">
        <v>2282</v>
      </c>
      <c r="B144" s="15" t="str">
        <f>IMAGE("https://imgur.com/S3nVB2I.png")</f>
        <v/>
      </c>
      <c r="C144" s="15" t="s">
        <v>28</v>
      </c>
      <c r="D144" s="15" t="s">
        <v>28</v>
      </c>
      <c r="E144" s="13">
        <v>1500.0</v>
      </c>
      <c r="F144" s="13">
        <v>375.0</v>
      </c>
      <c r="G144" s="15">
        <v>5001.0</v>
      </c>
      <c r="H144" s="15" t="s">
        <v>112</v>
      </c>
      <c r="I144" s="15" t="s">
        <v>112</v>
      </c>
      <c r="J144" s="15" t="s">
        <v>136</v>
      </c>
      <c r="K144" s="15" t="s">
        <v>60</v>
      </c>
      <c r="L144" s="15" t="s">
        <v>43</v>
      </c>
      <c r="M144" s="15" t="s">
        <v>44</v>
      </c>
      <c r="N144" s="15"/>
    </row>
    <row r="145" ht="56.25" customHeight="1">
      <c r="A145" s="13" t="s">
        <v>2284</v>
      </c>
      <c r="B145" s="15" t="str">
        <f>IMAGE("https://imgur.com/7FT4u6h.png")</f>
        <v/>
      </c>
      <c r="C145" s="15" t="s">
        <v>28</v>
      </c>
      <c r="D145" s="15" t="s">
        <v>28</v>
      </c>
      <c r="E145" s="13">
        <v>1500.0</v>
      </c>
      <c r="F145" s="13">
        <v>375.0</v>
      </c>
      <c r="G145" s="15">
        <v>5003.0</v>
      </c>
      <c r="H145" s="15" t="s">
        <v>464</v>
      </c>
      <c r="I145" s="15" t="s">
        <v>464</v>
      </c>
      <c r="J145" s="15" t="s">
        <v>136</v>
      </c>
      <c r="K145" s="15" t="s">
        <v>62</v>
      </c>
      <c r="L145" s="15" t="s">
        <v>43</v>
      </c>
      <c r="M145" s="15" t="s">
        <v>44</v>
      </c>
      <c r="N145" s="15"/>
    </row>
    <row r="146" ht="56.25" customHeight="1">
      <c r="A146" s="13" t="s">
        <v>2288</v>
      </c>
      <c r="B146" s="15" t="str">
        <f>IMAGE("https://imgur.com/9PsRvYI.png")</f>
        <v/>
      </c>
      <c r="C146" s="15" t="s">
        <v>28</v>
      </c>
      <c r="D146" s="15" t="s">
        <v>28</v>
      </c>
      <c r="E146" s="13">
        <v>1500.0</v>
      </c>
      <c r="F146" s="13">
        <v>375.0</v>
      </c>
      <c r="G146" s="15">
        <v>5000.0</v>
      </c>
      <c r="H146" s="15" t="s">
        <v>208</v>
      </c>
      <c r="I146" s="15" t="s">
        <v>208</v>
      </c>
      <c r="J146" s="15" t="s">
        <v>136</v>
      </c>
      <c r="K146" s="15" t="s">
        <v>62</v>
      </c>
      <c r="L146" s="15" t="s">
        <v>43</v>
      </c>
      <c r="M146" s="15" t="s">
        <v>44</v>
      </c>
      <c r="N146" s="15"/>
    </row>
    <row r="147" ht="56.25" customHeight="1">
      <c r="A147" s="13" t="s">
        <v>2291</v>
      </c>
      <c r="B147" s="15" t="str">
        <f>IMAGE("https://imgur.com/vnpGb0P.png")</f>
        <v/>
      </c>
      <c r="C147" s="15" t="s">
        <v>28</v>
      </c>
      <c r="D147" s="15" t="s">
        <v>28</v>
      </c>
      <c r="E147" s="13">
        <v>1500.0</v>
      </c>
      <c r="F147" s="13">
        <v>375.0</v>
      </c>
      <c r="G147" s="15">
        <v>5004.0</v>
      </c>
      <c r="H147" s="15" t="s">
        <v>82</v>
      </c>
      <c r="I147" s="15" t="s">
        <v>82</v>
      </c>
      <c r="J147" s="15" t="s">
        <v>60</v>
      </c>
      <c r="K147" s="15" t="s">
        <v>37</v>
      </c>
      <c r="L147" s="15" t="s">
        <v>43</v>
      </c>
      <c r="M147" s="15" t="s">
        <v>44</v>
      </c>
      <c r="N147" s="15"/>
    </row>
    <row r="148" ht="56.25" customHeight="1">
      <c r="A148" s="13" t="s">
        <v>2293</v>
      </c>
      <c r="B148" s="15" t="str">
        <f>IMAGE("https://imgur.com/DzMDlE7.png")</f>
        <v/>
      </c>
      <c r="C148" s="15" t="s">
        <v>28</v>
      </c>
      <c r="D148" s="25" t="s">
        <v>50</v>
      </c>
      <c r="E148" s="13" t="s">
        <v>51</v>
      </c>
      <c r="F148" s="13">
        <v>3200.0</v>
      </c>
      <c r="G148" s="15">
        <v>4989.0</v>
      </c>
      <c r="H148" s="15" t="s">
        <v>82</v>
      </c>
      <c r="I148" s="15" t="s">
        <v>82</v>
      </c>
      <c r="J148" s="15" t="s">
        <v>745</v>
      </c>
      <c r="K148" s="15"/>
      <c r="L148" s="15" t="s">
        <v>54</v>
      </c>
      <c r="M148" s="15" t="s">
        <v>55</v>
      </c>
      <c r="N148" s="15" t="s">
        <v>1057</v>
      </c>
    </row>
    <row r="149" ht="56.25" customHeight="1">
      <c r="A149" s="13" t="s">
        <v>2295</v>
      </c>
      <c r="B149" s="15" t="str">
        <f>IMAGE("https://imgur.com/Jixi6e9.png")</f>
        <v/>
      </c>
      <c r="C149" s="15" t="s">
        <v>28</v>
      </c>
      <c r="D149" s="15" t="s">
        <v>28</v>
      </c>
      <c r="E149" s="13">
        <v>3000.0</v>
      </c>
      <c r="F149" s="13">
        <v>750.0</v>
      </c>
      <c r="G149" s="15">
        <v>5248.0</v>
      </c>
      <c r="H149" s="15" t="s">
        <v>99</v>
      </c>
      <c r="I149" s="15" t="s">
        <v>99</v>
      </c>
      <c r="J149" s="15" t="s">
        <v>346</v>
      </c>
      <c r="K149" s="15" t="s">
        <v>113</v>
      </c>
      <c r="L149" s="15" t="s">
        <v>43</v>
      </c>
      <c r="M149" s="15" t="s">
        <v>44</v>
      </c>
      <c r="N149" s="15"/>
    </row>
    <row r="150" ht="56.25" customHeight="1">
      <c r="A150" s="13" t="s">
        <v>2296</v>
      </c>
      <c r="B150" s="15" t="str">
        <f>IMAGE("https://imgur.com/nmaQbsl.png")</f>
        <v/>
      </c>
      <c r="C150" s="15" t="s">
        <v>28</v>
      </c>
      <c r="D150" s="25" t="s">
        <v>28</v>
      </c>
      <c r="E150" s="13">
        <v>1380.0</v>
      </c>
      <c r="F150" s="13">
        <v>345.0</v>
      </c>
      <c r="G150" s="15">
        <v>5233.0</v>
      </c>
      <c r="H150" s="15" t="s">
        <v>94</v>
      </c>
      <c r="I150" s="15" t="s">
        <v>94</v>
      </c>
      <c r="J150" s="15" t="s">
        <v>90</v>
      </c>
      <c r="K150" s="15" t="s">
        <v>37</v>
      </c>
      <c r="L150" s="15" t="s">
        <v>43</v>
      </c>
      <c r="M150" s="15" t="s">
        <v>44</v>
      </c>
      <c r="N150" s="15"/>
    </row>
    <row r="151" ht="56.25" customHeight="1">
      <c r="A151" s="13" t="s">
        <v>2298</v>
      </c>
      <c r="B151" s="15" t="str">
        <f>IMAGE("https://imgur.com/JBJCNZz.png")</f>
        <v/>
      </c>
      <c r="C151" s="15" t="s">
        <v>28</v>
      </c>
      <c r="D151" s="25" t="s">
        <v>50</v>
      </c>
      <c r="E151" s="13" t="s">
        <v>51</v>
      </c>
      <c r="F151" s="13">
        <v>7720.0</v>
      </c>
      <c r="G151" s="15">
        <v>7239.0</v>
      </c>
      <c r="H151" s="15" t="s">
        <v>1608</v>
      </c>
      <c r="I151" s="15" t="s">
        <v>82</v>
      </c>
      <c r="J151" s="15" t="s">
        <v>84</v>
      </c>
      <c r="K151" s="15" t="s">
        <v>36</v>
      </c>
      <c r="L151" s="15" t="s">
        <v>54</v>
      </c>
      <c r="M151" s="15" t="s">
        <v>55</v>
      </c>
      <c r="N151" s="15" t="s">
        <v>1969</v>
      </c>
    </row>
    <row r="152" ht="56.25" customHeight="1">
      <c r="A152" s="13" t="s">
        <v>2299</v>
      </c>
      <c r="B152" s="15" t="str">
        <f>IMAGE("https://imgur.com/bNfcUQu.png")</f>
        <v/>
      </c>
      <c r="C152" s="15" t="s">
        <v>28</v>
      </c>
      <c r="D152" s="25" t="s">
        <v>50</v>
      </c>
      <c r="E152" s="13" t="s">
        <v>51</v>
      </c>
      <c r="F152" s="13">
        <v>5250.0</v>
      </c>
      <c r="G152" s="15">
        <v>4960.0</v>
      </c>
      <c r="H152" s="15" t="s">
        <v>94</v>
      </c>
      <c r="I152" s="15" t="s">
        <v>94</v>
      </c>
      <c r="J152" s="15" t="s">
        <v>243</v>
      </c>
      <c r="K152" s="15" t="s">
        <v>90</v>
      </c>
      <c r="L152" s="15" t="s">
        <v>54</v>
      </c>
      <c r="M152" s="15" t="s">
        <v>55</v>
      </c>
      <c r="N152" s="15"/>
    </row>
    <row r="153" ht="56.25" customHeight="1">
      <c r="A153" s="13" t="s">
        <v>2302</v>
      </c>
      <c r="B153" s="15" t="str">
        <f>IMAGE("https://imgur.com/fGAV5y1.png")</f>
        <v/>
      </c>
      <c r="C153" s="15" t="s">
        <v>28</v>
      </c>
      <c r="D153" s="25" t="s">
        <v>28</v>
      </c>
      <c r="E153" s="13">
        <v>3000.0</v>
      </c>
      <c r="F153" s="13">
        <v>750.0</v>
      </c>
      <c r="G153" s="15">
        <v>5069.0</v>
      </c>
      <c r="H153" s="15" t="s">
        <v>82</v>
      </c>
      <c r="I153" s="15" t="s">
        <v>82</v>
      </c>
      <c r="J153" s="15" t="s">
        <v>62</v>
      </c>
      <c r="K153" s="15" t="s">
        <v>90</v>
      </c>
      <c r="L153" s="15" t="s">
        <v>43</v>
      </c>
      <c r="M153" s="15" t="s">
        <v>44</v>
      </c>
      <c r="N153" s="15"/>
    </row>
    <row r="154" ht="56.25" customHeight="1">
      <c r="A154" s="13" t="s">
        <v>2304</v>
      </c>
      <c r="B154" s="15" t="str">
        <f>IMAGE("https://imgur.com/ISST7c8.png")</f>
        <v/>
      </c>
      <c r="C154" s="15" t="s">
        <v>28</v>
      </c>
      <c r="D154" s="25" t="s">
        <v>28</v>
      </c>
      <c r="E154" s="13">
        <v>1200.0</v>
      </c>
      <c r="F154" s="13">
        <v>300.0</v>
      </c>
      <c r="G154" s="15">
        <v>4963.0</v>
      </c>
      <c r="H154" s="15" t="s">
        <v>258</v>
      </c>
      <c r="I154" s="15" t="s">
        <v>94</v>
      </c>
      <c r="J154" s="15" t="s">
        <v>60</v>
      </c>
      <c r="K154" s="15" t="s">
        <v>113</v>
      </c>
      <c r="L154" s="15" t="s">
        <v>43</v>
      </c>
      <c r="M154" s="15" t="s">
        <v>44</v>
      </c>
      <c r="N154" s="15"/>
    </row>
    <row r="155" ht="56.25" customHeight="1">
      <c r="A155" s="13" t="s">
        <v>2306</v>
      </c>
      <c r="B155" s="15" t="str">
        <f>IMAGE("https://imgur.com/vdRbJRH.png")</f>
        <v/>
      </c>
      <c r="C155" s="15" t="s">
        <v>28</v>
      </c>
      <c r="D155" s="15" t="s">
        <v>28</v>
      </c>
      <c r="E155" s="24" t="s">
        <v>51</v>
      </c>
      <c r="F155" s="13">
        <v>750.0</v>
      </c>
      <c r="G155" s="15">
        <v>5013.0</v>
      </c>
      <c r="H155" s="15" t="s">
        <v>1608</v>
      </c>
      <c r="I155" s="15" t="s">
        <v>1608</v>
      </c>
      <c r="J155" s="15" t="s">
        <v>156</v>
      </c>
      <c r="K155" s="15" t="s">
        <v>161</v>
      </c>
      <c r="L155" s="15" t="s">
        <v>54</v>
      </c>
      <c r="M155" s="15" t="s">
        <v>1609</v>
      </c>
      <c r="N155" s="15"/>
    </row>
    <row r="156" ht="56.25" customHeight="1">
      <c r="A156" s="13" t="s">
        <v>2309</v>
      </c>
      <c r="B156" s="15" t="str">
        <f>IMAGE("https://imgur.com/RLfTstd.png")</f>
        <v/>
      </c>
      <c r="C156" s="15" t="s">
        <v>28</v>
      </c>
      <c r="D156" s="15" t="s">
        <v>28</v>
      </c>
      <c r="E156" s="24" t="s">
        <v>51</v>
      </c>
      <c r="F156" s="13">
        <v>750.0</v>
      </c>
      <c r="G156" s="15">
        <v>5238.0</v>
      </c>
      <c r="H156" s="15" t="s">
        <v>99</v>
      </c>
      <c r="I156" s="15" t="s">
        <v>94</v>
      </c>
      <c r="J156" s="15" t="s">
        <v>95</v>
      </c>
      <c r="K156" s="15" t="s">
        <v>346</v>
      </c>
      <c r="L156" s="15" t="s">
        <v>54</v>
      </c>
      <c r="M156" s="15" t="s">
        <v>1609</v>
      </c>
      <c r="N156" s="15"/>
    </row>
    <row r="157" ht="56.25" customHeight="1">
      <c r="A157" s="13" t="s">
        <v>2311</v>
      </c>
      <c r="B157" s="49" t="str">
        <f>IMAGE("https://imgur.com/Az66Rjw.png")</f>
        <v/>
      </c>
      <c r="C157" s="15" t="s">
        <v>28</v>
      </c>
      <c r="D157" s="25" t="s">
        <v>28</v>
      </c>
      <c r="E157" s="13">
        <v>2200.0</v>
      </c>
      <c r="F157" s="13">
        <v>550.0</v>
      </c>
      <c r="G157" s="15">
        <v>5039.0</v>
      </c>
      <c r="H157" s="15" t="s">
        <v>1608</v>
      </c>
      <c r="I157" s="15" t="s">
        <v>1608</v>
      </c>
      <c r="J157" s="15" t="s">
        <v>161</v>
      </c>
      <c r="K157" s="15" t="s">
        <v>60</v>
      </c>
      <c r="L157" s="15" t="s">
        <v>43</v>
      </c>
      <c r="M157" s="15" t="s">
        <v>44</v>
      </c>
      <c r="N157" s="15"/>
    </row>
    <row r="158" ht="56.25" customHeight="1">
      <c r="A158" s="13" t="s">
        <v>2314</v>
      </c>
      <c r="B158" s="15" t="str">
        <f>IMAGE("https://imgur.com/3UzcAR5.png")</f>
        <v/>
      </c>
      <c r="C158" s="15" t="s">
        <v>28</v>
      </c>
      <c r="D158" s="25" t="s">
        <v>28</v>
      </c>
      <c r="E158" s="13">
        <v>2200.0</v>
      </c>
      <c r="F158" s="13">
        <v>550.0</v>
      </c>
      <c r="G158" s="15">
        <v>5077.0</v>
      </c>
      <c r="H158" s="15" t="s">
        <v>369</v>
      </c>
      <c r="I158" s="15" t="s">
        <v>82</v>
      </c>
      <c r="J158" s="15" t="s">
        <v>161</v>
      </c>
      <c r="K158" s="15" t="s">
        <v>60</v>
      </c>
      <c r="L158" s="15" t="s">
        <v>43</v>
      </c>
      <c r="M158" s="15" t="s">
        <v>44</v>
      </c>
      <c r="N158" s="15"/>
    </row>
    <row r="159" ht="56.25" customHeight="1">
      <c r="A159" s="13" t="s">
        <v>2316</v>
      </c>
      <c r="B159" s="15" t="str">
        <f>IMAGE("https://imgur.com/zfAgu6Q.png")</f>
        <v/>
      </c>
      <c r="C159" s="15" t="s">
        <v>28</v>
      </c>
      <c r="D159" s="25" t="s">
        <v>28</v>
      </c>
      <c r="E159" s="13">
        <v>1800.0</v>
      </c>
      <c r="F159" s="13">
        <v>450.0</v>
      </c>
      <c r="G159" s="15">
        <v>4971.0</v>
      </c>
      <c r="H159" s="15" t="s">
        <v>521</v>
      </c>
      <c r="I159" s="15" t="s">
        <v>521</v>
      </c>
      <c r="J159" s="15" t="s">
        <v>90</v>
      </c>
      <c r="K159" s="15" t="s">
        <v>37</v>
      </c>
      <c r="L159" s="15" t="s">
        <v>43</v>
      </c>
      <c r="M159" s="15" t="s">
        <v>44</v>
      </c>
      <c r="N159" s="15"/>
    </row>
    <row r="160" ht="56.25" customHeight="1">
      <c r="A160" s="13" t="s">
        <v>2318</v>
      </c>
      <c r="B160" s="15" t="str">
        <f>IMAGE("https://imgur.com/gPU1Hdo.png")</f>
        <v/>
      </c>
      <c r="C160" s="15" t="s">
        <v>28</v>
      </c>
      <c r="D160" s="25" t="s">
        <v>28</v>
      </c>
      <c r="E160" s="13">
        <v>1300.0</v>
      </c>
      <c r="F160" s="13">
        <v>325.0</v>
      </c>
      <c r="G160" s="15">
        <v>6848.0</v>
      </c>
      <c r="H160" s="15" t="s">
        <v>99</v>
      </c>
      <c r="I160" s="15" t="s">
        <v>521</v>
      </c>
      <c r="J160" s="15" t="s">
        <v>212</v>
      </c>
      <c r="K160" s="15" t="s">
        <v>36</v>
      </c>
      <c r="L160" s="15" t="s">
        <v>43</v>
      </c>
      <c r="M160" s="15" t="s">
        <v>44</v>
      </c>
      <c r="N160" s="15"/>
    </row>
    <row r="161" ht="56.25" customHeight="1">
      <c r="A161" s="13" t="s">
        <v>2320</v>
      </c>
      <c r="B161" s="15" t="str">
        <f>IMAGE("https://imgur.com/RQUl6d8.png")</f>
        <v/>
      </c>
      <c r="C161" s="15" t="s">
        <v>28</v>
      </c>
      <c r="D161" s="15" t="s">
        <v>28</v>
      </c>
      <c r="E161" s="24" t="s">
        <v>51</v>
      </c>
      <c r="F161" s="13">
        <v>750.0</v>
      </c>
      <c r="G161" s="15">
        <v>5009.0</v>
      </c>
      <c r="H161" s="15" t="s">
        <v>1608</v>
      </c>
      <c r="I161" s="15" t="s">
        <v>118</v>
      </c>
      <c r="J161" s="15" t="s">
        <v>90</v>
      </c>
      <c r="K161" s="15"/>
      <c r="L161" s="15" t="s">
        <v>54</v>
      </c>
      <c r="M161" s="15" t="s">
        <v>1609</v>
      </c>
      <c r="N161" s="15"/>
    </row>
    <row r="162" ht="56.25" customHeight="1">
      <c r="A162" s="13" t="s">
        <v>2322</v>
      </c>
      <c r="B162" s="15" t="str">
        <f>IMAGE("https://imgur.com/5AGgadf.png")</f>
        <v/>
      </c>
      <c r="C162" s="15" t="s">
        <v>50</v>
      </c>
      <c r="D162" s="25" t="s">
        <v>50</v>
      </c>
      <c r="E162" s="13" t="s">
        <v>51</v>
      </c>
      <c r="F162" s="13">
        <v>6600.0</v>
      </c>
      <c r="G162" s="15">
        <v>5268.0</v>
      </c>
      <c r="H162" s="15" t="s">
        <v>112</v>
      </c>
      <c r="I162" s="15" t="s">
        <v>1614</v>
      </c>
      <c r="J162" s="15" t="s">
        <v>84</v>
      </c>
      <c r="K162" s="15"/>
      <c r="L162" s="15" t="s">
        <v>54</v>
      </c>
      <c r="M162" s="15" t="s">
        <v>55</v>
      </c>
      <c r="N162" s="15" t="s">
        <v>1969</v>
      </c>
    </row>
    <row r="163" ht="56.25" customHeight="1">
      <c r="A163" s="13" t="s">
        <v>2324</v>
      </c>
      <c r="B163" s="15" t="str">
        <f>IMAGE("https://imgur.com/6Bokl3O.png")</f>
        <v/>
      </c>
      <c r="C163" s="15" t="s">
        <v>50</v>
      </c>
      <c r="D163" s="25" t="s">
        <v>50</v>
      </c>
      <c r="E163" s="13" t="s">
        <v>51</v>
      </c>
      <c r="F163" s="13">
        <v>7200.0</v>
      </c>
      <c r="G163" s="15">
        <v>5030.0</v>
      </c>
      <c r="H163" s="15" t="s">
        <v>1614</v>
      </c>
      <c r="I163" s="15" t="s">
        <v>112</v>
      </c>
      <c r="J163" s="15" t="s">
        <v>84</v>
      </c>
      <c r="K163" s="15"/>
      <c r="L163" s="15" t="s">
        <v>54</v>
      </c>
      <c r="M163" s="15" t="s">
        <v>55</v>
      </c>
      <c r="N163" s="15" t="s">
        <v>1969</v>
      </c>
    </row>
    <row r="164" ht="56.25" customHeight="1">
      <c r="A164" s="13" t="s">
        <v>2326</v>
      </c>
      <c r="B164" s="15" t="str">
        <f>IMAGE("https://imgur.com/sYuHf7b.png")</f>
        <v/>
      </c>
      <c r="C164" s="15" t="s">
        <v>28</v>
      </c>
      <c r="D164" s="15" t="s">
        <v>28</v>
      </c>
      <c r="E164" s="24" t="s">
        <v>51</v>
      </c>
      <c r="F164" s="13">
        <v>750.0</v>
      </c>
      <c r="G164" s="15">
        <v>4984.0</v>
      </c>
      <c r="H164" s="15" t="s">
        <v>1608</v>
      </c>
      <c r="I164" s="15" t="s">
        <v>1608</v>
      </c>
      <c r="J164" s="15" t="s">
        <v>284</v>
      </c>
      <c r="K164" s="15" t="s">
        <v>346</v>
      </c>
      <c r="L164" s="15" t="s">
        <v>54</v>
      </c>
      <c r="M164" s="15" t="s">
        <v>1609</v>
      </c>
      <c r="N164" s="15"/>
    </row>
    <row r="165" ht="56.25" customHeight="1">
      <c r="A165" s="13" t="s">
        <v>2328</v>
      </c>
      <c r="B165" s="15" t="str">
        <f>IMAGE("https://imgur.com/DEB651I.png")</f>
        <v/>
      </c>
      <c r="C165" s="15" t="s">
        <v>28</v>
      </c>
      <c r="D165" s="25" t="s">
        <v>28</v>
      </c>
      <c r="E165" s="13">
        <v>1420.0</v>
      </c>
      <c r="F165" s="13">
        <v>355.0</v>
      </c>
      <c r="G165" s="15">
        <v>5042.0</v>
      </c>
      <c r="H165" s="15" t="s">
        <v>82</v>
      </c>
      <c r="I165" s="15" t="s">
        <v>82</v>
      </c>
      <c r="J165" s="15" t="s">
        <v>183</v>
      </c>
      <c r="K165" s="15" t="s">
        <v>90</v>
      </c>
      <c r="L165" s="15" t="s">
        <v>43</v>
      </c>
      <c r="M165" s="15" t="s">
        <v>44</v>
      </c>
      <c r="N165" s="15"/>
    </row>
    <row r="166" ht="56.25" customHeight="1">
      <c r="A166" s="13" t="s">
        <v>2330</v>
      </c>
      <c r="B166" s="15" t="str">
        <f>IMAGE("https://imgur.com/JaKekRm.png")</f>
        <v/>
      </c>
      <c r="C166" s="15" t="s">
        <v>28</v>
      </c>
      <c r="D166" s="15" t="s">
        <v>28</v>
      </c>
      <c r="E166" s="13">
        <v>2350.0</v>
      </c>
      <c r="F166" s="13">
        <v>587.0</v>
      </c>
      <c r="G166" s="15">
        <v>6843.0</v>
      </c>
      <c r="H166" s="15" t="s">
        <v>82</v>
      </c>
      <c r="I166" s="15" t="s">
        <v>82</v>
      </c>
      <c r="J166" s="15" t="s">
        <v>62</v>
      </c>
      <c r="K166" s="15" t="s">
        <v>60</v>
      </c>
      <c r="L166" s="15" t="s">
        <v>43</v>
      </c>
      <c r="M166" s="15" t="s">
        <v>44</v>
      </c>
      <c r="N166" s="15"/>
    </row>
    <row r="167" ht="56.25" customHeight="1">
      <c r="A167" s="13" t="s">
        <v>2332</v>
      </c>
      <c r="B167" s="15" t="str">
        <f>IMAGE("https://imgur.com/t8wbDOF.png")</f>
        <v/>
      </c>
      <c r="C167" s="15" t="s">
        <v>28</v>
      </c>
      <c r="D167" s="15" t="s">
        <v>28</v>
      </c>
      <c r="E167" s="13">
        <v>900.0</v>
      </c>
      <c r="F167" s="13">
        <v>225.0</v>
      </c>
      <c r="G167" s="15">
        <v>5020.0</v>
      </c>
      <c r="H167" s="15" t="s">
        <v>82</v>
      </c>
      <c r="I167" s="15" t="s">
        <v>82</v>
      </c>
      <c r="J167" s="15" t="s">
        <v>183</v>
      </c>
      <c r="K167" s="15" t="s">
        <v>90</v>
      </c>
      <c r="L167" s="15" t="s">
        <v>43</v>
      </c>
      <c r="M167" s="15" t="s">
        <v>44</v>
      </c>
      <c r="N167" s="15"/>
    </row>
    <row r="168" ht="56.25" customHeight="1">
      <c r="A168" s="13" t="s">
        <v>2335</v>
      </c>
      <c r="B168" s="15" t="str">
        <f>IMAGE("https://imgur.com/3S3BRsW.png")</f>
        <v/>
      </c>
      <c r="C168" s="15" t="s">
        <v>28</v>
      </c>
      <c r="D168" s="25" t="s">
        <v>28</v>
      </c>
      <c r="E168" s="13">
        <v>1040.0</v>
      </c>
      <c r="F168" s="13">
        <v>260.0</v>
      </c>
      <c r="G168" s="15">
        <v>4974.0</v>
      </c>
      <c r="H168" s="15" t="s">
        <v>82</v>
      </c>
      <c r="I168" s="15" t="s">
        <v>82</v>
      </c>
      <c r="J168" s="15" t="s">
        <v>90</v>
      </c>
      <c r="K168" s="15" t="s">
        <v>37</v>
      </c>
      <c r="L168" s="15" t="s">
        <v>43</v>
      </c>
      <c r="M168" s="15" t="s">
        <v>44</v>
      </c>
      <c r="N168" s="15"/>
    </row>
    <row r="169" ht="56.25" customHeight="1">
      <c r="A169" s="13" t="s">
        <v>2337</v>
      </c>
      <c r="B169" s="15" t="str">
        <f>IMAGE("https://imgur.com/qUm0nJb.png")</f>
        <v/>
      </c>
      <c r="C169" s="15" t="s">
        <v>28</v>
      </c>
      <c r="D169" s="25" t="s">
        <v>28</v>
      </c>
      <c r="E169" s="24" t="s">
        <v>51</v>
      </c>
      <c r="F169" s="13">
        <v>750.0</v>
      </c>
      <c r="G169" s="15">
        <v>5052.0</v>
      </c>
      <c r="H169" s="15" t="s">
        <v>82</v>
      </c>
      <c r="I169" s="15" t="s">
        <v>1608</v>
      </c>
      <c r="J169" s="15" t="s">
        <v>36</v>
      </c>
      <c r="K169" s="15"/>
      <c r="L169" s="15" t="s">
        <v>54</v>
      </c>
      <c r="M169" s="15" t="s">
        <v>1609</v>
      </c>
      <c r="N169" s="15"/>
    </row>
    <row r="170" ht="56.25" customHeight="1">
      <c r="A170" s="13" t="s">
        <v>2339</v>
      </c>
      <c r="B170" s="15" t="str">
        <f>IMAGE("https://imgur.com/uYCD7v8.png")</f>
        <v/>
      </c>
      <c r="C170" s="15" t="s">
        <v>28</v>
      </c>
      <c r="D170" s="15" t="s">
        <v>28</v>
      </c>
      <c r="E170" s="13">
        <v>1040.0</v>
      </c>
      <c r="F170" s="13">
        <v>260.0</v>
      </c>
      <c r="G170" s="15">
        <v>5060.0</v>
      </c>
      <c r="H170" s="15" t="s">
        <v>82</v>
      </c>
      <c r="I170" s="15" t="s">
        <v>82</v>
      </c>
      <c r="J170" s="15" t="s">
        <v>60</v>
      </c>
      <c r="K170" s="15" t="s">
        <v>113</v>
      </c>
      <c r="L170" s="15" t="s">
        <v>43</v>
      </c>
      <c r="M170" s="15" t="s">
        <v>44</v>
      </c>
      <c r="N170" s="15"/>
    </row>
    <row r="171" ht="56.25" customHeight="1">
      <c r="A171" s="13" t="s">
        <v>2340</v>
      </c>
      <c r="B171" s="15" t="str">
        <f>IMAGE("https://imgur.com/8tnE30R.png")</f>
        <v/>
      </c>
      <c r="C171" s="15" t="s">
        <v>28</v>
      </c>
      <c r="D171" s="15" t="s">
        <v>28</v>
      </c>
      <c r="E171" s="24" t="s">
        <v>51</v>
      </c>
      <c r="F171" s="13">
        <v>750.0</v>
      </c>
      <c r="G171" s="15">
        <v>5006.0</v>
      </c>
      <c r="H171" s="15" t="s">
        <v>369</v>
      </c>
      <c r="I171" s="15" t="s">
        <v>369</v>
      </c>
      <c r="J171" s="15" t="s">
        <v>95</v>
      </c>
      <c r="K171" s="15" t="s">
        <v>36</v>
      </c>
      <c r="L171" s="15" t="s">
        <v>54</v>
      </c>
      <c r="M171" s="15" t="s">
        <v>1609</v>
      </c>
      <c r="N171" s="15"/>
    </row>
    <row r="172" ht="56.25" customHeight="1">
      <c r="A172" s="13" t="s">
        <v>2344</v>
      </c>
      <c r="B172" s="15" t="str">
        <f>IMAGE("https://imgur.com/I8Kqk0f.png")</f>
        <v/>
      </c>
      <c r="C172" s="15" t="s">
        <v>28</v>
      </c>
      <c r="D172" s="15" t="s">
        <v>28</v>
      </c>
      <c r="E172" s="13">
        <v>780.0</v>
      </c>
      <c r="F172" s="13">
        <v>195.0</v>
      </c>
      <c r="G172" s="15">
        <v>5049.0</v>
      </c>
      <c r="H172" s="15" t="s">
        <v>118</v>
      </c>
      <c r="I172" s="15" t="s">
        <v>118</v>
      </c>
      <c r="J172" s="15" t="s">
        <v>60</v>
      </c>
      <c r="K172" s="15" t="s">
        <v>113</v>
      </c>
      <c r="L172" s="15" t="s">
        <v>43</v>
      </c>
      <c r="M172" s="15" t="s">
        <v>44</v>
      </c>
      <c r="N172" s="15"/>
    </row>
    <row r="173" ht="56.25" customHeight="1">
      <c r="A173" s="13" t="s">
        <v>2346</v>
      </c>
      <c r="B173" s="15" t="str">
        <f>IMAGE("https://imgur.com/3wOnOEy.png")</f>
        <v/>
      </c>
      <c r="C173" s="15" t="s">
        <v>28</v>
      </c>
      <c r="D173" s="25" t="s">
        <v>28</v>
      </c>
      <c r="E173" s="13">
        <v>1520.0</v>
      </c>
      <c r="F173" s="13">
        <v>380.0</v>
      </c>
      <c r="G173" s="15">
        <v>5073.0</v>
      </c>
      <c r="H173" s="15" t="s">
        <v>211</v>
      </c>
      <c r="I173" s="15" t="s">
        <v>211</v>
      </c>
      <c r="J173" s="15" t="s">
        <v>37</v>
      </c>
      <c r="K173" s="15" t="s">
        <v>60</v>
      </c>
      <c r="L173" s="15" t="s">
        <v>43</v>
      </c>
      <c r="M173" s="15" t="s">
        <v>44</v>
      </c>
      <c r="N173" s="15"/>
    </row>
    <row r="174" ht="56.25" customHeight="1">
      <c r="A174" s="13" t="s">
        <v>2348</v>
      </c>
      <c r="B174" s="15" t="str">
        <f>IMAGE("https://imgur.com/XP0hZKk.png")</f>
        <v/>
      </c>
      <c r="C174" s="15" t="s">
        <v>28</v>
      </c>
      <c r="D174" s="25" t="s">
        <v>28</v>
      </c>
      <c r="E174" s="13">
        <v>1300.0</v>
      </c>
      <c r="F174" s="13">
        <v>325.0</v>
      </c>
      <c r="G174" s="15">
        <v>4962.0</v>
      </c>
      <c r="H174" s="15" t="s">
        <v>99</v>
      </c>
      <c r="I174" s="15" t="s">
        <v>82</v>
      </c>
      <c r="J174" s="15" t="s">
        <v>212</v>
      </c>
      <c r="K174" s="15" t="s">
        <v>36</v>
      </c>
      <c r="L174" s="15" t="s">
        <v>43</v>
      </c>
      <c r="M174" s="15" t="s">
        <v>44</v>
      </c>
      <c r="N174" s="15"/>
    </row>
  </sheetData>
  <customSheetViews>
    <customSheetView guid="{11AB3FAE-053A-40A1-A322-CF1AF7514E6A}" filter="1" showAutoFilter="1">
      <autoFilter ref="$A$1:$G$174"/>
    </customSheetView>
  </customSheetView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4.71"/>
    <col customWidth="1" min="2" max="2" width="10.86"/>
    <col customWidth="1" min="3" max="3" width="4.14"/>
    <col customWidth="1" min="4" max="4" width="8.43"/>
    <col customWidth="1" min="5" max="5" width="6.14"/>
    <col customWidth="1" min="6" max="6" width="5.29"/>
    <col customWidth="1" min="7" max="7" width="10.57"/>
    <col customWidth="1" min="8" max="9" width="9.43"/>
    <col customWidth="1" min="10" max="11" width="16.0"/>
    <col customWidth="1" min="12" max="12" width="8.43"/>
    <col customWidth="1" min="13" max="13" width="10.57"/>
    <col customWidth="1" min="14" max="14" width="15.29"/>
    <col customWidth="1" min="15" max="15" width="20.57"/>
  </cols>
  <sheetData>
    <row r="1" ht="30.0" customHeight="1">
      <c r="A1" s="47" t="s">
        <v>0</v>
      </c>
      <c r="B1" s="3" t="s">
        <v>1</v>
      </c>
      <c r="C1" s="3" t="s">
        <v>4</v>
      </c>
      <c r="D1" s="3" t="s">
        <v>2111</v>
      </c>
      <c r="E1" s="1" t="s">
        <v>6</v>
      </c>
      <c r="F1" s="1" t="s">
        <v>7</v>
      </c>
      <c r="G1" s="7" t="s">
        <v>8</v>
      </c>
      <c r="H1" s="7" t="s">
        <v>1602</v>
      </c>
      <c r="I1" s="7" t="s">
        <v>1603</v>
      </c>
      <c r="J1" s="7" t="s">
        <v>9</v>
      </c>
      <c r="K1" s="7" t="s">
        <v>10</v>
      </c>
      <c r="L1" s="7" t="s">
        <v>12</v>
      </c>
      <c r="M1" s="7" t="s">
        <v>18</v>
      </c>
      <c r="N1" s="7" t="s">
        <v>19</v>
      </c>
      <c r="O1" s="7" t="s">
        <v>20</v>
      </c>
    </row>
    <row r="2" ht="56.25" customHeight="1">
      <c r="A2" s="13" t="s">
        <v>2113</v>
      </c>
      <c r="B2" s="48" t="str">
        <f>IMAGE("https://i.imgur.com/S3DyDKj.png")</f>
        <v/>
      </c>
      <c r="C2" s="25" t="s">
        <v>28</v>
      </c>
      <c r="D2" s="25" t="s">
        <v>50</v>
      </c>
      <c r="E2" s="13">
        <v>1500.0</v>
      </c>
      <c r="F2" s="13">
        <v>375.0</v>
      </c>
      <c r="G2" s="15">
        <v>7356.0</v>
      </c>
      <c r="H2" s="15" t="s">
        <v>94</v>
      </c>
      <c r="I2" s="15" t="s">
        <v>94</v>
      </c>
      <c r="J2" s="15" t="s">
        <v>95</v>
      </c>
      <c r="K2" s="15" t="s">
        <v>338</v>
      </c>
      <c r="L2" s="15" t="s">
        <v>2117</v>
      </c>
      <c r="M2" s="15" t="s">
        <v>43</v>
      </c>
      <c r="N2" s="15" t="s">
        <v>1609</v>
      </c>
      <c r="O2" s="19" t="s">
        <v>2118</v>
      </c>
    </row>
    <row r="3" ht="56.25" customHeight="1">
      <c r="A3" s="13" t="s">
        <v>2119</v>
      </c>
      <c r="B3" s="48" t="str">
        <f>IMAGE("https://i.imgur.com/FcUIFf1.png")</f>
        <v/>
      </c>
      <c r="C3" s="25" t="s">
        <v>50</v>
      </c>
      <c r="D3" s="25" t="s">
        <v>28</v>
      </c>
      <c r="E3" s="24" t="s">
        <v>51</v>
      </c>
      <c r="F3" s="13">
        <v>1200.0</v>
      </c>
      <c r="G3" s="15">
        <v>7327.0</v>
      </c>
      <c r="H3" s="15" t="s">
        <v>208</v>
      </c>
      <c r="I3" s="15" t="s">
        <v>208</v>
      </c>
      <c r="J3" s="15" t="s">
        <v>36</v>
      </c>
      <c r="K3" s="15" t="s">
        <v>113</v>
      </c>
      <c r="L3" s="15" t="s">
        <v>2121</v>
      </c>
      <c r="M3" s="15" t="s">
        <v>54</v>
      </c>
      <c r="N3" s="15" t="s">
        <v>55</v>
      </c>
      <c r="O3" s="19"/>
    </row>
    <row r="4" ht="56.25" customHeight="1">
      <c r="A4" s="13" t="s">
        <v>2122</v>
      </c>
      <c r="B4" s="48" t="str">
        <f>IMAGE("https://i.imgur.com/jLS78wp.png")</f>
        <v/>
      </c>
      <c r="C4" s="15" t="s">
        <v>28</v>
      </c>
      <c r="D4" s="15" t="s">
        <v>50</v>
      </c>
      <c r="E4" s="13">
        <v>1500.0</v>
      </c>
      <c r="F4" s="13">
        <v>375.0</v>
      </c>
      <c r="G4" s="15">
        <v>11104.0</v>
      </c>
      <c r="H4" s="15" t="s">
        <v>99</v>
      </c>
      <c r="I4" s="15" t="s">
        <v>94</v>
      </c>
      <c r="J4" s="15" t="s">
        <v>60</v>
      </c>
      <c r="K4" s="15"/>
      <c r="L4" s="15" t="s">
        <v>2121</v>
      </c>
      <c r="M4" s="15" t="s">
        <v>43</v>
      </c>
      <c r="N4" s="15" t="s">
        <v>1609</v>
      </c>
      <c r="O4" s="19" t="s">
        <v>2118</v>
      </c>
    </row>
    <row r="5" ht="56.25" customHeight="1">
      <c r="A5" s="13" t="s">
        <v>2124</v>
      </c>
      <c r="B5" s="48" t="str">
        <f>IMAGE("https://i.imgur.com/VL1iK6n.png")</f>
        <v/>
      </c>
      <c r="C5" s="25" t="s">
        <v>28</v>
      </c>
      <c r="D5" s="25" t="s">
        <v>50</v>
      </c>
      <c r="E5" s="13">
        <v>1500.0</v>
      </c>
      <c r="F5" s="13">
        <v>375.0</v>
      </c>
      <c r="G5" s="15">
        <v>7382.0</v>
      </c>
      <c r="H5" s="15" t="s">
        <v>99</v>
      </c>
      <c r="I5" s="15" t="s">
        <v>99</v>
      </c>
      <c r="J5" s="15" t="s">
        <v>338</v>
      </c>
      <c r="K5" s="15"/>
      <c r="L5" s="15" t="s">
        <v>2117</v>
      </c>
      <c r="M5" s="15" t="s">
        <v>43</v>
      </c>
      <c r="N5" s="15" t="s">
        <v>1609</v>
      </c>
      <c r="O5" s="19" t="s">
        <v>2118</v>
      </c>
    </row>
    <row r="6" ht="56.25" customHeight="1">
      <c r="A6" s="13" t="s">
        <v>2127</v>
      </c>
      <c r="B6" s="48" t="str">
        <f>IMAGE("https://i.imgur.com/TFvx2rz.png")</f>
        <v/>
      </c>
      <c r="C6" s="25" t="s">
        <v>28</v>
      </c>
      <c r="D6" s="25" t="s">
        <v>50</v>
      </c>
      <c r="E6" s="13">
        <v>1000.0</v>
      </c>
      <c r="F6" s="13">
        <v>250.0</v>
      </c>
      <c r="G6" s="15">
        <v>7594.0</v>
      </c>
      <c r="H6" s="15" t="s">
        <v>99</v>
      </c>
      <c r="I6" s="15" t="s">
        <v>521</v>
      </c>
      <c r="J6" s="15" t="s">
        <v>86</v>
      </c>
      <c r="K6" s="15"/>
      <c r="L6" s="15" t="s">
        <v>2128</v>
      </c>
      <c r="M6" s="15" t="s">
        <v>43</v>
      </c>
      <c r="N6" s="15" t="s">
        <v>1609</v>
      </c>
      <c r="O6" s="19" t="s">
        <v>2130</v>
      </c>
    </row>
    <row r="7" ht="56.25" customHeight="1">
      <c r="A7" s="13" t="s">
        <v>2131</v>
      </c>
      <c r="B7" s="48" t="str">
        <f>IMAGE("https://i.imgur.com/yFw1paw.png")</f>
        <v/>
      </c>
      <c r="C7" s="25" t="s">
        <v>28</v>
      </c>
      <c r="D7" s="25" t="s">
        <v>50</v>
      </c>
      <c r="E7" s="13">
        <v>2000.0</v>
      </c>
      <c r="F7" s="13">
        <v>500.0</v>
      </c>
      <c r="G7" s="15">
        <v>8467.0</v>
      </c>
      <c r="H7" s="15" t="s">
        <v>112</v>
      </c>
      <c r="I7" s="15" t="s">
        <v>369</v>
      </c>
      <c r="J7" s="15" t="s">
        <v>60</v>
      </c>
      <c r="K7" s="15" t="s">
        <v>62</v>
      </c>
      <c r="L7" s="15" t="s">
        <v>2133</v>
      </c>
      <c r="M7" s="15" t="s">
        <v>43</v>
      </c>
      <c r="N7" s="15" t="s">
        <v>1609</v>
      </c>
      <c r="O7" s="19" t="s">
        <v>2134</v>
      </c>
    </row>
    <row r="8" ht="56.25" customHeight="1">
      <c r="A8" s="13" t="s">
        <v>2135</v>
      </c>
      <c r="B8" s="48" t="str">
        <f>IMAGE("https://i.imgur.com/ePuo4PP.png")</f>
        <v/>
      </c>
      <c r="C8" s="25" t="s">
        <v>28</v>
      </c>
      <c r="D8" s="25" t="s">
        <v>50</v>
      </c>
      <c r="E8" s="13">
        <v>1500.0</v>
      </c>
      <c r="F8" s="13">
        <v>375.0</v>
      </c>
      <c r="G8" s="15">
        <v>11102.0</v>
      </c>
      <c r="H8" s="15" t="s">
        <v>112</v>
      </c>
      <c r="I8" s="15" t="s">
        <v>112</v>
      </c>
      <c r="J8" s="15" t="s">
        <v>60</v>
      </c>
      <c r="K8" s="15"/>
      <c r="L8" s="15" t="s">
        <v>2121</v>
      </c>
      <c r="M8" s="15" t="s">
        <v>43</v>
      </c>
      <c r="N8" s="15" t="s">
        <v>1609</v>
      </c>
      <c r="O8" s="19" t="s">
        <v>2118</v>
      </c>
    </row>
    <row r="9" ht="56.25" customHeight="1">
      <c r="A9" s="13" t="s">
        <v>2137</v>
      </c>
      <c r="B9" s="48" t="str">
        <f>IMAGE("https://i.imgur.com/yos3Xu8.png")</f>
        <v/>
      </c>
      <c r="C9" s="25" t="s">
        <v>28</v>
      </c>
      <c r="D9" s="25" t="s">
        <v>50</v>
      </c>
      <c r="E9" s="13">
        <v>2000.0</v>
      </c>
      <c r="F9" s="13">
        <v>500.0</v>
      </c>
      <c r="G9" s="15">
        <v>7467.0</v>
      </c>
      <c r="H9" s="15" t="s">
        <v>112</v>
      </c>
      <c r="I9" s="15" t="s">
        <v>112</v>
      </c>
      <c r="J9" s="15" t="s">
        <v>36</v>
      </c>
      <c r="K9" s="15" t="s">
        <v>113</v>
      </c>
      <c r="L9" s="15" t="s">
        <v>2133</v>
      </c>
      <c r="M9" s="15" t="s">
        <v>43</v>
      </c>
      <c r="N9" s="15" t="s">
        <v>1609</v>
      </c>
      <c r="O9" s="19" t="s">
        <v>2134</v>
      </c>
    </row>
    <row r="10" ht="56.25" customHeight="1">
      <c r="A10" s="13" t="s">
        <v>2139</v>
      </c>
      <c r="B10" s="48" t="str">
        <f>IMAGE("https://i.imgur.com/NzmLYCi.png")</f>
        <v/>
      </c>
      <c r="C10" s="25" t="s">
        <v>28</v>
      </c>
      <c r="D10" s="25" t="s">
        <v>50</v>
      </c>
      <c r="E10" s="13">
        <v>2000.0</v>
      </c>
      <c r="F10" s="13">
        <v>500.0</v>
      </c>
      <c r="G10" s="15">
        <v>9316.0</v>
      </c>
      <c r="H10" s="15" t="s">
        <v>112</v>
      </c>
      <c r="I10" s="15" t="s">
        <v>99</v>
      </c>
      <c r="J10" s="15" t="s">
        <v>60</v>
      </c>
      <c r="K10" s="15"/>
      <c r="L10" s="15" t="s">
        <v>2140</v>
      </c>
      <c r="M10" s="15" t="s">
        <v>43</v>
      </c>
      <c r="N10" s="15" t="s">
        <v>1609</v>
      </c>
      <c r="O10" s="19" t="s">
        <v>2134</v>
      </c>
    </row>
    <row r="11" ht="56.25" customHeight="1">
      <c r="A11" s="13" t="s">
        <v>2141</v>
      </c>
      <c r="B11" s="48" t="str">
        <f>IMAGE("https://imgur.com/SihZM4h.png")</f>
        <v/>
      </c>
      <c r="C11" s="25" t="s">
        <v>28</v>
      </c>
      <c r="D11" s="25" t="s">
        <v>50</v>
      </c>
      <c r="E11" s="13">
        <v>1000.0</v>
      </c>
      <c r="F11" s="13">
        <v>250.0</v>
      </c>
      <c r="G11" s="15">
        <v>8394.0</v>
      </c>
      <c r="H11" s="15" t="s">
        <v>112</v>
      </c>
      <c r="I11" s="15" t="s">
        <v>112</v>
      </c>
      <c r="J11" s="15" t="s">
        <v>86</v>
      </c>
      <c r="K11" s="15"/>
      <c r="L11" s="15" t="s">
        <v>2128</v>
      </c>
      <c r="M11" s="15" t="s">
        <v>43</v>
      </c>
      <c r="N11" s="15" t="s">
        <v>1609</v>
      </c>
      <c r="O11" s="19" t="s">
        <v>2130</v>
      </c>
    </row>
    <row r="12" ht="56.25" customHeight="1">
      <c r="A12" s="13" t="s">
        <v>2143</v>
      </c>
      <c r="B12" s="48" t="str">
        <f>IMAGE("https://i.imgur.com/KCZyAXM.png")</f>
        <v/>
      </c>
      <c r="C12" s="25" t="s">
        <v>28</v>
      </c>
      <c r="D12" s="25" t="s">
        <v>50</v>
      </c>
      <c r="E12" s="13">
        <v>1500.0</v>
      </c>
      <c r="F12" s="13">
        <v>375.0</v>
      </c>
      <c r="G12" s="15">
        <v>9546.0</v>
      </c>
      <c r="H12" s="15" t="s">
        <v>112</v>
      </c>
      <c r="I12" s="15" t="s">
        <v>112</v>
      </c>
      <c r="J12" s="15" t="s">
        <v>60</v>
      </c>
      <c r="K12" s="15" t="s">
        <v>113</v>
      </c>
      <c r="L12" s="15" t="s">
        <v>2121</v>
      </c>
      <c r="M12" s="15" t="s">
        <v>43</v>
      </c>
      <c r="N12" s="15" t="s">
        <v>1609</v>
      </c>
      <c r="O12" s="19" t="s">
        <v>2118</v>
      </c>
    </row>
    <row r="13" ht="56.25" customHeight="1">
      <c r="A13" s="13" t="s">
        <v>2145</v>
      </c>
      <c r="B13" s="48" t="str">
        <f>IMAGE("https://i.imgur.com/luCDDE1.png")</f>
        <v/>
      </c>
      <c r="C13" s="25" t="s">
        <v>28</v>
      </c>
      <c r="D13" s="25" t="s">
        <v>50</v>
      </c>
      <c r="E13" s="13">
        <v>1000.0</v>
      </c>
      <c r="F13" s="13">
        <v>250.0</v>
      </c>
      <c r="G13" s="15">
        <v>9310.0</v>
      </c>
      <c r="H13" s="15" t="s">
        <v>112</v>
      </c>
      <c r="I13" s="15" t="s">
        <v>112</v>
      </c>
      <c r="J13" s="15" t="s">
        <v>113</v>
      </c>
      <c r="K13" s="15"/>
      <c r="L13" s="15" t="s">
        <v>2128</v>
      </c>
      <c r="M13" s="15" t="s">
        <v>43</v>
      </c>
      <c r="N13" s="15" t="s">
        <v>1609</v>
      </c>
      <c r="O13" s="19" t="s">
        <v>2130</v>
      </c>
    </row>
    <row r="14" ht="56.25" customHeight="1">
      <c r="A14" s="13" t="s">
        <v>2147</v>
      </c>
      <c r="B14" s="48" t="str">
        <f>IMAGE("https://i.imgur.com/07DLkcL.png")</f>
        <v/>
      </c>
      <c r="C14" s="25" t="s">
        <v>28</v>
      </c>
      <c r="D14" s="25" t="s">
        <v>50</v>
      </c>
      <c r="E14" s="13">
        <v>2000.0</v>
      </c>
      <c r="F14" s="13">
        <v>500.0</v>
      </c>
      <c r="G14" s="15">
        <v>8035.0</v>
      </c>
      <c r="H14" s="15" t="s">
        <v>112</v>
      </c>
      <c r="I14" s="15" t="s">
        <v>1608</v>
      </c>
      <c r="J14" s="15" t="s">
        <v>62</v>
      </c>
      <c r="K14" s="15" t="s">
        <v>60</v>
      </c>
      <c r="L14" s="15" t="s">
        <v>2140</v>
      </c>
      <c r="M14" s="15" t="s">
        <v>43</v>
      </c>
      <c r="N14" s="15" t="s">
        <v>1609</v>
      </c>
      <c r="O14" s="19" t="s">
        <v>2134</v>
      </c>
    </row>
    <row r="15" ht="56.25" customHeight="1">
      <c r="A15" s="13" t="s">
        <v>2149</v>
      </c>
      <c r="B15" s="48" t="str">
        <f>IMAGE("https://i.imgur.com/GMTtrbP.png")</f>
        <v/>
      </c>
      <c r="C15" s="25" t="s">
        <v>28</v>
      </c>
      <c r="D15" s="25" t="s">
        <v>50</v>
      </c>
      <c r="E15" s="13">
        <v>2000.0</v>
      </c>
      <c r="F15" s="13">
        <v>500.0</v>
      </c>
      <c r="G15" s="15">
        <v>9564.0</v>
      </c>
      <c r="H15" s="15" t="s">
        <v>112</v>
      </c>
      <c r="I15" s="15" t="s">
        <v>112</v>
      </c>
      <c r="J15" s="15" t="s">
        <v>60</v>
      </c>
      <c r="K15" s="15"/>
      <c r="L15" s="15" t="s">
        <v>2140</v>
      </c>
      <c r="M15" s="15" t="s">
        <v>43</v>
      </c>
      <c r="N15" s="15" t="s">
        <v>1609</v>
      </c>
      <c r="O15" s="19" t="s">
        <v>2134</v>
      </c>
    </row>
    <row r="16" ht="56.25" customHeight="1">
      <c r="A16" s="13" t="s">
        <v>2151</v>
      </c>
      <c r="B16" s="48" t="str">
        <f>IMAGE("https://i.imgur.com/i9FkXQv.png")</f>
        <v/>
      </c>
      <c r="C16" s="25" t="s">
        <v>28</v>
      </c>
      <c r="D16" s="25" t="s">
        <v>50</v>
      </c>
      <c r="E16" s="13">
        <v>1000.0</v>
      </c>
      <c r="F16" s="13">
        <v>250.0</v>
      </c>
      <c r="G16" s="15">
        <v>9549.0</v>
      </c>
      <c r="H16" s="15" t="s">
        <v>112</v>
      </c>
      <c r="I16" s="15" t="s">
        <v>112</v>
      </c>
      <c r="J16" s="15" t="s">
        <v>60</v>
      </c>
      <c r="K16" s="15" t="s">
        <v>113</v>
      </c>
      <c r="L16" s="15" t="s">
        <v>2153</v>
      </c>
      <c r="M16" s="15" t="s">
        <v>43</v>
      </c>
      <c r="N16" s="15" t="s">
        <v>1609</v>
      </c>
      <c r="O16" s="19" t="s">
        <v>2130</v>
      </c>
    </row>
    <row r="17" ht="56.25" customHeight="1">
      <c r="A17" s="13" t="s">
        <v>2154</v>
      </c>
      <c r="B17" s="48" t="str">
        <f>IMAGE("https://i.imgur.com/uXoWUdy.png")</f>
        <v/>
      </c>
      <c r="C17" s="25" t="s">
        <v>28</v>
      </c>
      <c r="D17" s="25" t="s">
        <v>50</v>
      </c>
      <c r="E17" s="13">
        <v>2000.0</v>
      </c>
      <c r="F17" s="13">
        <v>500.0</v>
      </c>
      <c r="G17" s="15">
        <v>7533.0</v>
      </c>
      <c r="H17" s="15" t="s">
        <v>112</v>
      </c>
      <c r="I17" s="15" t="s">
        <v>82</v>
      </c>
      <c r="J17" s="15" t="s">
        <v>36</v>
      </c>
      <c r="K17" s="15" t="s">
        <v>113</v>
      </c>
      <c r="L17" s="15" t="s">
        <v>2133</v>
      </c>
      <c r="M17" s="15" t="s">
        <v>43</v>
      </c>
      <c r="N17" s="15" t="s">
        <v>1609</v>
      </c>
      <c r="O17" s="19" t="s">
        <v>2134</v>
      </c>
    </row>
    <row r="18" ht="56.25" customHeight="1">
      <c r="A18" s="13" t="s">
        <v>2156</v>
      </c>
      <c r="B18" s="48" t="str">
        <f>IMAGE("https://i.imgur.com/HR09yvM.png")</f>
        <v/>
      </c>
      <c r="C18" s="25" t="s">
        <v>28</v>
      </c>
      <c r="D18" s="25" t="s">
        <v>50</v>
      </c>
      <c r="E18" s="13">
        <v>1500.0</v>
      </c>
      <c r="F18" s="13">
        <v>375.0</v>
      </c>
      <c r="G18" s="15">
        <v>7404.0</v>
      </c>
      <c r="H18" s="15" t="s">
        <v>112</v>
      </c>
      <c r="I18" s="15" t="s">
        <v>258</v>
      </c>
      <c r="J18" s="15" t="s">
        <v>95</v>
      </c>
      <c r="K18" s="15"/>
      <c r="L18" s="15" t="s">
        <v>2117</v>
      </c>
      <c r="M18" s="15" t="s">
        <v>43</v>
      </c>
      <c r="N18" s="15" t="s">
        <v>1609</v>
      </c>
      <c r="O18" s="19" t="s">
        <v>2118</v>
      </c>
    </row>
    <row r="19" ht="56.25" customHeight="1">
      <c r="A19" s="13" t="s">
        <v>2158</v>
      </c>
      <c r="B19" s="48" t="str">
        <f>IMAGE("https://i.imgur.com/oiWQsdt.png")</f>
        <v/>
      </c>
      <c r="C19" s="15" t="s">
        <v>28</v>
      </c>
      <c r="D19" s="25" t="s">
        <v>50</v>
      </c>
      <c r="E19" s="13">
        <v>2000.0</v>
      </c>
      <c r="F19" s="13">
        <v>500.0</v>
      </c>
      <c r="G19" s="15">
        <v>7458.0</v>
      </c>
      <c r="H19" s="15" t="s">
        <v>112</v>
      </c>
      <c r="I19" s="15" t="s">
        <v>1614</v>
      </c>
      <c r="J19" s="15" t="s">
        <v>60</v>
      </c>
      <c r="K19" s="15" t="s">
        <v>113</v>
      </c>
      <c r="L19" s="15" t="s">
        <v>2133</v>
      </c>
      <c r="M19" s="15" t="s">
        <v>43</v>
      </c>
      <c r="N19" s="15" t="s">
        <v>1609</v>
      </c>
      <c r="O19" s="19" t="s">
        <v>2134</v>
      </c>
    </row>
    <row r="20" ht="56.25" customHeight="1">
      <c r="A20" s="13" t="s">
        <v>2161</v>
      </c>
      <c r="B20" s="48" t="str">
        <f>IMAGE("https://i.imgur.com/cX9tJyk.png")</f>
        <v/>
      </c>
      <c r="C20" s="25" t="s">
        <v>28</v>
      </c>
      <c r="D20" s="25" t="s">
        <v>50</v>
      </c>
      <c r="E20" s="13">
        <v>1000.0</v>
      </c>
      <c r="F20" s="13">
        <v>250.0</v>
      </c>
      <c r="G20" s="15">
        <v>7595.0</v>
      </c>
      <c r="H20" s="15" t="s">
        <v>112</v>
      </c>
      <c r="I20" s="15" t="s">
        <v>99</v>
      </c>
      <c r="J20" s="15" t="s">
        <v>86</v>
      </c>
      <c r="K20" s="15"/>
      <c r="L20" s="15" t="s">
        <v>2128</v>
      </c>
      <c r="M20" s="15" t="s">
        <v>43</v>
      </c>
      <c r="N20" s="15" t="s">
        <v>1609</v>
      </c>
      <c r="O20" s="19" t="s">
        <v>2130</v>
      </c>
    </row>
    <row r="21" ht="56.25" customHeight="1">
      <c r="A21" s="13" t="s">
        <v>2164</v>
      </c>
      <c r="B21" s="48" t="str">
        <f>IMAGE("https://i.imgur.com/J9cBvp2.png")</f>
        <v/>
      </c>
      <c r="C21" s="25" t="s">
        <v>28</v>
      </c>
      <c r="D21" s="25" t="s">
        <v>50</v>
      </c>
      <c r="E21" s="13">
        <v>2000.0</v>
      </c>
      <c r="F21" s="13">
        <v>500.0</v>
      </c>
      <c r="G21" s="15">
        <v>7353.0</v>
      </c>
      <c r="H21" s="15" t="s">
        <v>369</v>
      </c>
      <c r="I21" s="15" t="s">
        <v>369</v>
      </c>
      <c r="J21" s="15" t="s">
        <v>60</v>
      </c>
      <c r="K21" s="15"/>
      <c r="L21" s="15" t="s">
        <v>2133</v>
      </c>
      <c r="M21" s="15" t="s">
        <v>43</v>
      </c>
      <c r="N21" s="15" t="s">
        <v>1609</v>
      </c>
      <c r="O21" s="19" t="s">
        <v>2134</v>
      </c>
    </row>
    <row r="22" ht="56.25" customHeight="1">
      <c r="A22" s="13" t="s">
        <v>2166</v>
      </c>
      <c r="B22" s="48" t="str">
        <f>IMAGE("https://i.imgur.com/CnzzjjP.png")</f>
        <v/>
      </c>
      <c r="C22" s="25" t="s">
        <v>28</v>
      </c>
      <c r="D22" s="25" t="s">
        <v>50</v>
      </c>
      <c r="E22" s="13">
        <v>2000.0</v>
      </c>
      <c r="F22" s="13">
        <v>500.0</v>
      </c>
      <c r="G22" s="15">
        <v>8468.0</v>
      </c>
      <c r="H22" s="15" t="s">
        <v>118</v>
      </c>
      <c r="I22" s="15" t="s">
        <v>211</v>
      </c>
      <c r="J22" s="15" t="s">
        <v>60</v>
      </c>
      <c r="K22" s="15" t="s">
        <v>62</v>
      </c>
      <c r="L22" s="15" t="s">
        <v>2133</v>
      </c>
      <c r="M22" s="15" t="s">
        <v>43</v>
      </c>
      <c r="N22" s="15" t="s">
        <v>1609</v>
      </c>
      <c r="O22" s="19" t="s">
        <v>2134</v>
      </c>
    </row>
    <row r="23" ht="56.25" customHeight="1">
      <c r="A23" s="13" t="s">
        <v>2168</v>
      </c>
      <c r="B23" s="48" t="str">
        <f>IMAGE("https://i.imgur.com/Fy7U7Iy.png")</f>
        <v/>
      </c>
      <c r="C23" s="25" t="s">
        <v>28</v>
      </c>
      <c r="D23" s="25" t="s">
        <v>50</v>
      </c>
      <c r="E23" s="13">
        <v>1000.0</v>
      </c>
      <c r="F23" s="13">
        <v>250.0</v>
      </c>
      <c r="G23" s="15">
        <v>7341.0</v>
      </c>
      <c r="H23" s="15" t="s">
        <v>118</v>
      </c>
      <c r="I23" s="15" t="s">
        <v>118</v>
      </c>
      <c r="J23" s="15" t="s">
        <v>86</v>
      </c>
      <c r="K23" s="15"/>
      <c r="L23" s="15" t="s">
        <v>2128</v>
      </c>
      <c r="M23" s="15" t="s">
        <v>43</v>
      </c>
      <c r="N23" s="15" t="s">
        <v>1609</v>
      </c>
      <c r="O23" s="19" t="s">
        <v>2130</v>
      </c>
    </row>
    <row r="24" ht="56.25" customHeight="1">
      <c r="A24" s="13" t="s">
        <v>2170</v>
      </c>
      <c r="B24" s="48" t="str">
        <f>IMAGE("https://i.imgur.com/BSlEVWp.png")</f>
        <v/>
      </c>
      <c r="C24" s="25" t="s">
        <v>28</v>
      </c>
      <c r="D24" s="25" t="s">
        <v>50</v>
      </c>
      <c r="E24" s="13">
        <v>2000.0</v>
      </c>
      <c r="F24" s="13">
        <v>500.0</v>
      </c>
      <c r="G24" s="15">
        <v>9563.0</v>
      </c>
      <c r="H24" s="15" t="s">
        <v>118</v>
      </c>
      <c r="I24" s="15" t="s">
        <v>118</v>
      </c>
      <c r="J24" s="15" t="s">
        <v>60</v>
      </c>
      <c r="K24" s="15"/>
      <c r="L24" s="15" t="s">
        <v>2140</v>
      </c>
      <c r="M24" s="15" t="s">
        <v>43</v>
      </c>
      <c r="N24" s="15" t="s">
        <v>1609</v>
      </c>
      <c r="O24" s="19" t="s">
        <v>2134</v>
      </c>
    </row>
    <row r="25" ht="56.25" customHeight="1">
      <c r="A25" s="13" t="s">
        <v>2172</v>
      </c>
      <c r="B25" s="48" t="str">
        <f>IMAGE("https://i.imgur.com/IbzNpMv.png")</f>
        <v/>
      </c>
      <c r="C25" s="25" t="s">
        <v>28</v>
      </c>
      <c r="D25" s="25" t="s">
        <v>50</v>
      </c>
      <c r="E25" s="13">
        <v>1500.0</v>
      </c>
      <c r="F25" s="13">
        <v>375.0</v>
      </c>
      <c r="G25" s="15">
        <v>7323.0</v>
      </c>
      <c r="H25" s="15" t="s">
        <v>118</v>
      </c>
      <c r="I25" s="15" t="s">
        <v>118</v>
      </c>
      <c r="J25" s="15" t="s">
        <v>338</v>
      </c>
      <c r="K25" s="15"/>
      <c r="L25" s="15" t="s">
        <v>2117</v>
      </c>
      <c r="M25" s="15" t="s">
        <v>43</v>
      </c>
      <c r="N25" s="15" t="s">
        <v>1609</v>
      </c>
      <c r="O25" s="19" t="s">
        <v>2118</v>
      </c>
    </row>
    <row r="26" ht="56.25" customHeight="1">
      <c r="A26" s="13" t="s">
        <v>2174</v>
      </c>
      <c r="B26" s="48" t="str">
        <f>IMAGE("https://i.imgur.com/BsbhvUh.png")</f>
        <v/>
      </c>
      <c r="C26" s="25" t="s">
        <v>50</v>
      </c>
      <c r="D26" s="15" t="s">
        <v>28</v>
      </c>
      <c r="E26" s="24" t="s">
        <v>51</v>
      </c>
      <c r="F26" s="24">
        <v>2400.0</v>
      </c>
      <c r="G26" s="15"/>
      <c r="H26" s="15"/>
      <c r="I26" s="15"/>
      <c r="J26" s="15"/>
      <c r="K26" s="15"/>
      <c r="L26" s="15"/>
      <c r="M26" s="15" t="s">
        <v>54</v>
      </c>
      <c r="N26" s="25" t="s">
        <v>55</v>
      </c>
      <c r="O26" s="19"/>
    </row>
    <row r="27" ht="56.25" customHeight="1">
      <c r="A27" s="13" t="s">
        <v>2175</v>
      </c>
      <c r="B27" s="48" t="str">
        <f>IMAGE("https://i.imgur.com/xpyPPfH.png")</f>
        <v/>
      </c>
      <c r="C27" s="25" t="s">
        <v>50</v>
      </c>
      <c r="D27" s="25" t="s">
        <v>28</v>
      </c>
      <c r="E27" s="24" t="s">
        <v>51</v>
      </c>
      <c r="F27" s="13">
        <v>1200.0</v>
      </c>
      <c r="G27" s="15">
        <v>7328.0</v>
      </c>
      <c r="H27" s="15" t="s">
        <v>208</v>
      </c>
      <c r="I27" s="15" t="s">
        <v>208</v>
      </c>
      <c r="J27" s="15" t="s">
        <v>36</v>
      </c>
      <c r="K27" s="15" t="s">
        <v>113</v>
      </c>
      <c r="L27" s="15" t="s">
        <v>2121</v>
      </c>
      <c r="M27" s="15" t="s">
        <v>54</v>
      </c>
      <c r="N27" s="15" t="s">
        <v>55</v>
      </c>
      <c r="O27" s="19"/>
    </row>
    <row r="28" ht="56.25" customHeight="1">
      <c r="A28" s="13" t="s">
        <v>2177</v>
      </c>
      <c r="B28" s="48" t="str">
        <f>IMAGE("https://i.imgur.com/dEHL6Jw.png")</f>
        <v/>
      </c>
      <c r="C28" s="25" t="s">
        <v>28</v>
      </c>
      <c r="D28" s="25" t="s">
        <v>50</v>
      </c>
      <c r="E28" s="13">
        <v>1500.0</v>
      </c>
      <c r="F28" s="13">
        <v>375.0</v>
      </c>
      <c r="G28" s="15">
        <v>7359.0</v>
      </c>
      <c r="H28" s="15" t="s">
        <v>258</v>
      </c>
      <c r="I28" s="15" t="s">
        <v>258</v>
      </c>
      <c r="J28" s="15" t="s">
        <v>95</v>
      </c>
      <c r="K28" s="15"/>
      <c r="L28" s="15" t="s">
        <v>2117</v>
      </c>
      <c r="M28" s="15" t="s">
        <v>43</v>
      </c>
      <c r="N28" s="15" t="s">
        <v>1609</v>
      </c>
      <c r="O28" s="19" t="s">
        <v>2118</v>
      </c>
    </row>
    <row r="29" ht="56.25" customHeight="1">
      <c r="A29" s="13" t="s">
        <v>2179</v>
      </c>
      <c r="B29" s="48" t="str">
        <f>IMAGE("https://i.imgur.com/kmi1pZ8.png")</f>
        <v/>
      </c>
      <c r="C29" s="25" t="s">
        <v>50</v>
      </c>
      <c r="D29" s="25" t="s">
        <v>28</v>
      </c>
      <c r="E29" s="24" t="s">
        <v>51</v>
      </c>
      <c r="F29" s="13">
        <v>960.0</v>
      </c>
      <c r="G29" s="15">
        <v>11114.0</v>
      </c>
      <c r="H29" s="15" t="s">
        <v>118</v>
      </c>
      <c r="I29" s="15" t="s">
        <v>118</v>
      </c>
      <c r="J29" s="15" t="s">
        <v>161</v>
      </c>
      <c r="K29" s="15"/>
      <c r="L29" s="15" t="s">
        <v>2117</v>
      </c>
      <c r="M29" s="15" t="s">
        <v>54</v>
      </c>
      <c r="N29" s="15" t="s">
        <v>55</v>
      </c>
      <c r="O29" s="19"/>
    </row>
    <row r="30" ht="56.25" customHeight="1">
      <c r="A30" s="13" t="s">
        <v>2181</v>
      </c>
      <c r="B30" s="48" t="str">
        <f>IMAGE("https://i.imgur.com/Sk1dCV2.png")</f>
        <v/>
      </c>
      <c r="C30" s="25" t="s">
        <v>28</v>
      </c>
      <c r="D30" s="25" t="s">
        <v>50</v>
      </c>
      <c r="E30" s="13">
        <v>1500.0</v>
      </c>
      <c r="F30" s="13">
        <v>375.0</v>
      </c>
      <c r="G30" s="15">
        <v>7357.0</v>
      </c>
      <c r="H30" s="15" t="s">
        <v>112</v>
      </c>
      <c r="I30" s="15" t="s">
        <v>82</v>
      </c>
      <c r="J30" s="15" t="s">
        <v>269</v>
      </c>
      <c r="K30" s="15" t="s">
        <v>113</v>
      </c>
      <c r="L30" s="15" t="s">
        <v>2121</v>
      </c>
      <c r="M30" s="15" t="s">
        <v>43</v>
      </c>
      <c r="N30" s="15" t="s">
        <v>1609</v>
      </c>
      <c r="O30" s="19" t="s">
        <v>2118</v>
      </c>
    </row>
    <row r="31" ht="56.25" customHeight="1">
      <c r="A31" s="13" t="s">
        <v>2183</v>
      </c>
      <c r="B31" s="48" t="str">
        <f>IMAGE("https://i.imgur.com/Nfcwklr.png")</f>
        <v/>
      </c>
      <c r="C31" s="25" t="s">
        <v>28</v>
      </c>
      <c r="D31" s="25" t="s">
        <v>28</v>
      </c>
      <c r="E31" s="24" t="s">
        <v>51</v>
      </c>
      <c r="F31" s="13">
        <v>375.0</v>
      </c>
      <c r="G31" s="15">
        <v>7361.0</v>
      </c>
      <c r="H31" s="15" t="s">
        <v>1614</v>
      </c>
      <c r="I31" s="15" t="s">
        <v>1614</v>
      </c>
      <c r="J31" s="15" t="s">
        <v>84</v>
      </c>
      <c r="K31" s="15" t="s">
        <v>113</v>
      </c>
      <c r="L31" s="15" t="s">
        <v>2121</v>
      </c>
      <c r="M31" s="15" t="s">
        <v>54</v>
      </c>
      <c r="N31" s="15" t="s">
        <v>85</v>
      </c>
      <c r="O31" s="19"/>
    </row>
    <row r="32" ht="56.25" customHeight="1">
      <c r="A32" s="13" t="s">
        <v>2187</v>
      </c>
      <c r="B32" s="48" t="str">
        <f>IMAGE("https://i.imgur.com/g9q2WJl.png")</f>
        <v/>
      </c>
      <c r="C32" s="25" t="s">
        <v>28</v>
      </c>
      <c r="D32" s="15" t="s">
        <v>50</v>
      </c>
      <c r="E32" s="13">
        <v>1500.0</v>
      </c>
      <c r="F32" s="13">
        <v>375.0</v>
      </c>
      <c r="G32" s="15">
        <v>7329.0</v>
      </c>
      <c r="H32" s="15" t="s">
        <v>82</v>
      </c>
      <c r="I32" s="15" t="s">
        <v>82</v>
      </c>
      <c r="J32" s="15" t="s">
        <v>36</v>
      </c>
      <c r="K32" s="15" t="s">
        <v>113</v>
      </c>
      <c r="L32" s="15" t="s">
        <v>2121</v>
      </c>
      <c r="M32" s="15" t="s">
        <v>43</v>
      </c>
      <c r="N32" s="15" t="s">
        <v>1609</v>
      </c>
      <c r="O32" s="19" t="s">
        <v>2118</v>
      </c>
    </row>
    <row r="33" ht="56.25" customHeight="1">
      <c r="A33" s="13" t="s">
        <v>2190</v>
      </c>
      <c r="B33" s="48" t="str">
        <f>IMAGE("https://i.imgur.com/O7I91m2.png")</f>
        <v/>
      </c>
      <c r="C33" s="25" t="s">
        <v>28</v>
      </c>
      <c r="D33" s="25" t="s">
        <v>50</v>
      </c>
      <c r="E33" s="13">
        <v>1500.0</v>
      </c>
      <c r="F33" s="13">
        <v>375.0</v>
      </c>
      <c r="G33" s="15">
        <v>7366.0</v>
      </c>
      <c r="H33" s="15" t="s">
        <v>464</v>
      </c>
      <c r="I33" s="15" t="s">
        <v>82</v>
      </c>
      <c r="J33" s="15" t="s">
        <v>36</v>
      </c>
      <c r="K33" s="15" t="s">
        <v>113</v>
      </c>
      <c r="L33" s="15" t="s">
        <v>2121</v>
      </c>
      <c r="M33" s="15" t="s">
        <v>43</v>
      </c>
      <c r="N33" s="15" t="s">
        <v>1609</v>
      </c>
      <c r="O33" s="19" t="s">
        <v>2118</v>
      </c>
    </row>
    <row r="34" ht="56.25" customHeight="1">
      <c r="A34" s="13" t="s">
        <v>2192</v>
      </c>
      <c r="B34" s="48" t="str">
        <f>IMAGE("https://i.imgur.com/LWIROyH.png")</f>
        <v/>
      </c>
      <c r="C34" s="25" t="s">
        <v>28</v>
      </c>
      <c r="D34" s="25" t="s">
        <v>50</v>
      </c>
      <c r="E34" s="13">
        <v>2000.0</v>
      </c>
      <c r="F34" s="13">
        <v>500.0</v>
      </c>
      <c r="G34" s="15">
        <v>7464.0</v>
      </c>
      <c r="H34" s="15" t="s">
        <v>369</v>
      </c>
      <c r="I34" s="15" t="s">
        <v>464</v>
      </c>
      <c r="J34" s="15" t="s">
        <v>60</v>
      </c>
      <c r="K34" s="15" t="s">
        <v>113</v>
      </c>
      <c r="L34" s="15" t="s">
        <v>2194</v>
      </c>
      <c r="M34" s="15" t="s">
        <v>43</v>
      </c>
      <c r="N34" s="15" t="s">
        <v>1609</v>
      </c>
      <c r="O34" s="19" t="s">
        <v>2134</v>
      </c>
    </row>
    <row r="35" ht="56.25" customHeight="1">
      <c r="A35" s="13" t="s">
        <v>2195</v>
      </c>
      <c r="B35" s="48" t="str">
        <f>IMAGE("https://i.imgur.com/dZQesmN.png")</f>
        <v/>
      </c>
      <c r="C35" s="25" t="s">
        <v>28</v>
      </c>
      <c r="D35" s="25" t="s">
        <v>50</v>
      </c>
      <c r="E35" s="13">
        <v>2000.0</v>
      </c>
      <c r="F35" s="13">
        <v>500.0</v>
      </c>
      <c r="G35" s="15">
        <v>9314.0</v>
      </c>
      <c r="H35" s="15" t="s">
        <v>369</v>
      </c>
      <c r="I35" s="15" t="s">
        <v>369</v>
      </c>
      <c r="J35" s="15" t="s">
        <v>60</v>
      </c>
      <c r="K35" s="15"/>
      <c r="L35" s="15" t="s">
        <v>2140</v>
      </c>
      <c r="M35" s="15" t="s">
        <v>43</v>
      </c>
      <c r="N35" s="15" t="s">
        <v>1609</v>
      </c>
      <c r="O35" s="19" t="s">
        <v>2134</v>
      </c>
    </row>
    <row r="36" ht="56.25" customHeight="1">
      <c r="A36" s="13" t="s">
        <v>2197</v>
      </c>
      <c r="B36" s="48" t="str">
        <f>IMAGE("https://i.imgur.com/1NHGnRF.png")</f>
        <v/>
      </c>
      <c r="C36" s="25" t="s">
        <v>28</v>
      </c>
      <c r="D36" s="25" t="s">
        <v>50</v>
      </c>
      <c r="E36" s="13">
        <v>1000.0</v>
      </c>
      <c r="F36" s="13">
        <v>250.0</v>
      </c>
      <c r="G36" s="15">
        <v>8393.0</v>
      </c>
      <c r="H36" s="15" t="s">
        <v>369</v>
      </c>
      <c r="I36" s="15" t="s">
        <v>369</v>
      </c>
      <c r="J36" s="15" t="s">
        <v>86</v>
      </c>
      <c r="K36" s="15"/>
      <c r="L36" s="15" t="s">
        <v>2128</v>
      </c>
      <c r="M36" s="15" t="s">
        <v>43</v>
      </c>
      <c r="N36" s="15" t="s">
        <v>1609</v>
      </c>
      <c r="O36" s="19" t="s">
        <v>2130</v>
      </c>
    </row>
    <row r="37" ht="56.25" customHeight="1">
      <c r="A37" s="13" t="s">
        <v>2200</v>
      </c>
      <c r="B37" s="48" t="str">
        <f>IMAGE("https://imgur.com/QbzBgMM.png")</f>
        <v/>
      </c>
      <c r="C37" s="25" t="s">
        <v>28</v>
      </c>
      <c r="D37" s="25" t="s">
        <v>50</v>
      </c>
      <c r="E37" s="13">
        <v>2000.0</v>
      </c>
      <c r="F37" s="13">
        <v>500.0</v>
      </c>
      <c r="G37" s="15">
        <v>7354.0</v>
      </c>
      <c r="H37" s="15" t="s">
        <v>369</v>
      </c>
      <c r="I37" s="15" t="s">
        <v>369</v>
      </c>
      <c r="J37" s="15" t="s">
        <v>60</v>
      </c>
      <c r="K37" s="15"/>
      <c r="L37" s="15" t="s">
        <v>2140</v>
      </c>
      <c r="M37" s="15" t="s">
        <v>43</v>
      </c>
      <c r="N37" s="15" t="s">
        <v>1609</v>
      </c>
      <c r="O37" s="19" t="s">
        <v>2134</v>
      </c>
    </row>
    <row r="38" ht="56.25" customHeight="1">
      <c r="A38" s="13" t="s">
        <v>2203</v>
      </c>
      <c r="B38" s="48" t="str">
        <f>IMAGE("https://i.imgur.com/ridfp3B.png")</f>
        <v/>
      </c>
      <c r="C38" s="25" t="s">
        <v>28</v>
      </c>
      <c r="D38" s="25" t="s">
        <v>50</v>
      </c>
      <c r="E38" s="13">
        <v>2000.0</v>
      </c>
      <c r="F38" s="13">
        <v>500.0</v>
      </c>
      <c r="G38" s="15">
        <v>7534.0</v>
      </c>
      <c r="H38" s="15" t="s">
        <v>369</v>
      </c>
      <c r="I38" s="15" t="s">
        <v>82</v>
      </c>
      <c r="J38" s="15" t="s">
        <v>36</v>
      </c>
      <c r="K38" s="15" t="s">
        <v>113</v>
      </c>
      <c r="L38" s="15" t="s">
        <v>2133</v>
      </c>
      <c r="M38" s="15" t="s">
        <v>43</v>
      </c>
      <c r="N38" s="15" t="s">
        <v>1609</v>
      </c>
      <c r="O38" s="19" t="s">
        <v>2134</v>
      </c>
    </row>
    <row r="39" ht="56.25" customHeight="1">
      <c r="A39" s="13" t="s">
        <v>2205</v>
      </c>
      <c r="B39" s="48" t="str">
        <f>IMAGE("https://i.imgur.com/9n2zIQK.png")</f>
        <v/>
      </c>
      <c r="C39" s="25" t="s">
        <v>28</v>
      </c>
      <c r="D39" s="25" t="s">
        <v>50</v>
      </c>
      <c r="E39" s="13">
        <v>1000.0</v>
      </c>
      <c r="F39" s="13">
        <v>250.0</v>
      </c>
      <c r="G39" s="15">
        <v>7337.0</v>
      </c>
      <c r="H39" s="15" t="s">
        <v>99</v>
      </c>
      <c r="I39" s="15" t="s">
        <v>99</v>
      </c>
      <c r="J39" s="15" t="s">
        <v>37</v>
      </c>
      <c r="K39" s="15" t="s">
        <v>62</v>
      </c>
      <c r="L39" s="15" t="s">
        <v>2128</v>
      </c>
      <c r="M39" s="15" t="s">
        <v>43</v>
      </c>
      <c r="N39" s="15" t="s">
        <v>1609</v>
      </c>
      <c r="O39" s="19" t="s">
        <v>2130</v>
      </c>
    </row>
    <row r="40" ht="56.25" customHeight="1">
      <c r="A40" s="13" t="s">
        <v>2208</v>
      </c>
      <c r="B40" s="48" t="str">
        <f>IMAGE("https://i.imgur.com/Q1XXDlQ.png")</f>
        <v/>
      </c>
      <c r="C40" s="25" t="s">
        <v>28</v>
      </c>
      <c r="D40" s="25" t="s">
        <v>50</v>
      </c>
      <c r="E40" s="13">
        <v>1500.0</v>
      </c>
      <c r="F40" s="13">
        <v>375.0</v>
      </c>
      <c r="G40" s="15">
        <v>7325.0</v>
      </c>
      <c r="H40" s="15" t="s">
        <v>1608</v>
      </c>
      <c r="I40" s="15" t="s">
        <v>82</v>
      </c>
      <c r="J40" s="15" t="s">
        <v>60</v>
      </c>
      <c r="K40" s="15" t="s">
        <v>113</v>
      </c>
      <c r="L40" s="15" t="s">
        <v>2121</v>
      </c>
      <c r="M40" s="15" t="s">
        <v>43</v>
      </c>
      <c r="N40" s="15" t="s">
        <v>1609</v>
      </c>
      <c r="O40" s="19" t="s">
        <v>2118</v>
      </c>
    </row>
    <row r="41" ht="56.25" customHeight="1">
      <c r="A41" s="13" t="s">
        <v>2210</v>
      </c>
      <c r="B41" s="48" t="str">
        <f>IMAGE("https://i.imgur.com/fKYPyJo.png")</f>
        <v/>
      </c>
      <c r="C41" s="25" t="s">
        <v>28</v>
      </c>
      <c r="D41" s="25" t="s">
        <v>50</v>
      </c>
      <c r="E41" s="13">
        <v>1000.0</v>
      </c>
      <c r="F41" s="13">
        <v>250.0</v>
      </c>
      <c r="G41" s="15">
        <v>7333.0</v>
      </c>
      <c r="H41" s="15" t="s">
        <v>1608</v>
      </c>
      <c r="I41" s="15" t="s">
        <v>1608</v>
      </c>
      <c r="J41" s="15" t="s">
        <v>183</v>
      </c>
      <c r="K41" s="15"/>
      <c r="L41" s="15" t="s">
        <v>2128</v>
      </c>
      <c r="M41" s="15" t="s">
        <v>43</v>
      </c>
      <c r="N41" s="15" t="s">
        <v>1609</v>
      </c>
      <c r="O41" s="19" t="s">
        <v>2130</v>
      </c>
    </row>
    <row r="42" ht="56.25" customHeight="1">
      <c r="A42" s="13" t="s">
        <v>2212</v>
      </c>
      <c r="B42" s="48" t="str">
        <f>IMAGE("https://i.imgur.com/BMqgFPX.png")</f>
        <v/>
      </c>
      <c r="C42" s="25" t="s">
        <v>28</v>
      </c>
      <c r="D42" s="25" t="s">
        <v>50</v>
      </c>
      <c r="E42" s="13">
        <v>1000.0</v>
      </c>
      <c r="F42" s="13">
        <v>250.0</v>
      </c>
      <c r="G42" s="15">
        <v>7334.0</v>
      </c>
      <c r="H42" s="15" t="s">
        <v>1608</v>
      </c>
      <c r="I42" s="15" t="s">
        <v>82</v>
      </c>
      <c r="J42" s="15" t="s">
        <v>60</v>
      </c>
      <c r="K42" s="15" t="s">
        <v>113</v>
      </c>
      <c r="L42" s="15" t="s">
        <v>2153</v>
      </c>
      <c r="M42" s="15" t="s">
        <v>43</v>
      </c>
      <c r="N42" s="15" t="s">
        <v>1609</v>
      </c>
      <c r="O42" s="19" t="s">
        <v>2130</v>
      </c>
    </row>
    <row r="43" ht="56.25" customHeight="1">
      <c r="A43" s="13" t="s">
        <v>2214</v>
      </c>
      <c r="B43" s="48" t="str">
        <f>IMAGE("https://i.imgur.com/PMF2CvT.png")</f>
        <v/>
      </c>
      <c r="C43" s="25" t="s">
        <v>28</v>
      </c>
      <c r="D43" s="25" t="s">
        <v>50</v>
      </c>
      <c r="E43" s="13">
        <v>1500.0</v>
      </c>
      <c r="F43" s="13">
        <v>375.0</v>
      </c>
      <c r="G43" s="15">
        <v>7368.0</v>
      </c>
      <c r="H43" s="15" t="s">
        <v>1608</v>
      </c>
      <c r="I43" s="15" t="s">
        <v>82</v>
      </c>
      <c r="J43" s="15" t="s">
        <v>36</v>
      </c>
      <c r="K43" s="15" t="s">
        <v>62</v>
      </c>
      <c r="L43" s="15" t="s">
        <v>2121</v>
      </c>
      <c r="M43" s="15" t="s">
        <v>43</v>
      </c>
      <c r="N43" s="15" t="s">
        <v>1609</v>
      </c>
      <c r="O43" s="19" t="s">
        <v>2118</v>
      </c>
    </row>
    <row r="44" ht="56.25" customHeight="1">
      <c r="A44" s="13" t="s">
        <v>2216</v>
      </c>
      <c r="B44" s="48" t="str">
        <f>IMAGE("https://i.imgur.com/0NBK9MC.png")</f>
        <v/>
      </c>
      <c r="C44" s="25" t="s">
        <v>28</v>
      </c>
      <c r="D44" s="25" t="s">
        <v>28</v>
      </c>
      <c r="E44" s="24" t="s">
        <v>51</v>
      </c>
      <c r="F44" s="13">
        <v>375.0</v>
      </c>
      <c r="G44" s="15">
        <v>7360.0</v>
      </c>
      <c r="H44" s="15" t="s">
        <v>208</v>
      </c>
      <c r="I44" s="15" t="s">
        <v>99</v>
      </c>
      <c r="J44" s="15" t="s">
        <v>36</v>
      </c>
      <c r="K44" s="15" t="s">
        <v>113</v>
      </c>
      <c r="L44" s="15" t="s">
        <v>2121</v>
      </c>
      <c r="M44" s="15" t="s">
        <v>54</v>
      </c>
      <c r="N44" s="15" t="s">
        <v>264</v>
      </c>
      <c r="O44" s="19"/>
    </row>
    <row r="45" ht="56.25" customHeight="1">
      <c r="A45" s="13" t="s">
        <v>2218</v>
      </c>
      <c r="B45" s="48" t="str">
        <f>IMAGE("https://i.imgur.com/gWa8HKh.png")</f>
        <v/>
      </c>
      <c r="C45" s="15" t="s">
        <v>50</v>
      </c>
      <c r="D45" s="25" t="s">
        <v>28</v>
      </c>
      <c r="E45" s="24" t="s">
        <v>51</v>
      </c>
      <c r="F45" s="13">
        <v>2400.0</v>
      </c>
      <c r="G45" s="15">
        <v>11113.0</v>
      </c>
      <c r="H45" s="15" t="s">
        <v>1608</v>
      </c>
      <c r="I45" s="15" t="s">
        <v>118</v>
      </c>
      <c r="J45" s="15" t="s">
        <v>161</v>
      </c>
      <c r="K45" s="15"/>
      <c r="L45" s="15" t="s">
        <v>2117</v>
      </c>
      <c r="M45" s="15" t="s">
        <v>54</v>
      </c>
      <c r="N45" s="15" t="s">
        <v>55</v>
      </c>
      <c r="O45" s="19" t="s">
        <v>172</v>
      </c>
    </row>
    <row r="46" ht="56.25" customHeight="1">
      <c r="A46" s="13" t="s">
        <v>2221</v>
      </c>
      <c r="B46" s="48" t="str">
        <f>IMAGE("https://i.imgur.com/JfFb1fx.png")</f>
        <v/>
      </c>
      <c r="C46" s="25" t="s">
        <v>28</v>
      </c>
      <c r="D46" s="15" t="s">
        <v>50</v>
      </c>
      <c r="E46" s="13">
        <v>1500.0</v>
      </c>
      <c r="F46" s="13">
        <v>375.0</v>
      </c>
      <c r="G46" s="15">
        <v>7367.0</v>
      </c>
      <c r="H46" s="15" t="s">
        <v>464</v>
      </c>
      <c r="I46" s="15" t="s">
        <v>464</v>
      </c>
      <c r="J46" s="15" t="s">
        <v>346</v>
      </c>
      <c r="K46" s="15" t="s">
        <v>113</v>
      </c>
      <c r="L46" s="15" t="s">
        <v>2121</v>
      </c>
      <c r="M46" s="15" t="s">
        <v>43</v>
      </c>
      <c r="N46" s="15" t="s">
        <v>1609</v>
      </c>
      <c r="O46" s="19" t="s">
        <v>2118</v>
      </c>
    </row>
    <row r="47" ht="56.25" customHeight="1">
      <c r="A47" s="13" t="s">
        <v>2223</v>
      </c>
      <c r="B47" s="48" t="str">
        <f>IMAGE("https://imgur.com/i6bze6J.png")</f>
        <v/>
      </c>
      <c r="C47" s="25" t="s">
        <v>28</v>
      </c>
      <c r="D47" s="25" t="s">
        <v>50</v>
      </c>
      <c r="E47" s="13">
        <v>2000.0</v>
      </c>
      <c r="F47" s="13">
        <v>500.0</v>
      </c>
      <c r="G47" s="15">
        <v>7350.0</v>
      </c>
      <c r="H47" s="15" t="s">
        <v>258</v>
      </c>
      <c r="I47" s="15" t="s">
        <v>258</v>
      </c>
      <c r="J47" s="15" t="s">
        <v>60</v>
      </c>
      <c r="K47" s="15" t="s">
        <v>113</v>
      </c>
      <c r="L47" s="15" t="s">
        <v>2133</v>
      </c>
      <c r="M47" s="15" t="s">
        <v>43</v>
      </c>
      <c r="N47" s="15" t="s">
        <v>1609</v>
      </c>
      <c r="O47" s="19" t="s">
        <v>2134</v>
      </c>
    </row>
    <row r="48" ht="56.25" customHeight="1">
      <c r="A48" s="13" t="s">
        <v>2225</v>
      </c>
      <c r="B48" s="48" t="str">
        <f>IMAGE("https://imgur.com/1mjZ5UL.png")</f>
        <v/>
      </c>
      <c r="C48" s="25" t="s">
        <v>28</v>
      </c>
      <c r="D48" s="25" t="s">
        <v>28</v>
      </c>
      <c r="E48" s="24" t="s">
        <v>51</v>
      </c>
      <c r="F48" s="13">
        <v>88.0</v>
      </c>
      <c r="G48" s="15">
        <v>7402.0</v>
      </c>
      <c r="H48" s="15" t="s">
        <v>1614</v>
      </c>
      <c r="I48" s="15" t="s">
        <v>1614</v>
      </c>
      <c r="J48" s="15" t="s">
        <v>36</v>
      </c>
      <c r="K48" s="15" t="s">
        <v>86</v>
      </c>
      <c r="L48" s="15" t="s">
        <v>2128</v>
      </c>
      <c r="M48" s="15" t="s">
        <v>54</v>
      </c>
      <c r="N48" s="15" t="s">
        <v>859</v>
      </c>
      <c r="O48" s="19"/>
    </row>
    <row r="49" ht="56.25" customHeight="1">
      <c r="A49" s="13" t="s">
        <v>2227</v>
      </c>
      <c r="B49" s="48" t="str">
        <f>IMAGE("https://i.imgur.com/sBdAb9Q.png")</f>
        <v/>
      </c>
      <c r="C49" s="25" t="s">
        <v>28</v>
      </c>
      <c r="D49" s="15" t="s">
        <v>28</v>
      </c>
      <c r="E49" s="24" t="s">
        <v>51</v>
      </c>
      <c r="F49" s="13">
        <v>88.0</v>
      </c>
      <c r="G49" s="15">
        <v>9543.0</v>
      </c>
      <c r="H49" s="15" t="s">
        <v>211</v>
      </c>
      <c r="I49" s="15" t="s">
        <v>211</v>
      </c>
      <c r="J49" s="15" t="s">
        <v>36</v>
      </c>
      <c r="K49" s="15" t="s">
        <v>86</v>
      </c>
      <c r="L49" s="15" t="s">
        <v>2128</v>
      </c>
      <c r="M49" s="15" t="s">
        <v>54</v>
      </c>
      <c r="N49" s="15" t="s">
        <v>859</v>
      </c>
      <c r="O49" s="19"/>
    </row>
    <row r="50" ht="56.25" customHeight="1">
      <c r="A50" s="13" t="s">
        <v>2229</v>
      </c>
      <c r="B50" s="48" t="str">
        <f>IMAGE("https://i.imgur.com/4xCyjaC.png")</f>
        <v/>
      </c>
      <c r="C50" s="25" t="s">
        <v>28</v>
      </c>
      <c r="D50" s="25" t="s">
        <v>28</v>
      </c>
      <c r="E50" s="24" t="s">
        <v>51</v>
      </c>
      <c r="F50" s="13">
        <v>88.0</v>
      </c>
      <c r="G50" s="15">
        <v>9542.0</v>
      </c>
      <c r="H50" s="15" t="s">
        <v>107</v>
      </c>
      <c r="I50" s="15" t="s">
        <v>107</v>
      </c>
      <c r="J50" s="15" t="s">
        <v>36</v>
      </c>
      <c r="K50" s="15" t="s">
        <v>86</v>
      </c>
      <c r="L50" s="15" t="s">
        <v>2128</v>
      </c>
      <c r="M50" s="15" t="s">
        <v>54</v>
      </c>
      <c r="N50" s="15" t="s">
        <v>859</v>
      </c>
      <c r="O50" s="19"/>
    </row>
    <row r="51" ht="56.25" customHeight="1">
      <c r="A51" s="13" t="s">
        <v>2231</v>
      </c>
      <c r="B51" s="48" t="str">
        <f>IMAGE("https://i.imgur.com/JasDzs6.png")</f>
        <v/>
      </c>
      <c r="C51" s="25" t="s">
        <v>28</v>
      </c>
      <c r="D51" s="25" t="s">
        <v>28</v>
      </c>
      <c r="E51" s="24" t="s">
        <v>51</v>
      </c>
      <c r="F51" s="13">
        <v>88.0</v>
      </c>
      <c r="G51" s="15">
        <v>9541.0</v>
      </c>
      <c r="H51" s="15" t="s">
        <v>464</v>
      </c>
      <c r="I51" s="15" t="s">
        <v>464</v>
      </c>
      <c r="J51" s="15" t="s">
        <v>36</v>
      </c>
      <c r="K51" s="15" t="s">
        <v>86</v>
      </c>
      <c r="L51" s="15" t="s">
        <v>2128</v>
      </c>
      <c r="M51" s="15" t="s">
        <v>54</v>
      </c>
      <c r="N51" s="15" t="s">
        <v>859</v>
      </c>
      <c r="O51" s="19"/>
    </row>
    <row r="52" ht="56.25" customHeight="1">
      <c r="A52" s="13" t="s">
        <v>2233</v>
      </c>
      <c r="B52" s="48" t="str">
        <f>IMAGE("https://i.imgur.com/y6ZUvfq.png")</f>
        <v/>
      </c>
      <c r="C52" s="25" t="s">
        <v>28</v>
      </c>
      <c r="D52" s="15" t="s">
        <v>50</v>
      </c>
      <c r="E52" s="13">
        <v>2000.0</v>
      </c>
      <c r="F52" s="13">
        <v>500.0</v>
      </c>
      <c r="G52" s="15">
        <v>7349.0</v>
      </c>
      <c r="H52" s="15" t="s">
        <v>99</v>
      </c>
      <c r="I52" s="15" t="s">
        <v>82</v>
      </c>
      <c r="J52" s="15" t="s">
        <v>36</v>
      </c>
      <c r="K52" s="15" t="s">
        <v>113</v>
      </c>
      <c r="L52" s="15" t="s">
        <v>2133</v>
      </c>
      <c r="M52" s="15" t="s">
        <v>43</v>
      </c>
      <c r="N52" s="15" t="s">
        <v>1609</v>
      </c>
      <c r="O52" s="19" t="s">
        <v>2134</v>
      </c>
    </row>
    <row r="53" ht="56.25" customHeight="1">
      <c r="A53" s="13" t="s">
        <v>2235</v>
      </c>
      <c r="B53" s="48" t="str">
        <f>IMAGE("https://i.imgur.com/qtFKn7s.png")</f>
        <v/>
      </c>
      <c r="C53" s="25" t="s">
        <v>28</v>
      </c>
      <c r="D53" s="25" t="s">
        <v>50</v>
      </c>
      <c r="E53" s="13">
        <v>2000.0</v>
      </c>
      <c r="F53" s="13">
        <v>500.0</v>
      </c>
      <c r="G53" s="15">
        <v>7456.0</v>
      </c>
      <c r="H53" s="15" t="s">
        <v>99</v>
      </c>
      <c r="I53" s="15" t="s">
        <v>82</v>
      </c>
      <c r="J53" s="15" t="s">
        <v>60</v>
      </c>
      <c r="K53" s="15" t="s">
        <v>113</v>
      </c>
      <c r="L53" s="15" t="s">
        <v>2133</v>
      </c>
      <c r="M53" s="15" t="s">
        <v>43</v>
      </c>
      <c r="N53" s="15" t="s">
        <v>1609</v>
      </c>
      <c r="O53" s="19" t="s">
        <v>2134</v>
      </c>
    </row>
    <row r="54" ht="56.25" customHeight="1">
      <c r="A54" s="13" t="s">
        <v>2236</v>
      </c>
      <c r="B54" s="48" t="str">
        <f>IMAGE("https://i.imgur.com/NspBadl.png")</f>
        <v/>
      </c>
      <c r="C54" s="25" t="s">
        <v>28</v>
      </c>
      <c r="D54" s="25" t="s">
        <v>50</v>
      </c>
      <c r="E54" s="13">
        <v>1500.0</v>
      </c>
      <c r="F54" s="13">
        <v>375.0</v>
      </c>
      <c r="G54" s="15">
        <v>7363.0</v>
      </c>
      <c r="H54" s="15" t="s">
        <v>208</v>
      </c>
      <c r="I54" s="15" t="s">
        <v>208</v>
      </c>
      <c r="J54" s="15" t="s">
        <v>36</v>
      </c>
      <c r="K54" s="15" t="s">
        <v>113</v>
      </c>
      <c r="L54" s="15" t="s">
        <v>2121</v>
      </c>
      <c r="M54" s="15" t="s">
        <v>43</v>
      </c>
      <c r="N54" s="15" t="s">
        <v>1609</v>
      </c>
      <c r="O54" s="19" t="s">
        <v>2118</v>
      </c>
    </row>
    <row r="55" ht="56.25" customHeight="1">
      <c r="A55" s="13" t="s">
        <v>2238</v>
      </c>
      <c r="B55" s="48" t="str">
        <f>IMAGE("https://i.imgur.com/XBSy5Cv.png")</f>
        <v/>
      </c>
      <c r="C55" s="25" t="s">
        <v>28</v>
      </c>
      <c r="D55" s="25" t="s">
        <v>50</v>
      </c>
      <c r="E55" s="13">
        <v>1500.0</v>
      </c>
      <c r="F55" s="13">
        <v>375.0</v>
      </c>
      <c r="G55" s="15">
        <v>7380.0</v>
      </c>
      <c r="H55" s="15" t="s">
        <v>118</v>
      </c>
      <c r="I55" s="15" t="s">
        <v>118</v>
      </c>
      <c r="J55" s="15" t="s">
        <v>338</v>
      </c>
      <c r="K55" s="15"/>
      <c r="L55" s="15" t="s">
        <v>2117</v>
      </c>
      <c r="M55" s="15" t="s">
        <v>43</v>
      </c>
      <c r="N55" s="15" t="s">
        <v>1609</v>
      </c>
      <c r="O55" s="19" t="s">
        <v>2118</v>
      </c>
    </row>
    <row r="56" ht="56.25" customHeight="1">
      <c r="A56" s="13" t="s">
        <v>2240</v>
      </c>
      <c r="B56" s="48" t="str">
        <f>IMAGE("https://i.imgur.com/Wun3fta.png")</f>
        <v/>
      </c>
      <c r="C56" s="15" t="s">
        <v>28</v>
      </c>
      <c r="D56" s="15" t="s">
        <v>28</v>
      </c>
      <c r="E56" s="24" t="s">
        <v>51</v>
      </c>
      <c r="F56" s="13"/>
      <c r="G56" s="15"/>
      <c r="H56" s="15"/>
      <c r="I56" s="15"/>
      <c r="J56" s="15"/>
      <c r="K56" s="15"/>
      <c r="L56" s="15"/>
      <c r="M56" s="15" t="s">
        <v>54</v>
      </c>
      <c r="N56" s="25" t="s">
        <v>516</v>
      </c>
      <c r="O56" s="19"/>
    </row>
    <row r="57" ht="56.25" customHeight="1">
      <c r="A57" s="13" t="s">
        <v>2242</v>
      </c>
      <c r="B57" s="48" t="str">
        <f>IMAGE("https://i.imgur.com/6IbQJyD.png")</f>
        <v/>
      </c>
      <c r="C57" s="15" t="s">
        <v>28</v>
      </c>
      <c r="D57" s="15" t="s">
        <v>28</v>
      </c>
      <c r="E57" s="24" t="s">
        <v>51</v>
      </c>
      <c r="F57" s="13">
        <v>5000.0</v>
      </c>
      <c r="G57" s="15">
        <v>7364.0</v>
      </c>
      <c r="H57" s="15" t="s">
        <v>369</v>
      </c>
      <c r="I57" s="15" t="s">
        <v>369</v>
      </c>
      <c r="J57" s="15" t="s">
        <v>36</v>
      </c>
      <c r="K57" s="15" t="s">
        <v>113</v>
      </c>
      <c r="L57" s="15" t="s">
        <v>2121</v>
      </c>
      <c r="M57" s="15" t="s">
        <v>54</v>
      </c>
      <c r="N57" s="15" t="s">
        <v>516</v>
      </c>
      <c r="O57" s="19"/>
    </row>
    <row r="58" ht="56.25" customHeight="1">
      <c r="A58" s="13" t="s">
        <v>2244</v>
      </c>
      <c r="B58" s="48" t="str">
        <f>IMAGE("https://i.imgur.com/cexNE4T.png")</f>
        <v/>
      </c>
      <c r="C58" s="25" t="s">
        <v>28</v>
      </c>
      <c r="D58" s="25" t="s">
        <v>28</v>
      </c>
      <c r="E58" s="24" t="s">
        <v>51</v>
      </c>
      <c r="F58" s="13"/>
      <c r="G58" s="15"/>
      <c r="H58" s="15"/>
      <c r="I58" s="15"/>
      <c r="J58" s="15"/>
      <c r="K58" s="15"/>
      <c r="L58" s="15"/>
      <c r="M58" s="15" t="s">
        <v>54</v>
      </c>
      <c r="N58" s="25" t="s">
        <v>516</v>
      </c>
      <c r="O58" s="19"/>
    </row>
    <row r="59" ht="56.25" customHeight="1">
      <c r="A59" s="13" t="s">
        <v>2246</v>
      </c>
      <c r="B59" s="48" t="str">
        <f>IMAGE("https://i.imgur.com/H8ELCIU.png")</f>
        <v/>
      </c>
      <c r="C59" s="25" t="s">
        <v>50</v>
      </c>
      <c r="D59" s="25" t="s">
        <v>28</v>
      </c>
      <c r="E59" s="24" t="s">
        <v>51</v>
      </c>
      <c r="F59" s="13">
        <v>1200.0</v>
      </c>
      <c r="G59" s="15">
        <v>7330.0</v>
      </c>
      <c r="H59" s="15" t="s">
        <v>521</v>
      </c>
      <c r="I59" s="15" t="s">
        <v>521</v>
      </c>
      <c r="J59" s="15" t="s">
        <v>36</v>
      </c>
      <c r="K59" s="15" t="s">
        <v>113</v>
      </c>
      <c r="L59" s="15" t="s">
        <v>2121</v>
      </c>
      <c r="M59" s="15" t="s">
        <v>54</v>
      </c>
      <c r="N59" s="15" t="s">
        <v>55</v>
      </c>
      <c r="O59" s="19"/>
    </row>
    <row r="60" ht="56.25" customHeight="1">
      <c r="A60" s="13" t="s">
        <v>2248</v>
      </c>
      <c r="B60" s="48" t="str">
        <f>IMAGE("https://i.imgur.com/XpfyUgQ.png")</f>
        <v/>
      </c>
      <c r="C60" s="25" t="s">
        <v>28</v>
      </c>
      <c r="D60" s="25" t="s">
        <v>50</v>
      </c>
      <c r="E60" s="13">
        <v>1000.0</v>
      </c>
      <c r="F60" s="13">
        <v>250.0</v>
      </c>
      <c r="G60" s="15">
        <v>7370.0</v>
      </c>
      <c r="H60" s="15" t="s">
        <v>112</v>
      </c>
      <c r="I60" s="15" t="s">
        <v>112</v>
      </c>
      <c r="J60" s="15" t="s">
        <v>60</v>
      </c>
      <c r="K60" s="15"/>
      <c r="L60" s="15" t="s">
        <v>2128</v>
      </c>
      <c r="M60" s="15" t="s">
        <v>43</v>
      </c>
      <c r="N60" s="15" t="s">
        <v>1609</v>
      </c>
      <c r="O60" s="19" t="s">
        <v>2130</v>
      </c>
    </row>
    <row r="61" ht="56.25" customHeight="1">
      <c r="A61" s="13" t="s">
        <v>2250</v>
      </c>
      <c r="B61" s="48" t="str">
        <f>IMAGE("https://i.imgur.com/4VfWNo0.png")</f>
        <v/>
      </c>
      <c r="C61" s="25" t="s">
        <v>28</v>
      </c>
      <c r="D61" s="25" t="s">
        <v>50</v>
      </c>
      <c r="E61" s="13">
        <v>2000.0</v>
      </c>
      <c r="F61" s="13">
        <v>500.0</v>
      </c>
      <c r="G61" s="15">
        <v>7463.0</v>
      </c>
      <c r="H61" s="15" t="s">
        <v>107</v>
      </c>
      <c r="I61" s="15" t="s">
        <v>1614</v>
      </c>
      <c r="J61" s="15" t="s">
        <v>60</v>
      </c>
      <c r="K61" s="15" t="s">
        <v>113</v>
      </c>
      <c r="L61" s="15" t="s">
        <v>2194</v>
      </c>
      <c r="M61" s="15" t="s">
        <v>43</v>
      </c>
      <c r="N61" s="15" t="s">
        <v>1609</v>
      </c>
      <c r="O61" s="19" t="s">
        <v>2134</v>
      </c>
    </row>
    <row r="62" ht="56.25" customHeight="1">
      <c r="A62" s="13" t="s">
        <v>2253</v>
      </c>
      <c r="B62" s="48" t="str">
        <f>IMAGE("https://imgur.com/s1BIvBI.png")</f>
        <v/>
      </c>
      <c r="C62" s="25" t="s">
        <v>50</v>
      </c>
      <c r="D62" s="25" t="s">
        <v>28</v>
      </c>
      <c r="E62" s="24" t="s">
        <v>51</v>
      </c>
      <c r="F62" s="13">
        <v>1200.0</v>
      </c>
      <c r="G62" s="15">
        <v>7331.0</v>
      </c>
      <c r="H62" s="15" t="s">
        <v>107</v>
      </c>
      <c r="I62" s="15" t="s">
        <v>107</v>
      </c>
      <c r="J62" s="15" t="s">
        <v>36</v>
      </c>
      <c r="K62" s="15" t="s">
        <v>113</v>
      </c>
      <c r="L62" s="15" t="s">
        <v>2121</v>
      </c>
      <c r="M62" s="15" t="s">
        <v>54</v>
      </c>
      <c r="N62" s="15" t="s">
        <v>55</v>
      </c>
      <c r="O62" s="19"/>
    </row>
    <row r="63" ht="56.25" customHeight="1">
      <c r="A63" s="13" t="s">
        <v>2255</v>
      </c>
      <c r="B63" s="48" t="str">
        <f>IMAGE("https://i.imgur.com/C7Q4YY9.png")</f>
        <v/>
      </c>
      <c r="C63" s="25" t="s">
        <v>28</v>
      </c>
      <c r="D63" s="25" t="s">
        <v>50</v>
      </c>
      <c r="E63" s="13">
        <v>2000.0</v>
      </c>
      <c r="F63" s="13">
        <v>500.0</v>
      </c>
      <c r="G63" s="15">
        <v>7532.0</v>
      </c>
      <c r="H63" s="15" t="s">
        <v>107</v>
      </c>
      <c r="I63" s="15" t="s">
        <v>82</v>
      </c>
      <c r="J63" s="15" t="s">
        <v>36</v>
      </c>
      <c r="K63" s="15" t="s">
        <v>113</v>
      </c>
      <c r="L63" s="15" t="s">
        <v>2133</v>
      </c>
      <c r="M63" s="15" t="s">
        <v>43</v>
      </c>
      <c r="N63" s="15" t="s">
        <v>1609</v>
      </c>
      <c r="O63" s="19" t="s">
        <v>2134</v>
      </c>
    </row>
    <row r="64" ht="56.25" customHeight="1">
      <c r="A64" s="13" t="s">
        <v>2257</v>
      </c>
      <c r="B64" s="48" t="str">
        <f>IMAGE("https://imgur.com/rTIXSKO.png")</f>
        <v/>
      </c>
      <c r="C64" s="25" t="s">
        <v>50</v>
      </c>
      <c r="D64" s="25" t="s">
        <v>28</v>
      </c>
      <c r="E64" s="24" t="s">
        <v>51</v>
      </c>
      <c r="F64" s="13">
        <v>1200.0</v>
      </c>
      <c r="G64" s="15">
        <v>7332.0</v>
      </c>
      <c r="H64" s="15" t="s">
        <v>369</v>
      </c>
      <c r="I64" s="15" t="s">
        <v>369</v>
      </c>
      <c r="J64" s="15" t="s">
        <v>36</v>
      </c>
      <c r="K64" s="15" t="s">
        <v>113</v>
      </c>
      <c r="L64" s="15" t="s">
        <v>2121</v>
      </c>
      <c r="M64" s="15" t="s">
        <v>54</v>
      </c>
      <c r="N64" s="15" t="s">
        <v>55</v>
      </c>
      <c r="O64" s="19"/>
    </row>
    <row r="65" ht="56.25" customHeight="1">
      <c r="A65" s="13" t="s">
        <v>2259</v>
      </c>
      <c r="B65" s="48" t="str">
        <f>IMAGE("https://imgur.com/Z29b5fA.png")</f>
        <v/>
      </c>
      <c r="C65" s="15" t="s">
        <v>28</v>
      </c>
      <c r="D65" s="15" t="s">
        <v>50</v>
      </c>
      <c r="E65" s="13">
        <v>1500.0</v>
      </c>
      <c r="F65" s="13">
        <v>375.0</v>
      </c>
      <c r="G65" s="15">
        <v>7322.0</v>
      </c>
      <c r="H65" s="15" t="s">
        <v>107</v>
      </c>
      <c r="I65" s="15" t="s">
        <v>107</v>
      </c>
      <c r="J65" s="15" t="s">
        <v>36</v>
      </c>
      <c r="K65" s="15" t="s">
        <v>113</v>
      </c>
      <c r="L65" s="15" t="s">
        <v>2121</v>
      </c>
      <c r="M65" s="15" t="s">
        <v>43</v>
      </c>
      <c r="N65" s="15" t="s">
        <v>1609</v>
      </c>
      <c r="O65" s="19" t="s">
        <v>2118</v>
      </c>
    </row>
    <row r="66" ht="56.25" customHeight="1">
      <c r="A66" s="13" t="s">
        <v>2261</v>
      </c>
      <c r="B66" s="48" t="str">
        <f>IMAGE("https://i.imgur.com/X4847zl.png")</f>
        <v/>
      </c>
      <c r="C66" s="25" t="s">
        <v>28</v>
      </c>
      <c r="D66" s="25" t="s">
        <v>50</v>
      </c>
      <c r="E66" s="13">
        <v>1500.0</v>
      </c>
      <c r="F66" s="13">
        <v>375.0</v>
      </c>
      <c r="G66" s="15">
        <v>7365.0</v>
      </c>
      <c r="H66" s="15" t="s">
        <v>107</v>
      </c>
      <c r="I66" s="15" t="s">
        <v>107</v>
      </c>
      <c r="J66" s="15" t="s">
        <v>36</v>
      </c>
      <c r="K66" s="15" t="s">
        <v>62</v>
      </c>
      <c r="L66" s="15" t="s">
        <v>2121</v>
      </c>
      <c r="M66" s="15" t="s">
        <v>43</v>
      </c>
      <c r="N66" s="15" t="s">
        <v>1609</v>
      </c>
      <c r="O66" s="19" t="s">
        <v>2118</v>
      </c>
    </row>
    <row r="67" ht="56.25" customHeight="1">
      <c r="A67" s="13" t="s">
        <v>2263</v>
      </c>
      <c r="B67" s="48" t="str">
        <f>IMAGE("https://i.imgur.com/9hIxSFy.png")</f>
        <v/>
      </c>
      <c r="C67" s="25" t="s">
        <v>28</v>
      </c>
      <c r="D67" s="25" t="s">
        <v>50</v>
      </c>
      <c r="E67" s="13">
        <v>1500.0</v>
      </c>
      <c r="F67" s="13">
        <v>375.0</v>
      </c>
      <c r="G67" s="15">
        <v>7580.0</v>
      </c>
      <c r="H67" s="15" t="s">
        <v>464</v>
      </c>
      <c r="I67" s="15" t="s">
        <v>107</v>
      </c>
      <c r="J67" s="15" t="s">
        <v>36</v>
      </c>
      <c r="K67" s="15" t="s">
        <v>113</v>
      </c>
      <c r="L67" s="15" t="s">
        <v>2121</v>
      </c>
      <c r="M67" s="15" t="s">
        <v>43</v>
      </c>
      <c r="N67" s="15" t="s">
        <v>1609</v>
      </c>
      <c r="O67" s="19" t="s">
        <v>2118</v>
      </c>
    </row>
    <row r="68" ht="56.25" customHeight="1">
      <c r="A68" s="13" t="s">
        <v>2265</v>
      </c>
      <c r="B68" s="48" t="str">
        <f>IMAGE("https://i.imgur.com/hVFR9gz.png")</f>
        <v/>
      </c>
      <c r="C68" s="25" t="s">
        <v>28</v>
      </c>
      <c r="D68" s="25" t="s">
        <v>50</v>
      </c>
      <c r="E68" s="13">
        <v>2000.0</v>
      </c>
      <c r="F68" s="13">
        <v>500.0</v>
      </c>
      <c r="G68" s="15">
        <v>8037.0</v>
      </c>
      <c r="H68" s="15" t="s">
        <v>464</v>
      </c>
      <c r="I68" s="15" t="s">
        <v>1608</v>
      </c>
      <c r="J68" s="15" t="s">
        <v>62</v>
      </c>
      <c r="K68" s="15" t="s">
        <v>60</v>
      </c>
      <c r="L68" s="15" t="s">
        <v>2140</v>
      </c>
      <c r="M68" s="15" t="s">
        <v>43</v>
      </c>
      <c r="N68" s="15" t="s">
        <v>1609</v>
      </c>
      <c r="O68" s="19" t="s">
        <v>2134</v>
      </c>
    </row>
    <row r="69" ht="56.25" customHeight="1">
      <c r="A69" s="13" t="s">
        <v>2267</v>
      </c>
      <c r="B69" s="48" t="str">
        <f>IMAGE("https://i.imgur.com/CKye0LZ.png")</f>
        <v/>
      </c>
      <c r="C69" s="25" t="s">
        <v>28</v>
      </c>
      <c r="D69" s="25" t="s">
        <v>50</v>
      </c>
      <c r="E69" s="13">
        <v>2000.0</v>
      </c>
      <c r="F69" s="13">
        <v>500.0</v>
      </c>
      <c r="G69" s="15">
        <v>9562.0</v>
      </c>
      <c r="H69" s="15" t="s">
        <v>464</v>
      </c>
      <c r="I69" s="15" t="s">
        <v>464</v>
      </c>
      <c r="J69" s="15" t="s">
        <v>60</v>
      </c>
      <c r="K69" s="15"/>
      <c r="L69" s="15" t="s">
        <v>2140</v>
      </c>
      <c r="M69" s="15" t="s">
        <v>43</v>
      </c>
      <c r="N69" s="15" t="s">
        <v>1609</v>
      </c>
      <c r="O69" s="19" t="s">
        <v>2134</v>
      </c>
    </row>
    <row r="70" ht="56.25" customHeight="1">
      <c r="A70" s="13" t="s">
        <v>2269</v>
      </c>
      <c r="B70" s="48" t="str">
        <f>IMAGE("https://i.imgur.com/Smxe3S7.png")</f>
        <v/>
      </c>
      <c r="C70" s="25" t="s">
        <v>28</v>
      </c>
      <c r="D70" s="25" t="s">
        <v>50</v>
      </c>
      <c r="E70" s="13">
        <v>2000.0</v>
      </c>
      <c r="F70" s="13">
        <v>500.0</v>
      </c>
      <c r="G70" s="15">
        <v>8466.0</v>
      </c>
      <c r="H70" s="15" t="s">
        <v>208</v>
      </c>
      <c r="I70" s="15" t="s">
        <v>208</v>
      </c>
      <c r="J70" s="15" t="s">
        <v>60</v>
      </c>
      <c r="K70" s="15" t="s">
        <v>62</v>
      </c>
      <c r="L70" s="15" t="s">
        <v>2133</v>
      </c>
      <c r="M70" s="15" t="s">
        <v>43</v>
      </c>
      <c r="N70" s="15" t="s">
        <v>1609</v>
      </c>
      <c r="O70" s="19" t="s">
        <v>2134</v>
      </c>
    </row>
    <row r="71" ht="56.25" customHeight="1">
      <c r="A71" s="13" t="s">
        <v>2270</v>
      </c>
      <c r="B71" s="48" t="str">
        <f>IMAGE("https://i.imgur.com/vfdv2Tm.png")</f>
        <v/>
      </c>
      <c r="C71" s="25" t="s">
        <v>28</v>
      </c>
      <c r="D71" s="25" t="s">
        <v>50</v>
      </c>
      <c r="E71" s="13">
        <v>1500.0</v>
      </c>
      <c r="F71" s="13">
        <v>375.0</v>
      </c>
      <c r="G71" s="15">
        <v>11101.0</v>
      </c>
      <c r="H71" s="15" t="s">
        <v>208</v>
      </c>
      <c r="I71" s="15" t="s">
        <v>208</v>
      </c>
      <c r="J71" s="15" t="s">
        <v>60</v>
      </c>
      <c r="K71" s="15"/>
      <c r="L71" s="15" t="s">
        <v>2121</v>
      </c>
      <c r="M71" s="15" t="s">
        <v>43</v>
      </c>
      <c r="N71" s="15" t="s">
        <v>1609</v>
      </c>
      <c r="O71" s="19" t="s">
        <v>2118</v>
      </c>
    </row>
    <row r="72" ht="56.25" customHeight="1">
      <c r="A72" s="13" t="s">
        <v>2272</v>
      </c>
      <c r="B72" s="48" t="str">
        <f>IMAGE("https://i.imgur.com/8ftalR3.png")</f>
        <v/>
      </c>
      <c r="C72" s="25" t="s">
        <v>28</v>
      </c>
      <c r="D72" s="25" t="s">
        <v>50</v>
      </c>
      <c r="E72" s="13">
        <v>1500.0</v>
      </c>
      <c r="F72" s="13">
        <v>375.0</v>
      </c>
      <c r="G72" s="15">
        <v>7348.0</v>
      </c>
      <c r="H72" s="15" t="s">
        <v>208</v>
      </c>
      <c r="I72" s="15" t="s">
        <v>208</v>
      </c>
      <c r="J72" s="15" t="s">
        <v>62</v>
      </c>
      <c r="K72" s="15"/>
      <c r="L72" s="15" t="s">
        <v>2117</v>
      </c>
      <c r="M72" s="15" t="s">
        <v>43</v>
      </c>
      <c r="N72" s="15" t="s">
        <v>1609</v>
      </c>
      <c r="O72" s="19" t="s">
        <v>2118</v>
      </c>
    </row>
    <row r="73" ht="56.25" customHeight="1">
      <c r="A73" s="13" t="s">
        <v>2274</v>
      </c>
      <c r="B73" s="48" t="str">
        <f>IMAGE("https://i.imgur.com/4VkVQIp.png")</f>
        <v/>
      </c>
      <c r="C73" s="25" t="s">
        <v>28</v>
      </c>
      <c r="D73" s="25" t="s">
        <v>50</v>
      </c>
      <c r="E73" s="13">
        <v>2000.0</v>
      </c>
      <c r="F73" s="13">
        <v>500.0</v>
      </c>
      <c r="G73" s="15">
        <v>7465.0</v>
      </c>
      <c r="H73" s="15" t="s">
        <v>208</v>
      </c>
      <c r="I73" s="15" t="s">
        <v>208</v>
      </c>
      <c r="J73" s="15" t="s">
        <v>36</v>
      </c>
      <c r="K73" s="15" t="s">
        <v>113</v>
      </c>
      <c r="L73" s="15" t="s">
        <v>2133</v>
      </c>
      <c r="M73" s="15" t="s">
        <v>43</v>
      </c>
      <c r="N73" s="15" t="s">
        <v>1609</v>
      </c>
      <c r="O73" s="19" t="s">
        <v>2134</v>
      </c>
    </row>
    <row r="74" ht="56.25" customHeight="1">
      <c r="A74" s="13" t="s">
        <v>2276</v>
      </c>
      <c r="B74" s="48" t="str">
        <f>IMAGE("https://imgur.com/oeoyWMv.png")</f>
        <v/>
      </c>
      <c r="C74" s="25" t="s">
        <v>28</v>
      </c>
      <c r="D74" s="25" t="s">
        <v>50</v>
      </c>
      <c r="E74" s="13">
        <v>2000.0</v>
      </c>
      <c r="F74" s="13">
        <v>500.0</v>
      </c>
      <c r="G74" s="15">
        <v>9313.0</v>
      </c>
      <c r="H74" s="15" t="s">
        <v>208</v>
      </c>
      <c r="I74" s="15" t="s">
        <v>208</v>
      </c>
      <c r="J74" s="15" t="s">
        <v>60</v>
      </c>
      <c r="K74" s="15"/>
      <c r="L74" s="15" t="s">
        <v>2140</v>
      </c>
      <c r="M74" s="15" t="s">
        <v>43</v>
      </c>
      <c r="N74" s="15" t="s">
        <v>1609</v>
      </c>
      <c r="O74" s="19" t="s">
        <v>2134</v>
      </c>
    </row>
    <row r="75" ht="56.25" customHeight="1">
      <c r="A75" s="13" t="s">
        <v>2278</v>
      </c>
      <c r="B75" s="48" t="str">
        <f>IMAGE("https://i.imgur.com/4JhAbNz.png")</f>
        <v/>
      </c>
      <c r="C75" s="25" t="s">
        <v>28</v>
      </c>
      <c r="D75" s="25" t="s">
        <v>50</v>
      </c>
      <c r="E75" s="13">
        <v>1500.0</v>
      </c>
      <c r="F75" s="13">
        <v>375.0</v>
      </c>
      <c r="G75" s="15">
        <v>9545.0</v>
      </c>
      <c r="H75" s="15" t="s">
        <v>208</v>
      </c>
      <c r="I75" s="15" t="s">
        <v>208</v>
      </c>
      <c r="J75" s="15" t="s">
        <v>60</v>
      </c>
      <c r="K75" s="15" t="s">
        <v>113</v>
      </c>
      <c r="L75" s="15" t="s">
        <v>2121</v>
      </c>
      <c r="M75" s="15" t="s">
        <v>43</v>
      </c>
      <c r="N75" s="15" t="s">
        <v>1609</v>
      </c>
      <c r="O75" s="19" t="s">
        <v>2118</v>
      </c>
    </row>
    <row r="76" ht="56.25" customHeight="1">
      <c r="A76" s="13" t="s">
        <v>2281</v>
      </c>
      <c r="B76" s="48" t="str">
        <f>IMAGE("https://i.imgur.com/tTOInLj.png")</f>
        <v/>
      </c>
      <c r="C76" s="25" t="s">
        <v>28</v>
      </c>
      <c r="D76" s="25" t="s">
        <v>50</v>
      </c>
      <c r="E76" s="13">
        <v>1000.0</v>
      </c>
      <c r="F76" s="13">
        <v>250.0</v>
      </c>
      <c r="G76" s="15">
        <v>9312.0</v>
      </c>
      <c r="H76" s="15" t="s">
        <v>208</v>
      </c>
      <c r="I76" s="15" t="s">
        <v>208</v>
      </c>
      <c r="J76" s="15" t="s">
        <v>113</v>
      </c>
      <c r="K76" s="15"/>
      <c r="L76" s="15" t="s">
        <v>2128</v>
      </c>
      <c r="M76" s="15" t="s">
        <v>43</v>
      </c>
      <c r="N76" s="15" t="s">
        <v>1609</v>
      </c>
      <c r="O76" s="19" t="s">
        <v>2130</v>
      </c>
    </row>
    <row r="77" ht="56.25" customHeight="1">
      <c r="A77" s="13" t="s">
        <v>2283</v>
      </c>
      <c r="B77" s="48" t="str">
        <f>IMAGE("https://i.imgur.com/CmUXM55.png")</f>
        <v/>
      </c>
      <c r="C77" s="25" t="s">
        <v>28</v>
      </c>
      <c r="D77" s="25" t="s">
        <v>50</v>
      </c>
      <c r="E77" s="13">
        <v>2000.0</v>
      </c>
      <c r="F77" s="13">
        <v>500.0</v>
      </c>
      <c r="G77" s="15">
        <v>7347.0</v>
      </c>
      <c r="H77" s="15" t="s">
        <v>208</v>
      </c>
      <c r="I77" s="15" t="s">
        <v>1608</v>
      </c>
      <c r="J77" s="15" t="s">
        <v>62</v>
      </c>
      <c r="K77" s="15" t="s">
        <v>60</v>
      </c>
      <c r="L77" s="15" t="s">
        <v>2140</v>
      </c>
      <c r="M77" s="15" t="s">
        <v>43</v>
      </c>
      <c r="N77" s="15" t="s">
        <v>1609</v>
      </c>
      <c r="O77" s="19" t="s">
        <v>2134</v>
      </c>
    </row>
    <row r="78" ht="56.25" customHeight="1">
      <c r="A78" s="13" t="s">
        <v>2285</v>
      </c>
      <c r="B78" s="48" t="str">
        <f>IMAGE("https://imgur.com/yzEg1u5.png")</f>
        <v/>
      </c>
      <c r="C78" s="25" t="s">
        <v>28</v>
      </c>
      <c r="D78" s="25" t="s">
        <v>50</v>
      </c>
      <c r="E78" s="13">
        <v>1500.0</v>
      </c>
      <c r="F78" s="13">
        <v>375.0</v>
      </c>
      <c r="G78" s="15">
        <v>8758.0</v>
      </c>
      <c r="H78" s="15" t="s">
        <v>208</v>
      </c>
      <c r="I78" s="15" t="s">
        <v>208</v>
      </c>
      <c r="J78" s="15" t="s">
        <v>36</v>
      </c>
      <c r="K78" s="15" t="s">
        <v>62</v>
      </c>
      <c r="L78" s="15" t="s">
        <v>2121</v>
      </c>
      <c r="M78" s="15" t="s">
        <v>43</v>
      </c>
      <c r="N78" s="15" t="s">
        <v>1609</v>
      </c>
      <c r="O78" s="19" t="s">
        <v>2118</v>
      </c>
    </row>
    <row r="79" ht="56.25" customHeight="1">
      <c r="A79" s="13" t="s">
        <v>2290</v>
      </c>
      <c r="B79" s="48" t="str">
        <f>IMAGE("https://i.imgur.com/abnWUR5.png")</f>
        <v/>
      </c>
      <c r="C79" s="25" t="s">
        <v>28</v>
      </c>
      <c r="D79" s="25" t="s">
        <v>50</v>
      </c>
      <c r="E79" s="13">
        <v>1000.0</v>
      </c>
      <c r="F79" s="13">
        <v>250.0</v>
      </c>
      <c r="G79" s="15">
        <v>9548.0</v>
      </c>
      <c r="H79" s="15" t="s">
        <v>208</v>
      </c>
      <c r="I79" s="15" t="s">
        <v>208</v>
      </c>
      <c r="J79" s="15" t="s">
        <v>60</v>
      </c>
      <c r="K79" s="15" t="s">
        <v>113</v>
      </c>
      <c r="L79" s="15" t="s">
        <v>2153</v>
      </c>
      <c r="M79" s="15" t="s">
        <v>43</v>
      </c>
      <c r="N79" s="15" t="s">
        <v>1609</v>
      </c>
      <c r="O79" s="19" t="s">
        <v>2130</v>
      </c>
    </row>
    <row r="80" ht="56.25" customHeight="1">
      <c r="A80" s="13" t="s">
        <v>2292</v>
      </c>
      <c r="B80" s="48" t="str">
        <f>IMAGE("https://i.imgur.com/h2k8L4j.png")</f>
        <v/>
      </c>
      <c r="C80" s="25" t="s">
        <v>28</v>
      </c>
      <c r="D80" s="25" t="s">
        <v>50</v>
      </c>
      <c r="E80" s="13">
        <v>1500.0</v>
      </c>
      <c r="F80" s="13">
        <v>375.0</v>
      </c>
      <c r="G80" s="15">
        <v>7405.0</v>
      </c>
      <c r="H80" s="15" t="s">
        <v>208</v>
      </c>
      <c r="I80" s="15" t="s">
        <v>258</v>
      </c>
      <c r="J80" s="15" t="s">
        <v>95</v>
      </c>
      <c r="K80" s="15"/>
      <c r="L80" s="15" t="s">
        <v>2117</v>
      </c>
      <c r="M80" s="15" t="s">
        <v>43</v>
      </c>
      <c r="N80" s="15" t="s">
        <v>1609</v>
      </c>
      <c r="O80" s="19" t="s">
        <v>2118</v>
      </c>
    </row>
    <row r="81" ht="56.25" customHeight="1">
      <c r="A81" s="13" t="s">
        <v>2294</v>
      </c>
      <c r="B81" s="48" t="str">
        <f>IMAGE("https://i.imgur.com/9lTMpXY.png")</f>
        <v/>
      </c>
      <c r="C81" s="25" t="s">
        <v>28</v>
      </c>
      <c r="D81" s="25" t="s">
        <v>50</v>
      </c>
      <c r="E81" s="13">
        <v>2000.0</v>
      </c>
      <c r="F81" s="13">
        <v>500.0</v>
      </c>
      <c r="G81" s="15">
        <v>7457.0</v>
      </c>
      <c r="H81" s="15" t="s">
        <v>208</v>
      </c>
      <c r="I81" s="15" t="s">
        <v>211</v>
      </c>
      <c r="J81" s="15" t="s">
        <v>60</v>
      </c>
      <c r="K81" s="15" t="s">
        <v>113</v>
      </c>
      <c r="L81" s="15" t="s">
        <v>2133</v>
      </c>
      <c r="M81" s="15" t="s">
        <v>43</v>
      </c>
      <c r="N81" s="15" t="s">
        <v>1609</v>
      </c>
      <c r="O81" s="19" t="s">
        <v>2134</v>
      </c>
    </row>
    <row r="82" ht="56.25" customHeight="1">
      <c r="A82" s="13" t="s">
        <v>2297</v>
      </c>
      <c r="B82" s="51" t="str">
        <f>IMAGE("https://i.imgur.com/4OsGHfX.png")</f>
        <v/>
      </c>
      <c r="C82" s="25" t="s">
        <v>28</v>
      </c>
      <c r="D82" s="25" t="s">
        <v>50</v>
      </c>
      <c r="E82" s="13">
        <v>2000.0</v>
      </c>
      <c r="F82" s="13">
        <v>500.0</v>
      </c>
      <c r="G82" s="15">
        <v>7343.0</v>
      </c>
      <c r="H82" s="15" t="s">
        <v>208</v>
      </c>
      <c r="I82" s="15" t="s">
        <v>112</v>
      </c>
      <c r="J82" s="15" t="s">
        <v>60</v>
      </c>
      <c r="K82" s="15" t="s">
        <v>113</v>
      </c>
      <c r="L82" s="15" t="s">
        <v>2194</v>
      </c>
      <c r="M82" s="15" t="s">
        <v>43</v>
      </c>
      <c r="N82" s="15" t="s">
        <v>1609</v>
      </c>
      <c r="O82" s="19" t="s">
        <v>2134</v>
      </c>
    </row>
    <row r="83" ht="56.25" customHeight="1">
      <c r="A83" s="13" t="s">
        <v>2300</v>
      </c>
      <c r="B83" s="51" t="str">
        <f>IMAGE("https://imgur.com/1g8gs5v.png")</f>
        <v/>
      </c>
      <c r="C83" s="25" t="s">
        <v>28</v>
      </c>
      <c r="D83" s="25" t="s">
        <v>50</v>
      </c>
      <c r="E83" s="13">
        <v>1000.0</v>
      </c>
      <c r="F83" s="13">
        <v>250.0</v>
      </c>
      <c r="G83" s="15">
        <v>7340.0</v>
      </c>
      <c r="H83" s="15" t="s">
        <v>208</v>
      </c>
      <c r="I83" s="15" t="s">
        <v>99</v>
      </c>
      <c r="J83" s="15" t="s">
        <v>86</v>
      </c>
      <c r="K83" s="15"/>
      <c r="L83" s="15" t="s">
        <v>2128</v>
      </c>
      <c r="M83" s="15" t="s">
        <v>43</v>
      </c>
      <c r="N83" s="15" t="s">
        <v>1609</v>
      </c>
      <c r="O83" s="19" t="s">
        <v>2130</v>
      </c>
    </row>
    <row r="84" ht="56.25" customHeight="1">
      <c r="A84" s="13" t="s">
        <v>2303</v>
      </c>
      <c r="B84" s="48" t="str">
        <f>IMAGE("https://i.imgur.com/su98VdG.png")</f>
        <v/>
      </c>
      <c r="C84" s="25" t="s">
        <v>28</v>
      </c>
      <c r="D84" s="25" t="s">
        <v>50</v>
      </c>
      <c r="E84" s="13">
        <v>2000.0</v>
      </c>
      <c r="F84" s="13">
        <v>500.0</v>
      </c>
      <c r="G84" s="15">
        <v>7466.0</v>
      </c>
      <c r="H84" s="15" t="s">
        <v>369</v>
      </c>
      <c r="I84" s="15" t="s">
        <v>369</v>
      </c>
      <c r="J84" s="15" t="s">
        <v>36</v>
      </c>
      <c r="K84" s="15" t="s">
        <v>113</v>
      </c>
      <c r="L84" s="15" t="s">
        <v>2133</v>
      </c>
      <c r="M84" s="15" t="s">
        <v>43</v>
      </c>
      <c r="N84" s="15" t="s">
        <v>1609</v>
      </c>
      <c r="O84" s="19" t="s">
        <v>2134</v>
      </c>
    </row>
    <row r="85" ht="56.25" customHeight="1">
      <c r="A85" s="13" t="s">
        <v>2305</v>
      </c>
      <c r="B85" s="48" t="str">
        <f>IMAGE("http://imgur.com/ZGpAMRf.png")</f>
        <v/>
      </c>
      <c r="C85" s="25" t="s">
        <v>28</v>
      </c>
      <c r="D85" s="25" t="s">
        <v>50</v>
      </c>
      <c r="E85" s="13">
        <v>1000.0</v>
      </c>
      <c r="F85" s="13">
        <v>250.0</v>
      </c>
      <c r="G85" s="15">
        <v>7324.0</v>
      </c>
      <c r="H85" s="15" t="s">
        <v>118</v>
      </c>
      <c r="I85" s="15" t="s">
        <v>118</v>
      </c>
      <c r="J85" s="15" t="s">
        <v>80</v>
      </c>
      <c r="K85" s="15" t="s">
        <v>90</v>
      </c>
      <c r="L85" s="15" t="s">
        <v>2128</v>
      </c>
      <c r="M85" s="15" t="s">
        <v>43</v>
      </c>
      <c r="N85" s="15" t="s">
        <v>1609</v>
      </c>
      <c r="O85" s="19" t="s">
        <v>2130</v>
      </c>
    </row>
    <row r="86" ht="56.25" customHeight="1">
      <c r="A86" s="13" t="s">
        <v>2307</v>
      </c>
      <c r="B86" s="48" t="str">
        <f>IMAGE("https://i.imgur.com/PZxfvqv.png")</f>
        <v/>
      </c>
      <c r="C86" s="25" t="s">
        <v>28</v>
      </c>
      <c r="D86" s="25" t="s">
        <v>50</v>
      </c>
      <c r="E86" s="13">
        <v>1000.0</v>
      </c>
      <c r="F86" s="13">
        <v>250.0</v>
      </c>
      <c r="G86" s="15">
        <v>7339.0</v>
      </c>
      <c r="H86" s="15" t="s">
        <v>369</v>
      </c>
      <c r="I86" s="15" t="s">
        <v>369</v>
      </c>
      <c r="J86" s="15" t="s">
        <v>80</v>
      </c>
      <c r="K86" s="15"/>
      <c r="L86" s="15" t="s">
        <v>2128</v>
      </c>
      <c r="M86" s="15" t="s">
        <v>43</v>
      </c>
      <c r="N86" s="15" t="s">
        <v>1609</v>
      </c>
      <c r="O86" s="19" t="s">
        <v>2130</v>
      </c>
    </row>
    <row r="87" ht="56.25" customHeight="1">
      <c r="A87" s="13" t="s">
        <v>2308</v>
      </c>
      <c r="B87" s="48" t="str">
        <f>IMAGE("https://i.imgur.com/K5SUFyR.png")</f>
        <v/>
      </c>
      <c r="C87" s="25" t="s">
        <v>28</v>
      </c>
      <c r="D87" s="25" t="s">
        <v>50</v>
      </c>
      <c r="E87" s="13">
        <v>2000.0</v>
      </c>
      <c r="F87" s="13">
        <v>500.0</v>
      </c>
      <c r="G87" s="15">
        <v>7345.0</v>
      </c>
      <c r="H87" s="15" t="s">
        <v>118</v>
      </c>
      <c r="I87" s="15" t="s">
        <v>1608</v>
      </c>
      <c r="J87" s="15" t="s">
        <v>161</v>
      </c>
      <c r="K87" s="15"/>
      <c r="L87" s="15" t="s">
        <v>2194</v>
      </c>
      <c r="M87" s="15" t="s">
        <v>43</v>
      </c>
      <c r="N87" s="15" t="s">
        <v>1609</v>
      </c>
      <c r="O87" s="19" t="s">
        <v>2134</v>
      </c>
    </row>
    <row r="88" ht="56.25" customHeight="1">
      <c r="A88" s="13" t="s">
        <v>2310</v>
      </c>
      <c r="B88" s="48" t="str">
        <f>IMAGE("https://i.imgur.com/fJHEKGR.png")</f>
        <v/>
      </c>
      <c r="C88" s="25" t="s">
        <v>50</v>
      </c>
      <c r="D88" s="25" t="s">
        <v>28</v>
      </c>
      <c r="E88" s="24" t="s">
        <v>51</v>
      </c>
      <c r="F88" s="13">
        <v>5400.0</v>
      </c>
      <c r="G88" s="15">
        <v>7362.0</v>
      </c>
      <c r="H88" s="15" t="s">
        <v>1608</v>
      </c>
      <c r="I88" s="15" t="s">
        <v>107</v>
      </c>
      <c r="J88" s="15" t="s">
        <v>84</v>
      </c>
      <c r="K88" s="15" t="s">
        <v>36</v>
      </c>
      <c r="L88" s="15" t="s">
        <v>2121</v>
      </c>
      <c r="M88" s="15" t="s">
        <v>54</v>
      </c>
      <c r="N88" s="15" t="s">
        <v>55</v>
      </c>
      <c r="O88" s="19"/>
    </row>
    <row r="89" ht="56.25" customHeight="1">
      <c r="A89" s="13" t="s">
        <v>2313</v>
      </c>
      <c r="B89" s="48" t="str">
        <f>IMAGE("https://i.imgur.com/GqLzFZV.png")</f>
        <v/>
      </c>
      <c r="C89" s="25" t="s">
        <v>28</v>
      </c>
      <c r="D89" s="25" t="s">
        <v>50</v>
      </c>
      <c r="E89" s="13">
        <v>1000.0</v>
      </c>
      <c r="F89" s="13">
        <v>250.0</v>
      </c>
      <c r="G89" s="15">
        <v>7516.0</v>
      </c>
      <c r="H89" s="15" t="s">
        <v>369</v>
      </c>
      <c r="I89" s="15" t="s">
        <v>369</v>
      </c>
      <c r="J89" s="15" t="s">
        <v>183</v>
      </c>
      <c r="K89" s="15"/>
      <c r="L89" s="15" t="s">
        <v>2128</v>
      </c>
      <c r="M89" s="15" t="s">
        <v>43</v>
      </c>
      <c r="N89" s="15" t="s">
        <v>1609</v>
      </c>
      <c r="O89" s="19" t="s">
        <v>2130</v>
      </c>
    </row>
    <row r="90" ht="56.25" customHeight="1">
      <c r="A90" s="13" t="s">
        <v>2315</v>
      </c>
      <c r="B90" s="48" t="str">
        <f>IMAGE("https://i.imgur.com/b2XBjuf.png")</f>
        <v/>
      </c>
      <c r="C90" s="25" t="s">
        <v>28</v>
      </c>
      <c r="D90" s="25" t="s">
        <v>50</v>
      </c>
      <c r="E90" s="13">
        <v>1500.0</v>
      </c>
      <c r="F90" s="13">
        <v>375.0</v>
      </c>
      <c r="G90" s="15">
        <v>7524.0</v>
      </c>
      <c r="H90" s="15" t="s">
        <v>369</v>
      </c>
      <c r="I90" s="15" t="s">
        <v>369</v>
      </c>
      <c r="J90" s="15" t="s">
        <v>60</v>
      </c>
      <c r="K90" s="15" t="s">
        <v>90</v>
      </c>
      <c r="L90" s="15" t="s">
        <v>2121</v>
      </c>
      <c r="M90" s="15" t="s">
        <v>43</v>
      </c>
      <c r="N90" s="15" t="s">
        <v>1609</v>
      </c>
      <c r="O90" s="19" t="s">
        <v>2118</v>
      </c>
    </row>
    <row r="91" ht="56.25" customHeight="1">
      <c r="A91" s="13" t="s">
        <v>2317</v>
      </c>
      <c r="B91" s="48" t="str">
        <f>IMAGE("https://i.imgur.com/ETN0Wg1.png")</f>
        <v/>
      </c>
      <c r="C91" s="25" t="s">
        <v>28</v>
      </c>
      <c r="D91" s="25" t="s">
        <v>50</v>
      </c>
      <c r="E91" s="13">
        <v>1500.0</v>
      </c>
      <c r="F91" s="13">
        <v>375.0</v>
      </c>
      <c r="G91" s="15">
        <v>7539.0</v>
      </c>
      <c r="H91" s="15" t="s">
        <v>99</v>
      </c>
      <c r="I91" s="15" t="s">
        <v>99</v>
      </c>
      <c r="J91" s="15" t="s">
        <v>60</v>
      </c>
      <c r="K91" s="15" t="s">
        <v>90</v>
      </c>
      <c r="L91" s="15" t="s">
        <v>2121</v>
      </c>
      <c r="M91" s="15" t="s">
        <v>43</v>
      </c>
      <c r="N91" s="15" t="s">
        <v>1609</v>
      </c>
      <c r="O91" s="19" t="s">
        <v>2118</v>
      </c>
    </row>
    <row r="92" ht="56.25" customHeight="1">
      <c r="A92" s="13" t="s">
        <v>2319</v>
      </c>
      <c r="B92" s="48" t="str">
        <f>IMAGE("https://i.imgur.com/ZoLHYpl.png")</f>
        <v/>
      </c>
      <c r="C92" s="25" t="s">
        <v>28</v>
      </c>
      <c r="D92" s="25" t="s">
        <v>50</v>
      </c>
      <c r="E92" s="13">
        <v>1500.0</v>
      </c>
      <c r="F92" s="13">
        <v>375.0</v>
      </c>
      <c r="G92" s="15">
        <v>7523.0</v>
      </c>
      <c r="H92" s="15" t="s">
        <v>112</v>
      </c>
      <c r="I92" s="15" t="s">
        <v>112</v>
      </c>
      <c r="J92" s="15" t="s">
        <v>60</v>
      </c>
      <c r="K92" s="15" t="s">
        <v>90</v>
      </c>
      <c r="L92" s="15" t="s">
        <v>2121</v>
      </c>
      <c r="M92" s="15" t="s">
        <v>43</v>
      </c>
      <c r="N92" s="15" t="s">
        <v>1609</v>
      </c>
      <c r="O92" s="19" t="s">
        <v>2118</v>
      </c>
    </row>
    <row r="93" ht="56.25" customHeight="1">
      <c r="A93" s="13" t="s">
        <v>2321</v>
      </c>
      <c r="B93" s="48" t="str">
        <f>IMAGE("https://imgur.com/VEOaGKb.png")</f>
        <v/>
      </c>
      <c r="C93" s="25" t="s">
        <v>28</v>
      </c>
      <c r="D93" s="25" t="s">
        <v>50</v>
      </c>
      <c r="E93" s="13">
        <v>1500.0</v>
      </c>
      <c r="F93" s="13">
        <v>375.0</v>
      </c>
      <c r="G93" s="15">
        <v>7519.0</v>
      </c>
      <c r="H93" s="15" t="s">
        <v>118</v>
      </c>
      <c r="I93" s="15" t="s">
        <v>118</v>
      </c>
      <c r="J93" s="15" t="s">
        <v>60</v>
      </c>
      <c r="K93" s="15" t="s">
        <v>90</v>
      </c>
      <c r="L93" s="15" t="s">
        <v>2121</v>
      </c>
      <c r="M93" s="15" t="s">
        <v>43</v>
      </c>
      <c r="N93" s="15" t="s">
        <v>1609</v>
      </c>
      <c r="O93" s="19" t="s">
        <v>2118</v>
      </c>
    </row>
    <row r="94" ht="56.25" customHeight="1">
      <c r="A94" s="13" t="s">
        <v>2325</v>
      </c>
      <c r="B94" s="51" t="str">
        <f>IMAGE("https://i.imgur.com/UCnSsHY.png")</f>
        <v/>
      </c>
      <c r="C94" s="25" t="s">
        <v>28</v>
      </c>
      <c r="D94" s="25" t="s">
        <v>50</v>
      </c>
      <c r="E94" s="13">
        <v>1500.0</v>
      </c>
      <c r="F94" s="13">
        <v>375.0</v>
      </c>
      <c r="G94" s="15">
        <v>7536.0</v>
      </c>
      <c r="H94" s="15" t="s">
        <v>521</v>
      </c>
      <c r="I94" s="15" t="s">
        <v>521</v>
      </c>
      <c r="J94" s="15" t="s">
        <v>60</v>
      </c>
      <c r="K94" s="15" t="s">
        <v>90</v>
      </c>
      <c r="L94" s="15" t="s">
        <v>2121</v>
      </c>
      <c r="M94" s="15" t="s">
        <v>43</v>
      </c>
      <c r="N94" s="15" t="s">
        <v>1609</v>
      </c>
      <c r="O94" s="19" t="s">
        <v>2118</v>
      </c>
    </row>
    <row r="95" ht="56.25" customHeight="1">
      <c r="A95" s="13" t="s">
        <v>2327</v>
      </c>
      <c r="B95" s="48" t="str">
        <f>IMAGE("https://imgur.com/GP1uo2F.png")</f>
        <v/>
      </c>
      <c r="C95" s="25" t="s">
        <v>28</v>
      </c>
      <c r="D95" s="25" t="s">
        <v>50</v>
      </c>
      <c r="E95" s="13">
        <v>1500.0</v>
      </c>
      <c r="F95" s="13">
        <v>375.0</v>
      </c>
      <c r="G95" s="15">
        <v>7538.0</v>
      </c>
      <c r="H95" s="15" t="s">
        <v>464</v>
      </c>
      <c r="I95" s="15" t="s">
        <v>464</v>
      </c>
      <c r="J95" s="15" t="s">
        <v>60</v>
      </c>
      <c r="K95" s="15" t="s">
        <v>90</v>
      </c>
      <c r="L95" s="15" t="s">
        <v>2121</v>
      </c>
      <c r="M95" s="15" t="s">
        <v>43</v>
      </c>
      <c r="N95" s="15" t="s">
        <v>1609</v>
      </c>
      <c r="O95" s="19" t="s">
        <v>2118</v>
      </c>
    </row>
    <row r="96" ht="56.25" customHeight="1">
      <c r="A96" s="13" t="s">
        <v>2329</v>
      </c>
      <c r="B96" s="48" t="str">
        <f>IMAGE("https://imgur.com/1Kauu9Q.png")</f>
        <v/>
      </c>
      <c r="C96" s="25" t="s">
        <v>28</v>
      </c>
      <c r="D96" s="25" t="s">
        <v>50</v>
      </c>
      <c r="E96" s="13">
        <v>1500.0</v>
      </c>
      <c r="F96" s="13">
        <v>375.0</v>
      </c>
      <c r="G96" s="15">
        <v>7540.0</v>
      </c>
      <c r="H96" s="15" t="s">
        <v>208</v>
      </c>
      <c r="I96" s="15" t="s">
        <v>208</v>
      </c>
      <c r="J96" s="15" t="s">
        <v>60</v>
      </c>
      <c r="K96" s="15" t="s">
        <v>90</v>
      </c>
      <c r="L96" s="15" t="s">
        <v>2121</v>
      </c>
      <c r="M96" s="15" t="s">
        <v>43</v>
      </c>
      <c r="N96" s="15" t="s">
        <v>1609</v>
      </c>
      <c r="O96" s="19" t="s">
        <v>2118</v>
      </c>
    </row>
    <row r="97" ht="56.25" customHeight="1">
      <c r="A97" s="13" t="s">
        <v>2331</v>
      </c>
      <c r="B97" s="51" t="str">
        <f>IMAGE("https://i.imgur.com/DNxvJ9i.png")</f>
        <v/>
      </c>
      <c r="C97" s="25" t="s">
        <v>28</v>
      </c>
      <c r="D97" s="25" t="s">
        <v>50</v>
      </c>
      <c r="E97" s="13">
        <v>1000.0</v>
      </c>
      <c r="F97" s="13">
        <v>250.0</v>
      </c>
      <c r="G97" s="15">
        <v>7518.0</v>
      </c>
      <c r="H97" s="15" t="s">
        <v>94</v>
      </c>
      <c r="I97" s="15" t="s">
        <v>94</v>
      </c>
      <c r="J97" s="15" t="s">
        <v>183</v>
      </c>
      <c r="K97" s="15"/>
      <c r="L97" s="15" t="s">
        <v>2128</v>
      </c>
      <c r="M97" s="15" t="s">
        <v>43</v>
      </c>
      <c r="N97" s="15" t="s">
        <v>1609</v>
      </c>
      <c r="O97" s="19" t="s">
        <v>2130</v>
      </c>
    </row>
    <row r="98" ht="56.25" customHeight="1">
      <c r="A98" s="13" t="s">
        <v>2334</v>
      </c>
      <c r="B98" s="48" t="str">
        <f>IMAGE("https://i.imgur.com/MiQpVdr.png")</f>
        <v/>
      </c>
      <c r="C98" s="25" t="s">
        <v>28</v>
      </c>
      <c r="D98" s="25" t="s">
        <v>50</v>
      </c>
      <c r="E98" s="13">
        <v>1000.0</v>
      </c>
      <c r="F98" s="13">
        <v>250.0</v>
      </c>
      <c r="G98" s="15">
        <v>7517.0</v>
      </c>
      <c r="H98" s="15" t="s">
        <v>107</v>
      </c>
      <c r="I98" s="15" t="s">
        <v>107</v>
      </c>
      <c r="J98" s="15" t="s">
        <v>183</v>
      </c>
      <c r="K98" s="15"/>
      <c r="L98" s="15" t="s">
        <v>2128</v>
      </c>
      <c r="M98" s="15" t="s">
        <v>43</v>
      </c>
      <c r="N98" s="15" t="s">
        <v>1609</v>
      </c>
      <c r="O98" s="19" t="s">
        <v>2130</v>
      </c>
    </row>
    <row r="99" ht="56.25" customHeight="1">
      <c r="A99" s="13" t="s">
        <v>2336</v>
      </c>
      <c r="B99" s="48" t="str">
        <f>IMAGE("https://i.imgur.com/tRbDRnc.png")</f>
        <v/>
      </c>
      <c r="C99" s="25" t="s">
        <v>28</v>
      </c>
      <c r="D99" s="25" t="s">
        <v>50</v>
      </c>
      <c r="E99" s="13">
        <v>1000.0</v>
      </c>
      <c r="F99" s="13">
        <v>250.0</v>
      </c>
      <c r="G99" s="15">
        <v>7520.0</v>
      </c>
      <c r="H99" s="15" t="s">
        <v>369</v>
      </c>
      <c r="I99" s="15" t="s">
        <v>369</v>
      </c>
      <c r="J99" s="15" t="s">
        <v>60</v>
      </c>
      <c r="K99" s="15" t="s">
        <v>90</v>
      </c>
      <c r="L99" s="15" t="s">
        <v>2153</v>
      </c>
      <c r="M99" s="15" t="s">
        <v>43</v>
      </c>
      <c r="N99" s="15" t="s">
        <v>1609</v>
      </c>
      <c r="O99" s="19" t="s">
        <v>2130</v>
      </c>
    </row>
    <row r="100" ht="56.25" customHeight="1">
      <c r="A100" s="13" t="s">
        <v>2338</v>
      </c>
      <c r="B100" s="48" t="str">
        <f>IMAGE("https://i.imgur.com/GxDiON2.png")</f>
        <v/>
      </c>
      <c r="C100" s="25" t="s">
        <v>28</v>
      </c>
      <c r="D100" s="25" t="s">
        <v>50</v>
      </c>
      <c r="E100" s="13">
        <v>1000.0</v>
      </c>
      <c r="F100" s="13">
        <v>250.0</v>
      </c>
      <c r="G100" s="15">
        <v>7543.0</v>
      </c>
      <c r="H100" s="15" t="s">
        <v>99</v>
      </c>
      <c r="I100" s="15" t="s">
        <v>99</v>
      </c>
      <c r="J100" s="15" t="s">
        <v>60</v>
      </c>
      <c r="K100" s="15" t="s">
        <v>90</v>
      </c>
      <c r="L100" s="15" t="s">
        <v>2153</v>
      </c>
      <c r="M100" s="15" t="s">
        <v>43</v>
      </c>
      <c r="N100" s="15" t="s">
        <v>1609</v>
      </c>
      <c r="O100" s="19" t="s">
        <v>2130</v>
      </c>
    </row>
    <row r="101" ht="56.25" customHeight="1">
      <c r="A101" s="13" t="s">
        <v>2341</v>
      </c>
      <c r="B101" s="48" t="str">
        <f>IMAGE("https://i.imgur.com/Jz0EFbp.png")</f>
        <v/>
      </c>
      <c r="C101" s="25" t="s">
        <v>28</v>
      </c>
      <c r="D101" s="25" t="s">
        <v>50</v>
      </c>
      <c r="E101" s="13">
        <v>1000.0</v>
      </c>
      <c r="F101" s="13">
        <v>250.0</v>
      </c>
      <c r="G101" s="15">
        <v>7521.0</v>
      </c>
      <c r="H101" s="15" t="s">
        <v>112</v>
      </c>
      <c r="I101" s="15" t="s">
        <v>112</v>
      </c>
      <c r="J101" s="15" t="s">
        <v>60</v>
      </c>
      <c r="K101" s="15" t="s">
        <v>90</v>
      </c>
      <c r="L101" s="15" t="s">
        <v>2153</v>
      </c>
      <c r="M101" s="15" t="s">
        <v>43</v>
      </c>
      <c r="N101" s="15" t="s">
        <v>1609</v>
      </c>
      <c r="O101" s="19" t="s">
        <v>2130</v>
      </c>
    </row>
    <row r="102" ht="56.25" customHeight="1">
      <c r="A102" s="13" t="s">
        <v>2343</v>
      </c>
      <c r="B102" s="48" t="str">
        <f>IMAGE("https://i.imgur.com/CbaZrY5.png")</f>
        <v/>
      </c>
      <c r="C102" s="25" t="s">
        <v>28</v>
      </c>
      <c r="D102" s="25" t="s">
        <v>50</v>
      </c>
      <c r="E102" s="13">
        <v>1000.0</v>
      </c>
      <c r="F102" s="13">
        <v>250.0</v>
      </c>
      <c r="G102" s="15">
        <v>7522.0</v>
      </c>
      <c r="H102" s="15" t="s">
        <v>118</v>
      </c>
      <c r="I102" s="15" t="s">
        <v>118</v>
      </c>
      <c r="J102" s="15" t="s">
        <v>60</v>
      </c>
      <c r="K102" s="15" t="s">
        <v>90</v>
      </c>
      <c r="L102" s="15" t="s">
        <v>2153</v>
      </c>
      <c r="M102" s="15" t="s">
        <v>43</v>
      </c>
      <c r="N102" s="15" t="s">
        <v>1609</v>
      </c>
      <c r="O102" s="19" t="s">
        <v>2130</v>
      </c>
    </row>
    <row r="103" ht="56.25" customHeight="1">
      <c r="A103" s="13" t="s">
        <v>2345</v>
      </c>
      <c r="B103" s="48" t="str">
        <f>IMAGE("https://imgur.com/lfsXC8S.png")</f>
        <v/>
      </c>
      <c r="C103" s="25" t="s">
        <v>28</v>
      </c>
      <c r="D103" s="25" t="s">
        <v>50</v>
      </c>
      <c r="E103" s="13">
        <v>1000.0</v>
      </c>
      <c r="F103" s="13">
        <v>250.0</v>
      </c>
      <c r="G103" s="15">
        <v>7541.0</v>
      </c>
      <c r="H103" s="15" t="s">
        <v>521</v>
      </c>
      <c r="I103" s="15" t="s">
        <v>521</v>
      </c>
      <c r="J103" s="15" t="s">
        <v>60</v>
      </c>
      <c r="K103" s="15" t="s">
        <v>90</v>
      </c>
      <c r="L103" s="15" t="s">
        <v>2153</v>
      </c>
      <c r="M103" s="15" t="s">
        <v>43</v>
      </c>
      <c r="N103" s="15" t="s">
        <v>1609</v>
      </c>
      <c r="O103" s="19" t="s">
        <v>2130</v>
      </c>
    </row>
    <row r="104" ht="56.25" customHeight="1">
      <c r="A104" s="13" t="s">
        <v>2347</v>
      </c>
      <c r="B104" s="51" t="str">
        <f>IMAGE("https://i.imgur.com/jA62xv6.png")</f>
        <v/>
      </c>
      <c r="C104" s="25" t="s">
        <v>28</v>
      </c>
      <c r="D104" s="25" t="s">
        <v>50</v>
      </c>
      <c r="E104" s="13">
        <v>1000.0</v>
      </c>
      <c r="F104" s="13">
        <v>250.0</v>
      </c>
      <c r="G104" s="15">
        <v>7542.0</v>
      </c>
      <c r="H104" s="15" t="s">
        <v>464</v>
      </c>
      <c r="I104" s="15" t="s">
        <v>464</v>
      </c>
      <c r="J104" s="15" t="s">
        <v>60</v>
      </c>
      <c r="K104" s="15" t="s">
        <v>90</v>
      </c>
      <c r="L104" s="15" t="s">
        <v>2153</v>
      </c>
      <c r="M104" s="15" t="s">
        <v>43</v>
      </c>
      <c r="N104" s="15" t="s">
        <v>1609</v>
      </c>
      <c r="O104" s="19" t="s">
        <v>2130</v>
      </c>
    </row>
    <row r="105" ht="56.25" customHeight="1">
      <c r="A105" s="13" t="s">
        <v>2349</v>
      </c>
      <c r="B105" s="48" t="str">
        <f>IMAGE("https://imgur.com/eJoVz9J.png")</f>
        <v/>
      </c>
      <c r="C105" s="25" t="s">
        <v>28</v>
      </c>
      <c r="D105" s="25" t="s">
        <v>50</v>
      </c>
      <c r="E105" s="13">
        <v>1000.0</v>
      </c>
      <c r="F105" s="13">
        <v>250.0</v>
      </c>
      <c r="G105" s="15">
        <v>7537.0</v>
      </c>
      <c r="H105" s="15" t="s">
        <v>208</v>
      </c>
      <c r="I105" s="15" t="s">
        <v>208</v>
      </c>
      <c r="J105" s="15" t="s">
        <v>60</v>
      </c>
      <c r="K105" s="15" t="s">
        <v>90</v>
      </c>
      <c r="L105" s="15" t="s">
        <v>2153</v>
      </c>
      <c r="M105" s="15" t="s">
        <v>43</v>
      </c>
      <c r="N105" s="15" t="s">
        <v>1609</v>
      </c>
      <c r="O105" s="19" t="s">
        <v>2130</v>
      </c>
    </row>
    <row r="106" ht="56.25" customHeight="1">
      <c r="A106" s="13" t="s">
        <v>2350</v>
      </c>
      <c r="B106" s="48" t="str">
        <f>IMAGE("https://i.imgur.com/6jxM2B1.png")</f>
        <v/>
      </c>
      <c r="C106" s="25" t="s">
        <v>28</v>
      </c>
      <c r="D106" s="25" t="s">
        <v>50</v>
      </c>
      <c r="E106" s="13">
        <v>2000.0</v>
      </c>
      <c r="F106" s="13">
        <v>500.0</v>
      </c>
      <c r="G106" s="15">
        <v>7371.0</v>
      </c>
      <c r="H106" s="15" t="s">
        <v>1614</v>
      </c>
      <c r="I106" s="15" t="s">
        <v>1614</v>
      </c>
      <c r="J106" s="15" t="s">
        <v>60</v>
      </c>
      <c r="K106" s="15" t="s">
        <v>113</v>
      </c>
      <c r="L106" s="15" t="s">
        <v>2194</v>
      </c>
      <c r="M106" s="15" t="s">
        <v>43</v>
      </c>
      <c r="N106" s="15" t="s">
        <v>1609</v>
      </c>
      <c r="O106" s="19" t="s">
        <v>2134</v>
      </c>
    </row>
    <row r="107" ht="56.25" customHeight="1">
      <c r="A107" s="13" t="s">
        <v>2351</v>
      </c>
      <c r="B107" s="48" t="str">
        <f>IMAGE("https://i.imgur.com/c4tVgc7.png")</f>
        <v/>
      </c>
      <c r="C107" s="25" t="s">
        <v>28</v>
      </c>
      <c r="D107" s="25" t="s">
        <v>50</v>
      </c>
      <c r="E107" s="13">
        <v>1500.0</v>
      </c>
      <c r="F107" s="13">
        <v>375.0</v>
      </c>
      <c r="G107" s="15">
        <v>7346.0</v>
      </c>
      <c r="H107" s="15" t="s">
        <v>1614</v>
      </c>
      <c r="I107" s="15" t="s">
        <v>82</v>
      </c>
      <c r="J107" s="15" t="s">
        <v>745</v>
      </c>
      <c r="K107" s="15" t="s">
        <v>36</v>
      </c>
      <c r="L107" s="15" t="s">
        <v>2121</v>
      </c>
      <c r="M107" s="15" t="s">
        <v>43</v>
      </c>
      <c r="N107" s="15" t="s">
        <v>1609</v>
      </c>
      <c r="O107" s="19" t="s">
        <v>2118</v>
      </c>
    </row>
    <row r="108" ht="56.25" customHeight="1">
      <c r="A108" s="13" t="s">
        <v>2353</v>
      </c>
      <c r="B108" s="48" t="str">
        <f>IMAGE("https://i.imgur.com/eSMAo3F.png")</f>
        <v/>
      </c>
      <c r="C108" s="25" t="s">
        <v>28</v>
      </c>
      <c r="D108" s="25" t="s">
        <v>50</v>
      </c>
      <c r="E108" s="13">
        <v>1500.0</v>
      </c>
      <c r="F108" s="13">
        <v>375.0</v>
      </c>
      <c r="G108" s="15">
        <v>7369.0</v>
      </c>
      <c r="H108" s="15" t="s">
        <v>369</v>
      </c>
      <c r="I108" s="15" t="s">
        <v>211</v>
      </c>
      <c r="J108" s="15" t="s">
        <v>161</v>
      </c>
      <c r="K108" s="15"/>
      <c r="L108" s="15" t="s">
        <v>2117</v>
      </c>
      <c r="M108" s="15" t="s">
        <v>43</v>
      </c>
      <c r="N108" s="15" t="s">
        <v>1609</v>
      </c>
      <c r="O108" s="19" t="s">
        <v>2118</v>
      </c>
    </row>
    <row r="109" ht="56.25" customHeight="1">
      <c r="A109" s="13" t="s">
        <v>2354</v>
      </c>
      <c r="B109" s="48" t="str">
        <f>IMAGE("https://i.imgur.com/bL1OFKZ.png")</f>
        <v/>
      </c>
      <c r="C109" s="25" t="s">
        <v>28</v>
      </c>
      <c r="D109" s="25" t="s">
        <v>50</v>
      </c>
      <c r="E109" s="13">
        <v>1500.0</v>
      </c>
      <c r="F109" s="13">
        <v>375.0</v>
      </c>
      <c r="G109" s="15">
        <v>7358.0</v>
      </c>
      <c r="H109" s="15" t="s">
        <v>369</v>
      </c>
      <c r="I109" s="15" t="s">
        <v>1608</v>
      </c>
      <c r="J109" s="15" t="s">
        <v>84</v>
      </c>
      <c r="K109" s="15"/>
      <c r="L109" s="15" t="s">
        <v>2121</v>
      </c>
      <c r="M109" s="15" t="s">
        <v>43</v>
      </c>
      <c r="N109" s="15" t="s">
        <v>1609</v>
      </c>
      <c r="O109" s="19" t="s">
        <v>2118</v>
      </c>
    </row>
    <row r="110" ht="56.25" customHeight="1">
      <c r="A110" s="13" t="s">
        <v>2355</v>
      </c>
      <c r="B110" s="48" t="str">
        <f>IMAGE("https://i.imgur.com/cTA8yvc.png")</f>
        <v/>
      </c>
      <c r="C110" s="25" t="s">
        <v>28</v>
      </c>
      <c r="D110" s="25" t="s">
        <v>50</v>
      </c>
      <c r="E110" s="13">
        <v>1500.0</v>
      </c>
      <c r="F110" s="13">
        <v>375.0</v>
      </c>
      <c r="G110" s="15">
        <v>7579.0</v>
      </c>
      <c r="H110" s="15" t="s">
        <v>1614</v>
      </c>
      <c r="I110" s="15" t="s">
        <v>1614</v>
      </c>
      <c r="J110" s="15" t="s">
        <v>36</v>
      </c>
      <c r="K110" s="15" t="s">
        <v>113</v>
      </c>
      <c r="L110" s="15" t="s">
        <v>2121</v>
      </c>
      <c r="M110" s="15" t="s">
        <v>43</v>
      </c>
      <c r="N110" s="15" t="s">
        <v>1609</v>
      </c>
      <c r="O110" s="19" t="s">
        <v>2118</v>
      </c>
    </row>
    <row r="111" ht="56.25" customHeight="1">
      <c r="A111" s="13" t="s">
        <v>2356</v>
      </c>
      <c r="B111" s="48" t="str">
        <f>IMAGE("https://i.imgur.com/lKF6upw.png")</f>
        <v/>
      </c>
      <c r="C111" s="25" t="s">
        <v>28</v>
      </c>
      <c r="D111" s="25" t="s">
        <v>50</v>
      </c>
      <c r="E111" s="13">
        <v>1500.0</v>
      </c>
      <c r="F111" s="13">
        <v>375.0</v>
      </c>
      <c r="G111" s="15">
        <v>7578.0</v>
      </c>
      <c r="H111" s="15" t="s">
        <v>82</v>
      </c>
      <c r="I111" s="15" t="s">
        <v>82</v>
      </c>
      <c r="J111" s="15" t="s">
        <v>36</v>
      </c>
      <c r="K111" s="15" t="s">
        <v>113</v>
      </c>
      <c r="L111" s="15" t="s">
        <v>2121</v>
      </c>
      <c r="M111" s="15" t="s">
        <v>43</v>
      </c>
      <c r="N111" s="15" t="s">
        <v>1609</v>
      </c>
      <c r="O111" s="19" t="s">
        <v>2118</v>
      </c>
    </row>
    <row r="112" ht="56.25" customHeight="1">
      <c r="A112" s="13" t="s">
        <v>2359</v>
      </c>
      <c r="B112" s="48" t="str">
        <f>IMAGE("https://i.imgur.com/Jz4iZtG.png")</f>
        <v/>
      </c>
      <c r="C112" s="25" t="s">
        <v>28</v>
      </c>
      <c r="D112" s="25" t="s">
        <v>50</v>
      </c>
      <c r="E112" s="13">
        <v>1000.0</v>
      </c>
      <c r="F112" s="13">
        <v>250.0</v>
      </c>
      <c r="G112" s="15">
        <v>7338.0</v>
      </c>
      <c r="H112" s="15" t="s">
        <v>82</v>
      </c>
      <c r="I112" s="15" t="s">
        <v>82</v>
      </c>
      <c r="J112" s="15" t="s">
        <v>113</v>
      </c>
      <c r="K112" s="15"/>
      <c r="L112" s="15" t="s">
        <v>2128</v>
      </c>
      <c r="M112" s="15" t="s">
        <v>43</v>
      </c>
      <c r="N112" s="15" t="s">
        <v>1609</v>
      </c>
      <c r="O112" s="19" t="s">
        <v>2130</v>
      </c>
    </row>
    <row r="113" ht="56.25" customHeight="1">
      <c r="A113" s="13" t="s">
        <v>2363</v>
      </c>
      <c r="B113" s="51" t="str">
        <f>IMAGE("https://i.imgur.com/8XsK42j.png")</f>
        <v/>
      </c>
      <c r="C113" s="25" t="s">
        <v>28</v>
      </c>
      <c r="D113" s="25" t="s">
        <v>50</v>
      </c>
      <c r="E113" s="13">
        <v>1500.0</v>
      </c>
      <c r="F113" s="13">
        <v>375.0</v>
      </c>
      <c r="G113" s="15">
        <v>8757.0</v>
      </c>
      <c r="H113" s="15" t="s">
        <v>82</v>
      </c>
      <c r="I113" s="15" t="s">
        <v>82</v>
      </c>
      <c r="J113" s="15" t="s">
        <v>36</v>
      </c>
      <c r="K113" s="15" t="s">
        <v>62</v>
      </c>
      <c r="L113" s="15" t="s">
        <v>2121</v>
      </c>
      <c r="M113" s="15" t="s">
        <v>43</v>
      </c>
      <c r="N113" s="15" t="s">
        <v>1609</v>
      </c>
      <c r="O113" s="19" t="s">
        <v>2118</v>
      </c>
    </row>
    <row r="114" ht="56.25" customHeight="1">
      <c r="A114" s="13" t="s">
        <v>2366</v>
      </c>
      <c r="B114" s="48" t="str">
        <f>IMAGE("https://i.imgur.com/S6GE88x.png")</f>
        <v/>
      </c>
      <c r="C114" s="25" t="s">
        <v>28</v>
      </c>
      <c r="D114" s="25" t="s">
        <v>50</v>
      </c>
      <c r="E114" s="13">
        <v>1500.0</v>
      </c>
      <c r="F114" s="13">
        <v>375.0</v>
      </c>
      <c r="G114" s="15">
        <v>7335.0</v>
      </c>
      <c r="H114" s="15" t="s">
        <v>1608</v>
      </c>
      <c r="I114" s="15" t="s">
        <v>82</v>
      </c>
      <c r="J114" s="15" t="s">
        <v>60</v>
      </c>
      <c r="K114" s="15" t="s">
        <v>90</v>
      </c>
      <c r="L114" s="15" t="s">
        <v>2121</v>
      </c>
      <c r="M114" s="15" t="s">
        <v>43</v>
      </c>
      <c r="N114" s="15" t="s">
        <v>1609</v>
      </c>
      <c r="O114" s="19" t="s">
        <v>2118</v>
      </c>
    </row>
    <row r="115" ht="56.25" customHeight="1">
      <c r="A115" s="13" t="s">
        <v>2370</v>
      </c>
      <c r="B115" s="48" t="str">
        <f>IMAGE("https://i.imgur.com/H2dZyEG.png")</f>
        <v/>
      </c>
      <c r="C115" s="25" t="s">
        <v>28</v>
      </c>
      <c r="D115" s="25" t="s">
        <v>50</v>
      </c>
      <c r="E115" s="13">
        <v>1000.0</v>
      </c>
      <c r="F115" s="13">
        <v>250.0</v>
      </c>
      <c r="G115" s="15">
        <v>7336.0</v>
      </c>
      <c r="H115" s="15" t="s">
        <v>1608</v>
      </c>
      <c r="I115" s="15" t="s">
        <v>82</v>
      </c>
      <c r="J115" s="15" t="s">
        <v>60</v>
      </c>
      <c r="K115" s="15" t="s">
        <v>90</v>
      </c>
      <c r="L115" s="15" t="s">
        <v>2153</v>
      </c>
      <c r="M115" s="15" t="s">
        <v>43</v>
      </c>
      <c r="N115" s="15" t="s">
        <v>1609</v>
      </c>
      <c r="O115" s="19" t="s">
        <v>2130</v>
      </c>
    </row>
    <row r="116" ht="56.25" customHeight="1">
      <c r="A116" s="13" t="s">
        <v>2373</v>
      </c>
      <c r="B116" s="51" t="str">
        <f>IMAGE("https://i.imgur.com/5KXt3dQ.png")</f>
        <v/>
      </c>
      <c r="C116" s="25" t="s">
        <v>28</v>
      </c>
      <c r="D116" s="25" t="s">
        <v>50</v>
      </c>
      <c r="E116" s="13">
        <v>1500.0</v>
      </c>
      <c r="F116" s="13">
        <v>375.0</v>
      </c>
      <c r="G116" s="15">
        <v>7381.0</v>
      </c>
      <c r="H116" s="15" t="s">
        <v>82</v>
      </c>
      <c r="I116" s="15" t="s">
        <v>82</v>
      </c>
      <c r="J116" s="15" t="s">
        <v>338</v>
      </c>
      <c r="K116" s="15"/>
      <c r="L116" s="15" t="s">
        <v>2117</v>
      </c>
      <c r="M116" s="15" t="s">
        <v>43</v>
      </c>
      <c r="N116" s="15" t="s">
        <v>1609</v>
      </c>
      <c r="O116" s="19" t="s">
        <v>2118</v>
      </c>
    </row>
    <row r="117" ht="56.25" customHeight="1">
      <c r="A117" s="13" t="s">
        <v>2375</v>
      </c>
      <c r="B117" s="48" t="str">
        <f>IMAGE("https://i.imgur.com/NRjLBvZ.png")</f>
        <v/>
      </c>
      <c r="C117" s="25" t="s">
        <v>28</v>
      </c>
      <c r="D117" s="25" t="s">
        <v>50</v>
      </c>
      <c r="E117" s="13">
        <v>2000.0</v>
      </c>
      <c r="F117" s="13">
        <v>500.0</v>
      </c>
      <c r="G117" s="15">
        <v>7352.0</v>
      </c>
      <c r="H117" s="15" t="s">
        <v>211</v>
      </c>
      <c r="I117" s="15" t="s">
        <v>211</v>
      </c>
      <c r="J117" s="15" t="s">
        <v>60</v>
      </c>
      <c r="K117" s="15" t="s">
        <v>36</v>
      </c>
      <c r="L117" s="15" t="s">
        <v>2133</v>
      </c>
      <c r="M117" s="15" t="s">
        <v>43</v>
      </c>
      <c r="N117" s="15" t="s">
        <v>1609</v>
      </c>
      <c r="O117" s="19" t="s">
        <v>2134</v>
      </c>
    </row>
    <row r="118" ht="56.25" customHeight="1">
      <c r="A118" s="13" t="s">
        <v>2377</v>
      </c>
      <c r="B118" s="48" t="str">
        <f>IMAGE("https://i.imgur.com/ju73GJn.png")</f>
        <v/>
      </c>
      <c r="C118" s="25" t="s">
        <v>28</v>
      </c>
      <c r="D118" s="25" t="s">
        <v>50</v>
      </c>
      <c r="E118" s="13">
        <v>1500.0</v>
      </c>
      <c r="F118" s="13">
        <v>375.0</v>
      </c>
      <c r="G118" s="15">
        <v>11103.0</v>
      </c>
      <c r="H118" s="15" t="s">
        <v>211</v>
      </c>
      <c r="I118" s="15" t="s">
        <v>118</v>
      </c>
      <c r="J118" s="15" t="s">
        <v>60</v>
      </c>
      <c r="K118" s="15"/>
      <c r="L118" s="15" t="s">
        <v>2121</v>
      </c>
      <c r="M118" s="15" t="s">
        <v>43</v>
      </c>
      <c r="N118" s="15" t="s">
        <v>1609</v>
      </c>
      <c r="O118" s="19" t="s">
        <v>2118</v>
      </c>
    </row>
    <row r="119" ht="56.25" customHeight="1">
      <c r="A119" s="13" t="s">
        <v>2381</v>
      </c>
      <c r="B119" s="48" t="str">
        <f>IMAGE("https://i.imgur.com/IMiYhQh.png")</f>
        <v/>
      </c>
      <c r="C119" s="25" t="s">
        <v>28</v>
      </c>
      <c r="D119" s="25" t="s">
        <v>50</v>
      </c>
      <c r="E119" s="13">
        <v>2000.0</v>
      </c>
      <c r="F119" s="13">
        <v>500.0</v>
      </c>
      <c r="G119" s="15">
        <v>7462.0</v>
      </c>
      <c r="H119" s="15" t="s">
        <v>211</v>
      </c>
      <c r="I119" s="15" t="s">
        <v>369</v>
      </c>
      <c r="J119" s="15" t="s">
        <v>60</v>
      </c>
      <c r="K119" s="15" t="s">
        <v>113</v>
      </c>
      <c r="L119" s="15" t="s">
        <v>2194</v>
      </c>
      <c r="M119" s="15" t="s">
        <v>43</v>
      </c>
      <c r="N119" s="15" t="s">
        <v>1609</v>
      </c>
      <c r="O119" s="19" t="s">
        <v>2134</v>
      </c>
    </row>
    <row r="120" ht="56.25" customHeight="1">
      <c r="A120" s="13" t="s">
        <v>2382</v>
      </c>
      <c r="B120" s="48" t="str">
        <f>IMAGE("https://i.imgur.com/aVJVhNP.png")</f>
        <v/>
      </c>
      <c r="C120" s="25" t="s">
        <v>28</v>
      </c>
      <c r="D120" s="25" t="s">
        <v>50</v>
      </c>
      <c r="E120" s="13">
        <v>2000.0</v>
      </c>
      <c r="F120" s="13">
        <v>500.0</v>
      </c>
      <c r="G120" s="15">
        <v>9315.0</v>
      </c>
      <c r="H120" s="15" t="s">
        <v>211</v>
      </c>
      <c r="I120" s="15" t="s">
        <v>1608</v>
      </c>
      <c r="J120" s="15" t="s">
        <v>60</v>
      </c>
      <c r="K120" s="15"/>
      <c r="L120" s="15" t="s">
        <v>2140</v>
      </c>
      <c r="M120" s="15" t="s">
        <v>43</v>
      </c>
      <c r="N120" s="15" t="s">
        <v>1609</v>
      </c>
      <c r="O120" s="19" t="s">
        <v>2134</v>
      </c>
    </row>
    <row r="121" ht="56.25" customHeight="1">
      <c r="A121" s="13" t="s">
        <v>2384</v>
      </c>
      <c r="B121" s="48" t="str">
        <f>IMAGE("https://i.imgur.com/dINmKMl.png")</f>
        <v/>
      </c>
      <c r="C121" s="25" t="s">
        <v>28</v>
      </c>
      <c r="D121" s="25" t="s">
        <v>50</v>
      </c>
      <c r="E121" s="13">
        <v>1000.0</v>
      </c>
      <c r="F121" s="13">
        <v>250.0</v>
      </c>
      <c r="G121" s="15">
        <v>8395.0</v>
      </c>
      <c r="H121" s="15" t="s">
        <v>211</v>
      </c>
      <c r="I121" s="15" t="s">
        <v>211</v>
      </c>
      <c r="J121" s="15" t="s">
        <v>86</v>
      </c>
      <c r="K121" s="15"/>
      <c r="L121" s="15" t="s">
        <v>2128</v>
      </c>
      <c r="M121" s="15" t="s">
        <v>43</v>
      </c>
      <c r="N121" s="15" t="s">
        <v>1609</v>
      </c>
      <c r="O121" s="19" t="s">
        <v>2130</v>
      </c>
    </row>
    <row r="122" ht="56.25" customHeight="1">
      <c r="A122" s="13" t="s">
        <v>2386</v>
      </c>
      <c r="B122" s="48" t="str">
        <f>IMAGE("https://i.imgur.com/5VGmUIe.png")</f>
        <v/>
      </c>
      <c r="C122" s="25" t="s">
        <v>28</v>
      </c>
      <c r="D122" s="25" t="s">
        <v>50</v>
      </c>
      <c r="E122" s="13">
        <v>1500.0</v>
      </c>
      <c r="F122" s="13">
        <v>375.0</v>
      </c>
      <c r="G122" s="15">
        <v>9544.0</v>
      </c>
      <c r="H122" s="15" t="s">
        <v>211</v>
      </c>
      <c r="I122" s="15" t="s">
        <v>211</v>
      </c>
      <c r="J122" s="15" t="s">
        <v>60</v>
      </c>
      <c r="K122" s="15" t="s">
        <v>113</v>
      </c>
      <c r="L122" s="15" t="s">
        <v>2121</v>
      </c>
      <c r="M122" s="15" t="s">
        <v>43</v>
      </c>
      <c r="N122" s="15" t="s">
        <v>1609</v>
      </c>
      <c r="O122" s="19" t="s">
        <v>2118</v>
      </c>
    </row>
    <row r="123" ht="56.25" customHeight="1">
      <c r="A123" s="13" t="s">
        <v>2389</v>
      </c>
      <c r="B123" s="48" t="str">
        <f>IMAGE("https://i.imgur.com/GFlQflm.png")</f>
        <v/>
      </c>
      <c r="C123" s="25" t="s">
        <v>28</v>
      </c>
      <c r="D123" s="25" t="s">
        <v>50</v>
      </c>
      <c r="E123" s="13">
        <v>1000.0</v>
      </c>
      <c r="F123" s="13">
        <v>250.0</v>
      </c>
      <c r="G123" s="15">
        <v>9311.0</v>
      </c>
      <c r="H123" s="15" t="s">
        <v>211</v>
      </c>
      <c r="I123" s="15" t="s">
        <v>211</v>
      </c>
      <c r="J123" s="15" t="s">
        <v>113</v>
      </c>
      <c r="K123" s="15"/>
      <c r="L123" s="15" t="s">
        <v>2128</v>
      </c>
      <c r="M123" s="15" t="s">
        <v>43</v>
      </c>
      <c r="N123" s="15" t="s">
        <v>1609</v>
      </c>
      <c r="O123" s="19" t="s">
        <v>2130</v>
      </c>
    </row>
    <row r="124" ht="56.25" customHeight="1">
      <c r="A124" s="13" t="s">
        <v>2392</v>
      </c>
      <c r="B124" s="48" t="str">
        <f>IMAGE("https://i.imgur.com/kzbGKkf.png")</f>
        <v/>
      </c>
      <c r="C124" s="25" t="s">
        <v>28</v>
      </c>
      <c r="D124" s="25" t="s">
        <v>50</v>
      </c>
      <c r="E124" s="13">
        <v>2000.0</v>
      </c>
      <c r="F124" s="13">
        <v>500.0</v>
      </c>
      <c r="G124" s="15">
        <v>8036.0</v>
      </c>
      <c r="H124" s="15" t="s">
        <v>211</v>
      </c>
      <c r="I124" s="15" t="s">
        <v>1608</v>
      </c>
      <c r="J124" s="15" t="s">
        <v>62</v>
      </c>
      <c r="K124" s="15" t="s">
        <v>60</v>
      </c>
      <c r="L124" s="15" t="s">
        <v>2140</v>
      </c>
      <c r="M124" s="15" t="s">
        <v>43</v>
      </c>
      <c r="N124" s="15" t="s">
        <v>1609</v>
      </c>
      <c r="O124" s="19" t="s">
        <v>2134</v>
      </c>
    </row>
    <row r="125" ht="56.25" customHeight="1">
      <c r="A125" s="13" t="s">
        <v>2396</v>
      </c>
      <c r="B125" s="48" t="str">
        <f>IMAGE("https://i.imgur.com/eOzFOSV.png")</f>
        <v/>
      </c>
      <c r="C125" s="25" t="s">
        <v>28</v>
      </c>
      <c r="D125" s="25" t="s">
        <v>50</v>
      </c>
      <c r="E125" s="13">
        <v>1500.0</v>
      </c>
      <c r="F125" s="13">
        <v>375.0</v>
      </c>
      <c r="G125" s="15">
        <v>8759.0</v>
      </c>
      <c r="H125" s="15" t="s">
        <v>211</v>
      </c>
      <c r="I125" s="15" t="s">
        <v>211</v>
      </c>
      <c r="J125" s="15" t="s">
        <v>36</v>
      </c>
      <c r="K125" s="15" t="s">
        <v>62</v>
      </c>
      <c r="L125" s="15" t="s">
        <v>2121</v>
      </c>
      <c r="M125" s="15" t="s">
        <v>43</v>
      </c>
      <c r="N125" s="15" t="s">
        <v>1609</v>
      </c>
      <c r="O125" s="19" t="s">
        <v>2118</v>
      </c>
    </row>
    <row r="126" ht="56.25" customHeight="1">
      <c r="A126" s="13" t="s">
        <v>2399</v>
      </c>
      <c r="B126" s="48" t="str">
        <f>IMAGE("https://i.imgur.com/IJidWcC.png")</f>
        <v/>
      </c>
      <c r="C126" s="25" t="s">
        <v>28</v>
      </c>
      <c r="D126" s="25" t="s">
        <v>50</v>
      </c>
      <c r="E126" s="13">
        <v>1000.0</v>
      </c>
      <c r="F126" s="13">
        <v>250.0</v>
      </c>
      <c r="G126" s="15">
        <v>9547.0</v>
      </c>
      <c r="H126" s="15" t="s">
        <v>211</v>
      </c>
      <c r="I126" s="15" t="s">
        <v>211</v>
      </c>
      <c r="J126" s="15" t="s">
        <v>60</v>
      </c>
      <c r="K126" s="15" t="s">
        <v>113</v>
      </c>
      <c r="L126" s="15" t="s">
        <v>2153</v>
      </c>
      <c r="M126" s="15" t="s">
        <v>43</v>
      </c>
      <c r="N126" s="15" t="s">
        <v>1609</v>
      </c>
      <c r="O126" s="19" t="s">
        <v>2130</v>
      </c>
    </row>
    <row r="127" ht="56.25" customHeight="1">
      <c r="A127" s="13" t="s">
        <v>2402</v>
      </c>
      <c r="B127" s="48" t="str">
        <f>IMAGE("https://i.imgur.com/0QYqsmg.png")</f>
        <v/>
      </c>
      <c r="C127" s="25" t="s">
        <v>28</v>
      </c>
      <c r="D127" s="25" t="s">
        <v>50</v>
      </c>
      <c r="E127" s="13">
        <v>2000.0</v>
      </c>
      <c r="F127" s="13">
        <v>500.0</v>
      </c>
      <c r="G127" s="15">
        <v>7351.0</v>
      </c>
      <c r="H127" s="15" t="s">
        <v>211</v>
      </c>
      <c r="I127" s="15" t="s">
        <v>82</v>
      </c>
      <c r="J127" s="15" t="s">
        <v>36</v>
      </c>
      <c r="K127" s="15" t="s">
        <v>113</v>
      </c>
      <c r="L127" s="15" t="s">
        <v>2133</v>
      </c>
      <c r="M127" s="15" t="s">
        <v>43</v>
      </c>
      <c r="N127" s="15" t="s">
        <v>1609</v>
      </c>
      <c r="O127" s="19" t="s">
        <v>2134</v>
      </c>
    </row>
    <row r="128" ht="56.25" customHeight="1">
      <c r="A128" s="13" t="s">
        <v>2404</v>
      </c>
      <c r="B128" s="48" t="str">
        <f>IMAGE("https://i.imgur.com/bQtnZsQ.png")</f>
        <v/>
      </c>
      <c r="C128" s="25" t="s">
        <v>28</v>
      </c>
      <c r="D128" s="25" t="s">
        <v>50</v>
      </c>
      <c r="E128" s="13">
        <v>1500.0</v>
      </c>
      <c r="F128" s="13">
        <v>375.0</v>
      </c>
      <c r="G128" s="15">
        <v>7403.0</v>
      </c>
      <c r="H128" s="15" t="s">
        <v>211</v>
      </c>
      <c r="I128" s="15" t="s">
        <v>258</v>
      </c>
      <c r="J128" s="15" t="s">
        <v>95</v>
      </c>
      <c r="K128" s="15"/>
      <c r="L128" s="15" t="s">
        <v>2117</v>
      </c>
      <c r="M128" s="15" t="s">
        <v>43</v>
      </c>
      <c r="N128" s="15" t="s">
        <v>1609</v>
      </c>
      <c r="O128" s="19" t="s">
        <v>2118</v>
      </c>
    </row>
    <row r="129" ht="56.25" customHeight="1">
      <c r="A129" s="13" t="s">
        <v>2407</v>
      </c>
      <c r="B129" s="48" t="str">
        <f>IMAGE("https://i.imgur.com/JHwvCFd.png")</f>
        <v/>
      </c>
      <c r="C129" s="25" t="s">
        <v>28</v>
      </c>
      <c r="D129" s="25" t="s">
        <v>50</v>
      </c>
      <c r="E129" s="13">
        <v>1000.0</v>
      </c>
      <c r="F129" s="13">
        <v>250.0</v>
      </c>
      <c r="G129" s="15">
        <v>7596.0</v>
      </c>
      <c r="H129" s="15" t="s">
        <v>211</v>
      </c>
      <c r="I129" s="15" t="s">
        <v>99</v>
      </c>
      <c r="J129" s="15" t="s">
        <v>86</v>
      </c>
      <c r="K129" s="15"/>
      <c r="L129" s="15" t="s">
        <v>2128</v>
      </c>
      <c r="M129" s="15" t="s">
        <v>43</v>
      </c>
      <c r="N129" s="15" t="s">
        <v>1609</v>
      </c>
      <c r="O129" s="19" t="s">
        <v>2130</v>
      </c>
    </row>
  </sheetData>
  <customSheetViews>
    <customSheetView guid="{11AB3FAE-053A-40A1-A322-CF1AF7514E6A}" filter="1" showAutoFilter="1">
      <autoFilter ref="$A$1:$G$129"/>
    </customSheetView>
  </customSheetView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14"/>
    <col customWidth="1" min="2" max="2" width="10.86"/>
    <col customWidth="1" min="3" max="3" width="9.14"/>
    <col customWidth="1" min="4" max="5" width="5.29"/>
    <col customWidth="1" min="6" max="6" width="14.71"/>
    <col customWidth="1" min="7" max="7" width="8.14"/>
    <col customWidth="1" min="8" max="9" width="9.43"/>
  </cols>
  <sheetData>
    <row r="1" ht="30.0" customHeight="1">
      <c r="A1" s="50" t="s">
        <v>0</v>
      </c>
      <c r="B1" s="7" t="s">
        <v>1</v>
      </c>
      <c r="C1" s="16" t="s">
        <v>3</v>
      </c>
      <c r="D1" s="16" t="s">
        <v>6</v>
      </c>
      <c r="E1" s="16" t="s">
        <v>7</v>
      </c>
      <c r="F1" s="16" t="s">
        <v>2286</v>
      </c>
      <c r="G1" s="7" t="s">
        <v>8</v>
      </c>
      <c r="H1" s="7" t="s">
        <v>1602</v>
      </c>
      <c r="I1" s="7" t="s">
        <v>1603</v>
      </c>
    </row>
    <row r="2" ht="56.25" customHeight="1">
      <c r="A2" s="21" t="s">
        <v>2287</v>
      </c>
      <c r="B2" s="19" t="str">
        <f>image("https://storage.googleapis.com/acdb/photos/BromideNpcNmlBrd06_Remake_0_0.png")</f>
        <v/>
      </c>
      <c r="C2" s="21" t="s">
        <v>219</v>
      </c>
      <c r="D2" s="21" t="s">
        <v>51</v>
      </c>
      <c r="E2" s="21">
        <v>10.0</v>
      </c>
      <c r="F2" s="21" t="s">
        <v>2289</v>
      </c>
      <c r="G2" s="19">
        <v>6626.0</v>
      </c>
      <c r="H2" s="19" t="s">
        <v>369</v>
      </c>
      <c r="I2" s="19" t="s">
        <v>112</v>
      </c>
    </row>
    <row r="3" ht="56.25" customHeight="1">
      <c r="A3" s="21" t="s">
        <v>2287</v>
      </c>
      <c r="B3" s="19" t="str">
        <f>image("https://storage.googleapis.com/acdb/photos/BromideNpcNmlBrd06_Remake_1_0.png")</f>
        <v/>
      </c>
      <c r="C3" s="21" t="s">
        <v>795</v>
      </c>
      <c r="D3" s="21" t="s">
        <v>51</v>
      </c>
      <c r="E3" s="21">
        <v>10.0</v>
      </c>
      <c r="F3" s="21" t="s">
        <v>2289</v>
      </c>
      <c r="G3" s="19">
        <v>6626.0</v>
      </c>
      <c r="H3" s="19" t="s">
        <v>369</v>
      </c>
      <c r="I3" s="19" t="s">
        <v>112</v>
      </c>
    </row>
    <row r="4" ht="56.25" customHeight="1">
      <c r="A4" s="21" t="s">
        <v>2287</v>
      </c>
      <c r="B4" s="19" t="str">
        <f>image("https://storage.googleapis.com/acdb/photos/BromideNpcNmlBrd06_Remake_2_0.png")</f>
        <v/>
      </c>
      <c r="C4" s="21" t="s">
        <v>954</v>
      </c>
      <c r="D4" s="21" t="s">
        <v>51</v>
      </c>
      <c r="E4" s="21">
        <v>10.0</v>
      </c>
      <c r="F4" s="21" t="s">
        <v>2289</v>
      </c>
      <c r="G4" s="19">
        <v>6626.0</v>
      </c>
      <c r="H4" s="19" t="s">
        <v>369</v>
      </c>
      <c r="I4" s="19" t="s">
        <v>112</v>
      </c>
    </row>
    <row r="5" ht="56.25" customHeight="1">
      <c r="A5" s="21" t="s">
        <v>2287</v>
      </c>
      <c r="B5" s="19" t="str">
        <f>image("https://storage.googleapis.com/acdb/photos/BromideNpcNmlBrd06_Remake_3_0.png")</f>
        <v/>
      </c>
      <c r="C5" s="21" t="s">
        <v>82</v>
      </c>
      <c r="D5" s="21" t="s">
        <v>51</v>
      </c>
      <c r="E5" s="21">
        <v>10.0</v>
      </c>
      <c r="F5" s="21" t="s">
        <v>2289</v>
      </c>
      <c r="G5" s="19">
        <v>6626.0</v>
      </c>
      <c r="H5" s="19" t="s">
        <v>369</v>
      </c>
      <c r="I5" s="19" t="s">
        <v>112</v>
      </c>
    </row>
    <row r="6" ht="56.25" customHeight="1">
      <c r="A6" s="21" t="s">
        <v>2287</v>
      </c>
      <c r="B6" s="19" t="str">
        <f>image("https://storage.googleapis.com/acdb/photos/BromideNpcNmlBrd06_Remake_4_0.png")</f>
        <v/>
      </c>
      <c r="C6" s="21" t="s">
        <v>833</v>
      </c>
      <c r="D6" s="21" t="s">
        <v>51</v>
      </c>
      <c r="E6" s="21">
        <v>10.0</v>
      </c>
      <c r="F6" s="21" t="s">
        <v>2289</v>
      </c>
      <c r="G6" s="19">
        <v>6626.0</v>
      </c>
      <c r="H6" s="19" t="s">
        <v>369</v>
      </c>
      <c r="I6" s="19" t="s">
        <v>112</v>
      </c>
    </row>
    <row r="7" ht="56.25" customHeight="1">
      <c r="A7" s="21" t="s">
        <v>2287</v>
      </c>
      <c r="B7" s="19" t="str">
        <f>image("https://storage.googleapis.com/acdb/photos/BromideNpcNmlBrd06_Remake_5_0.png")</f>
        <v/>
      </c>
      <c r="C7" s="21" t="s">
        <v>258</v>
      </c>
      <c r="D7" s="21" t="s">
        <v>51</v>
      </c>
      <c r="E7" s="21">
        <v>10.0</v>
      </c>
      <c r="F7" s="21" t="s">
        <v>2289</v>
      </c>
      <c r="G7" s="19">
        <v>6626.0</v>
      </c>
      <c r="H7" s="19" t="s">
        <v>369</v>
      </c>
      <c r="I7" s="19" t="s">
        <v>112</v>
      </c>
    </row>
    <row r="8" ht="56.25" customHeight="1">
      <c r="A8" s="21" t="s">
        <v>2287</v>
      </c>
      <c r="B8" s="19" t="str">
        <f>image("https://storage.googleapis.com/acdb/photos/BromideNpcNmlBrd06_Remake_6_0.png")</f>
        <v/>
      </c>
      <c r="C8" s="21" t="s">
        <v>182</v>
      </c>
      <c r="D8" s="21" t="s">
        <v>51</v>
      </c>
      <c r="E8" s="21">
        <v>10.0</v>
      </c>
      <c r="F8" s="21" t="s">
        <v>2289</v>
      </c>
      <c r="G8" s="19">
        <v>6626.0</v>
      </c>
      <c r="H8" s="19" t="s">
        <v>369</v>
      </c>
      <c r="I8" s="19" t="s">
        <v>112</v>
      </c>
    </row>
    <row r="9" ht="56.25" customHeight="1">
      <c r="A9" s="21" t="s">
        <v>2287</v>
      </c>
      <c r="B9" s="19" t="str">
        <f>image("https://storage.googleapis.com/acdb/photos/BromideNpcNmlBrd06_Remake_7_0.png")</f>
        <v/>
      </c>
      <c r="C9" s="21" t="s">
        <v>187</v>
      </c>
      <c r="D9" s="21" t="s">
        <v>51</v>
      </c>
      <c r="E9" s="21">
        <v>10.0</v>
      </c>
      <c r="F9" s="21" t="s">
        <v>2289</v>
      </c>
      <c r="G9" s="19">
        <v>6626.0</v>
      </c>
      <c r="H9" s="19" t="s">
        <v>369</v>
      </c>
      <c r="I9" s="19" t="s">
        <v>112</v>
      </c>
    </row>
    <row r="10" ht="56.25" customHeight="1">
      <c r="A10" s="21" t="s">
        <v>2301</v>
      </c>
      <c r="B10" s="19" t="str">
        <f>image("https://storage.googleapis.com/acdb/photos/BromideNpcNmlSqu05_Remake_0_0.png")</f>
        <v/>
      </c>
      <c r="C10" s="21" t="s">
        <v>219</v>
      </c>
      <c r="D10" s="21" t="s">
        <v>51</v>
      </c>
      <c r="E10" s="21">
        <v>10.0</v>
      </c>
      <c r="F10" s="21" t="s">
        <v>2289</v>
      </c>
      <c r="G10" s="19">
        <v>6709.0</v>
      </c>
      <c r="H10" s="19" t="s">
        <v>112</v>
      </c>
      <c r="I10" s="19" t="s">
        <v>94</v>
      </c>
    </row>
    <row r="11" ht="56.25" customHeight="1">
      <c r="A11" s="21" t="s">
        <v>2301</v>
      </c>
      <c r="B11" s="19" t="str">
        <f>image("https://storage.googleapis.com/acdb/photos/BromideNpcNmlSqu05_Remake_1_0.png")</f>
        <v/>
      </c>
      <c r="C11" s="21" t="s">
        <v>795</v>
      </c>
      <c r="D11" s="21" t="s">
        <v>51</v>
      </c>
      <c r="E11" s="21">
        <v>10.0</v>
      </c>
      <c r="F11" s="21" t="s">
        <v>2289</v>
      </c>
      <c r="G11" s="19">
        <v>6709.0</v>
      </c>
      <c r="H11" s="19" t="s">
        <v>112</v>
      </c>
      <c r="I11" s="19" t="s">
        <v>94</v>
      </c>
    </row>
    <row r="12" ht="56.25" customHeight="1">
      <c r="A12" s="21" t="s">
        <v>2301</v>
      </c>
      <c r="B12" s="19" t="str">
        <f>image("https://storage.googleapis.com/acdb/photos/BromideNpcNmlSqu05_Remake_2_0.png")</f>
        <v/>
      </c>
      <c r="C12" s="21" t="s">
        <v>954</v>
      </c>
      <c r="D12" s="21" t="s">
        <v>51</v>
      </c>
      <c r="E12" s="21">
        <v>10.0</v>
      </c>
      <c r="F12" s="21" t="s">
        <v>2289</v>
      </c>
      <c r="G12" s="19">
        <v>6709.0</v>
      </c>
      <c r="H12" s="19" t="s">
        <v>112</v>
      </c>
      <c r="I12" s="19" t="s">
        <v>94</v>
      </c>
    </row>
    <row r="13" ht="56.25" customHeight="1">
      <c r="A13" s="21" t="s">
        <v>2301</v>
      </c>
      <c r="B13" s="19" t="str">
        <f>image("https://storage.googleapis.com/acdb/photos/BromideNpcNmlSqu05_Remake_3_0.png")</f>
        <v/>
      </c>
      <c r="C13" s="21" t="s">
        <v>82</v>
      </c>
      <c r="D13" s="21" t="s">
        <v>51</v>
      </c>
      <c r="E13" s="21">
        <v>10.0</v>
      </c>
      <c r="F13" s="21" t="s">
        <v>2289</v>
      </c>
      <c r="G13" s="19">
        <v>6709.0</v>
      </c>
      <c r="H13" s="19" t="s">
        <v>112</v>
      </c>
      <c r="I13" s="19" t="s">
        <v>94</v>
      </c>
    </row>
    <row r="14" ht="56.25" customHeight="1">
      <c r="A14" s="21" t="s">
        <v>2301</v>
      </c>
      <c r="B14" s="19" t="str">
        <f>image("https://storage.googleapis.com/acdb/photos/BromideNpcNmlSqu05_Remake_4_0.png")</f>
        <v/>
      </c>
      <c r="C14" s="21" t="s">
        <v>833</v>
      </c>
      <c r="D14" s="21" t="s">
        <v>51</v>
      </c>
      <c r="E14" s="21">
        <v>10.0</v>
      </c>
      <c r="F14" s="21" t="s">
        <v>2289</v>
      </c>
      <c r="G14" s="19">
        <v>6709.0</v>
      </c>
      <c r="H14" s="19" t="s">
        <v>112</v>
      </c>
      <c r="I14" s="19" t="s">
        <v>94</v>
      </c>
    </row>
    <row r="15" ht="56.25" customHeight="1">
      <c r="A15" s="21" t="s">
        <v>2301</v>
      </c>
      <c r="B15" s="19" t="str">
        <f>image("https://storage.googleapis.com/acdb/photos/BromideNpcNmlSqu05_Remake_5_0.png")</f>
        <v/>
      </c>
      <c r="C15" s="21" t="s">
        <v>258</v>
      </c>
      <c r="D15" s="21" t="s">
        <v>51</v>
      </c>
      <c r="E15" s="21">
        <v>10.0</v>
      </c>
      <c r="F15" s="21" t="s">
        <v>2289</v>
      </c>
      <c r="G15" s="19">
        <v>6709.0</v>
      </c>
      <c r="H15" s="19" t="s">
        <v>112</v>
      </c>
      <c r="I15" s="19" t="s">
        <v>94</v>
      </c>
    </row>
    <row r="16" ht="56.25" customHeight="1">
      <c r="A16" s="21" t="s">
        <v>2301</v>
      </c>
      <c r="B16" s="19" t="str">
        <f>image("https://storage.googleapis.com/acdb/photos/BromideNpcNmlSqu05_Remake_6_0.png")</f>
        <v/>
      </c>
      <c r="C16" s="21" t="s">
        <v>182</v>
      </c>
      <c r="D16" s="21" t="s">
        <v>51</v>
      </c>
      <c r="E16" s="21">
        <v>10.0</v>
      </c>
      <c r="F16" s="21" t="s">
        <v>2289</v>
      </c>
      <c r="G16" s="19">
        <v>6709.0</v>
      </c>
      <c r="H16" s="19" t="s">
        <v>112</v>
      </c>
      <c r="I16" s="19" t="s">
        <v>94</v>
      </c>
    </row>
    <row r="17" ht="56.25" customHeight="1">
      <c r="A17" s="21" t="s">
        <v>2301</v>
      </c>
      <c r="B17" s="19" t="str">
        <f>image("https://storage.googleapis.com/acdb/photos/BromideNpcNmlSqu05_Remake_7_0.png")</f>
        <v/>
      </c>
      <c r="C17" s="21" t="s">
        <v>187</v>
      </c>
      <c r="D17" s="21" t="s">
        <v>51</v>
      </c>
      <c r="E17" s="21">
        <v>10.0</v>
      </c>
      <c r="F17" s="21" t="s">
        <v>2289</v>
      </c>
      <c r="G17" s="19">
        <v>6709.0</v>
      </c>
      <c r="H17" s="19" t="s">
        <v>112</v>
      </c>
      <c r="I17" s="19" t="s">
        <v>94</v>
      </c>
    </row>
    <row r="18" ht="56.25" customHeight="1">
      <c r="A18" s="21" t="s">
        <v>2312</v>
      </c>
      <c r="B18" s="19" t="str">
        <f>image("https://storage.googleapis.com/acdb/photos/BromideNpcNmlPig17_Remake_0_0.png")</f>
        <v/>
      </c>
      <c r="C18" s="21" t="s">
        <v>219</v>
      </c>
      <c r="D18" s="21" t="s">
        <v>51</v>
      </c>
      <c r="E18" s="21">
        <v>10.0</v>
      </c>
      <c r="F18" s="21" t="s">
        <v>2289</v>
      </c>
      <c r="G18" s="19">
        <v>6661.0</v>
      </c>
      <c r="H18" s="19" t="s">
        <v>107</v>
      </c>
      <c r="I18" s="19" t="s">
        <v>99</v>
      </c>
    </row>
    <row r="19" ht="56.25" customHeight="1">
      <c r="A19" s="21" t="s">
        <v>2312</v>
      </c>
      <c r="B19" s="19" t="str">
        <f>image("https://storage.googleapis.com/acdb/photos/BromideNpcNmlPig17_Remake_1_0.png")</f>
        <v/>
      </c>
      <c r="C19" s="21" t="s">
        <v>795</v>
      </c>
      <c r="D19" s="21" t="s">
        <v>51</v>
      </c>
      <c r="E19" s="21">
        <v>10.0</v>
      </c>
      <c r="F19" s="21" t="s">
        <v>2289</v>
      </c>
      <c r="G19" s="19">
        <v>6661.0</v>
      </c>
      <c r="H19" s="19" t="s">
        <v>107</v>
      </c>
      <c r="I19" s="19" t="s">
        <v>99</v>
      </c>
    </row>
    <row r="20" ht="56.25" customHeight="1">
      <c r="A20" s="21" t="s">
        <v>2312</v>
      </c>
      <c r="B20" s="19" t="str">
        <f>image("https://storage.googleapis.com/acdb/photos/BromideNpcNmlPig17_Remake_2_0.png")</f>
        <v/>
      </c>
      <c r="C20" s="21" t="s">
        <v>954</v>
      </c>
      <c r="D20" s="21" t="s">
        <v>51</v>
      </c>
      <c r="E20" s="21">
        <v>10.0</v>
      </c>
      <c r="F20" s="21" t="s">
        <v>2289</v>
      </c>
      <c r="G20" s="19">
        <v>6661.0</v>
      </c>
      <c r="H20" s="19" t="s">
        <v>107</v>
      </c>
      <c r="I20" s="19" t="s">
        <v>99</v>
      </c>
    </row>
    <row r="21" ht="56.25" customHeight="1">
      <c r="A21" s="21" t="s">
        <v>2312</v>
      </c>
      <c r="B21" s="19" t="str">
        <f>image("https://storage.googleapis.com/acdb/photos/BromideNpcNmlPig17_Remake_3_0.png")</f>
        <v/>
      </c>
      <c r="C21" s="21" t="s">
        <v>82</v>
      </c>
      <c r="D21" s="21" t="s">
        <v>51</v>
      </c>
      <c r="E21" s="21">
        <v>10.0</v>
      </c>
      <c r="F21" s="21" t="s">
        <v>2289</v>
      </c>
      <c r="G21" s="19">
        <v>6661.0</v>
      </c>
      <c r="H21" s="19" t="s">
        <v>107</v>
      </c>
      <c r="I21" s="19" t="s">
        <v>99</v>
      </c>
    </row>
    <row r="22" ht="56.25" customHeight="1">
      <c r="A22" s="21" t="s">
        <v>2312</v>
      </c>
      <c r="B22" s="19" t="str">
        <f>image("https://storage.googleapis.com/acdb/photos/BromideNpcNmlPig17_Remake_4_0.png")</f>
        <v/>
      </c>
      <c r="C22" s="21" t="s">
        <v>833</v>
      </c>
      <c r="D22" s="21" t="s">
        <v>51</v>
      </c>
      <c r="E22" s="21">
        <v>10.0</v>
      </c>
      <c r="F22" s="21" t="s">
        <v>2289</v>
      </c>
      <c r="G22" s="19">
        <v>6661.0</v>
      </c>
      <c r="H22" s="19" t="s">
        <v>107</v>
      </c>
      <c r="I22" s="19" t="s">
        <v>99</v>
      </c>
    </row>
    <row r="23" ht="56.25" customHeight="1">
      <c r="A23" s="21" t="s">
        <v>2312</v>
      </c>
      <c r="B23" s="19" t="str">
        <f>image("https://storage.googleapis.com/acdb/photos/BromideNpcNmlPig17_Remake_5_0.png")</f>
        <v/>
      </c>
      <c r="C23" s="21" t="s">
        <v>258</v>
      </c>
      <c r="D23" s="21" t="s">
        <v>51</v>
      </c>
      <c r="E23" s="21">
        <v>10.0</v>
      </c>
      <c r="F23" s="21" t="s">
        <v>2289</v>
      </c>
      <c r="G23" s="19">
        <v>6661.0</v>
      </c>
      <c r="H23" s="19" t="s">
        <v>107</v>
      </c>
      <c r="I23" s="19" t="s">
        <v>99</v>
      </c>
    </row>
    <row r="24" ht="56.25" customHeight="1">
      <c r="A24" s="21" t="s">
        <v>2312</v>
      </c>
      <c r="B24" s="19" t="str">
        <f>image("https://storage.googleapis.com/acdb/photos/BromideNpcNmlPig17_Remake_6_0.png")</f>
        <v/>
      </c>
      <c r="C24" s="21" t="s">
        <v>182</v>
      </c>
      <c r="D24" s="21" t="s">
        <v>51</v>
      </c>
      <c r="E24" s="21">
        <v>10.0</v>
      </c>
      <c r="F24" s="21" t="s">
        <v>2289</v>
      </c>
      <c r="G24" s="19">
        <v>6661.0</v>
      </c>
      <c r="H24" s="19" t="s">
        <v>107</v>
      </c>
      <c r="I24" s="19" t="s">
        <v>99</v>
      </c>
    </row>
    <row r="25" ht="56.25" customHeight="1">
      <c r="A25" s="21" t="s">
        <v>2312</v>
      </c>
      <c r="B25" s="19" t="str">
        <f>image("https://storage.googleapis.com/acdb/photos/BromideNpcNmlPig17_Remake_7_0.png")</f>
        <v/>
      </c>
      <c r="C25" s="21" t="s">
        <v>187</v>
      </c>
      <c r="D25" s="21" t="s">
        <v>51</v>
      </c>
      <c r="E25" s="21">
        <v>10.0</v>
      </c>
      <c r="F25" s="21" t="s">
        <v>2289</v>
      </c>
      <c r="G25" s="19">
        <v>6661.0</v>
      </c>
      <c r="H25" s="19" t="s">
        <v>107</v>
      </c>
      <c r="I25" s="19" t="s">
        <v>99</v>
      </c>
    </row>
    <row r="26" ht="56.25" customHeight="1">
      <c r="A26" s="21" t="s">
        <v>2323</v>
      </c>
      <c r="B26" s="19" t="str">
        <f>image("https://storage.googleapis.com/acdb/photos/BromideNpcNmlGor08_Remake_0_0.png")</f>
        <v/>
      </c>
      <c r="C26" s="21" t="s">
        <v>219</v>
      </c>
      <c r="D26" s="21" t="s">
        <v>51</v>
      </c>
      <c r="E26" s="21">
        <v>10.0</v>
      </c>
      <c r="F26" s="21" t="s">
        <v>2289</v>
      </c>
      <c r="G26" s="19">
        <v>6518.0</v>
      </c>
      <c r="H26" s="19" t="s">
        <v>208</v>
      </c>
      <c r="I26" s="19" t="s">
        <v>1614</v>
      </c>
    </row>
    <row r="27" ht="56.25" customHeight="1">
      <c r="A27" s="21" t="s">
        <v>2323</v>
      </c>
      <c r="B27" s="19" t="str">
        <f>image("https://storage.googleapis.com/acdb/photos/BromideNpcNmlGor08_Remake_1_0.png")</f>
        <v/>
      </c>
      <c r="C27" s="21" t="s">
        <v>795</v>
      </c>
      <c r="D27" s="21" t="s">
        <v>51</v>
      </c>
      <c r="E27" s="21">
        <v>10.0</v>
      </c>
      <c r="F27" s="21" t="s">
        <v>2289</v>
      </c>
      <c r="G27" s="19">
        <v>6518.0</v>
      </c>
      <c r="H27" s="19" t="s">
        <v>208</v>
      </c>
      <c r="I27" s="19" t="s">
        <v>1614</v>
      </c>
    </row>
    <row r="28" ht="56.25" customHeight="1">
      <c r="A28" s="21" t="s">
        <v>2323</v>
      </c>
      <c r="B28" s="19" t="str">
        <f>image("https://storage.googleapis.com/acdb/photos/BromideNpcNmlGor08_Remake_2_0.png")</f>
        <v/>
      </c>
      <c r="C28" s="21" t="s">
        <v>954</v>
      </c>
      <c r="D28" s="21" t="s">
        <v>51</v>
      </c>
      <c r="E28" s="21">
        <v>10.0</v>
      </c>
      <c r="F28" s="21" t="s">
        <v>2289</v>
      </c>
      <c r="G28" s="19">
        <v>6518.0</v>
      </c>
      <c r="H28" s="19" t="s">
        <v>208</v>
      </c>
      <c r="I28" s="19" t="s">
        <v>1614</v>
      </c>
    </row>
    <row r="29" ht="56.25" customHeight="1">
      <c r="A29" s="21" t="s">
        <v>2323</v>
      </c>
      <c r="B29" s="19" t="str">
        <f>image("https://storage.googleapis.com/acdb/photos/BromideNpcNmlGor08_Remake_3_0.png")</f>
        <v/>
      </c>
      <c r="C29" s="21" t="s">
        <v>82</v>
      </c>
      <c r="D29" s="21" t="s">
        <v>51</v>
      </c>
      <c r="E29" s="21">
        <v>10.0</v>
      </c>
      <c r="F29" s="21" t="s">
        <v>2289</v>
      </c>
      <c r="G29" s="19">
        <v>6518.0</v>
      </c>
      <c r="H29" s="19" t="s">
        <v>208</v>
      </c>
      <c r="I29" s="19" t="s">
        <v>1614</v>
      </c>
    </row>
    <row r="30" ht="56.25" customHeight="1">
      <c r="A30" s="21" t="s">
        <v>2323</v>
      </c>
      <c r="B30" s="19" t="str">
        <f>image("https://storage.googleapis.com/acdb/photos/BromideNpcNmlGor08_Remake_4_0.png")</f>
        <v/>
      </c>
      <c r="C30" s="21" t="s">
        <v>833</v>
      </c>
      <c r="D30" s="21" t="s">
        <v>51</v>
      </c>
      <c r="E30" s="21">
        <v>10.0</v>
      </c>
      <c r="F30" s="21" t="s">
        <v>2289</v>
      </c>
      <c r="G30" s="19">
        <v>6518.0</v>
      </c>
      <c r="H30" s="19" t="s">
        <v>208</v>
      </c>
      <c r="I30" s="19" t="s">
        <v>1614</v>
      </c>
    </row>
    <row r="31" ht="56.25" customHeight="1">
      <c r="A31" s="21" t="s">
        <v>2323</v>
      </c>
      <c r="B31" s="19" t="str">
        <f>image("https://storage.googleapis.com/acdb/photos/BromideNpcNmlGor08_Remake_5_0.png")</f>
        <v/>
      </c>
      <c r="C31" s="21" t="s">
        <v>258</v>
      </c>
      <c r="D31" s="21" t="s">
        <v>51</v>
      </c>
      <c r="E31" s="21">
        <v>10.0</v>
      </c>
      <c r="F31" s="21" t="s">
        <v>2289</v>
      </c>
      <c r="G31" s="19">
        <v>6518.0</v>
      </c>
      <c r="H31" s="19" t="s">
        <v>208</v>
      </c>
      <c r="I31" s="19" t="s">
        <v>1614</v>
      </c>
    </row>
    <row r="32" ht="56.25" customHeight="1">
      <c r="A32" s="21" t="s">
        <v>2323</v>
      </c>
      <c r="B32" s="19" t="str">
        <f>image("https://storage.googleapis.com/acdb/photos/BromideNpcNmlGor08_Remake_6_0.png")</f>
        <v/>
      </c>
      <c r="C32" s="21" t="s">
        <v>182</v>
      </c>
      <c r="D32" s="21" t="s">
        <v>51</v>
      </c>
      <c r="E32" s="21">
        <v>10.0</v>
      </c>
      <c r="F32" s="21" t="s">
        <v>2289</v>
      </c>
      <c r="G32" s="19">
        <v>6518.0</v>
      </c>
      <c r="H32" s="19" t="s">
        <v>208</v>
      </c>
      <c r="I32" s="19" t="s">
        <v>1614</v>
      </c>
    </row>
    <row r="33" ht="56.25" customHeight="1">
      <c r="A33" s="21" t="s">
        <v>2323</v>
      </c>
      <c r="B33" s="19" t="str">
        <f>image("https://storage.googleapis.com/acdb/photos/BromideNpcNmlGor08_Remake_7_0.png")</f>
        <v/>
      </c>
      <c r="C33" s="21" t="s">
        <v>187</v>
      </c>
      <c r="D33" s="21" t="s">
        <v>51</v>
      </c>
      <c r="E33" s="21">
        <v>10.0</v>
      </c>
      <c r="F33" s="21" t="s">
        <v>2289</v>
      </c>
      <c r="G33" s="19">
        <v>6518.0</v>
      </c>
      <c r="H33" s="19" t="s">
        <v>208</v>
      </c>
      <c r="I33" s="19" t="s">
        <v>1614</v>
      </c>
    </row>
    <row r="34" ht="56.25" customHeight="1">
      <c r="A34" s="21" t="s">
        <v>2333</v>
      </c>
      <c r="B34" s="19" t="str">
        <f>image("https://storage.googleapis.com/acdb/photos/BromideNpcNmlCrd00_Remake_0_0.png")</f>
        <v/>
      </c>
      <c r="C34" s="21" t="s">
        <v>219</v>
      </c>
      <c r="D34" s="21" t="s">
        <v>51</v>
      </c>
      <c r="E34" s="21">
        <v>10.0</v>
      </c>
      <c r="F34" s="21" t="s">
        <v>2289</v>
      </c>
      <c r="G34" s="19">
        <v>6800.0</v>
      </c>
      <c r="H34" s="19" t="s">
        <v>521</v>
      </c>
      <c r="I34" s="19" t="s">
        <v>208</v>
      </c>
    </row>
    <row r="35" ht="56.25" customHeight="1">
      <c r="A35" s="21" t="s">
        <v>2333</v>
      </c>
      <c r="B35" s="19" t="str">
        <f>image("https://storage.googleapis.com/acdb/photos/BromideNpcNmlCrd00_Remake_1_0.png")</f>
        <v/>
      </c>
      <c r="C35" s="21" t="s">
        <v>795</v>
      </c>
      <c r="D35" s="21" t="s">
        <v>51</v>
      </c>
      <c r="E35" s="21">
        <v>10.0</v>
      </c>
      <c r="F35" s="21" t="s">
        <v>2289</v>
      </c>
      <c r="G35" s="19">
        <v>6800.0</v>
      </c>
      <c r="H35" s="19" t="s">
        <v>521</v>
      </c>
      <c r="I35" s="19" t="s">
        <v>208</v>
      </c>
    </row>
    <row r="36" ht="56.25" customHeight="1">
      <c r="A36" s="21" t="s">
        <v>2333</v>
      </c>
      <c r="B36" s="19" t="str">
        <f>image("https://storage.googleapis.com/acdb/photos/BromideNpcNmlCrd00_Remake_2_0.png")</f>
        <v/>
      </c>
      <c r="C36" s="21" t="s">
        <v>954</v>
      </c>
      <c r="D36" s="21" t="s">
        <v>51</v>
      </c>
      <c r="E36" s="21">
        <v>10.0</v>
      </c>
      <c r="F36" s="21" t="s">
        <v>2289</v>
      </c>
      <c r="G36" s="19">
        <v>6800.0</v>
      </c>
      <c r="H36" s="19" t="s">
        <v>521</v>
      </c>
      <c r="I36" s="19" t="s">
        <v>208</v>
      </c>
    </row>
    <row r="37" ht="56.25" customHeight="1">
      <c r="A37" s="21" t="s">
        <v>2333</v>
      </c>
      <c r="B37" s="19" t="str">
        <f>image("https://storage.googleapis.com/acdb/photos/BromideNpcNmlCrd00_Remake_3_0.png")</f>
        <v/>
      </c>
      <c r="C37" s="21" t="s">
        <v>82</v>
      </c>
      <c r="D37" s="21" t="s">
        <v>51</v>
      </c>
      <c r="E37" s="21">
        <v>10.0</v>
      </c>
      <c r="F37" s="21" t="s">
        <v>2289</v>
      </c>
      <c r="G37" s="19">
        <v>6800.0</v>
      </c>
      <c r="H37" s="19" t="s">
        <v>521</v>
      </c>
      <c r="I37" s="19" t="s">
        <v>208</v>
      </c>
    </row>
    <row r="38" ht="56.25" customHeight="1">
      <c r="A38" s="21" t="s">
        <v>2333</v>
      </c>
      <c r="B38" s="19" t="str">
        <f>image("https://storage.googleapis.com/acdb/photos/BromideNpcNmlCrd00_Remake_4_0.png")</f>
        <v/>
      </c>
      <c r="C38" s="21" t="s">
        <v>833</v>
      </c>
      <c r="D38" s="21" t="s">
        <v>51</v>
      </c>
      <c r="E38" s="21">
        <v>10.0</v>
      </c>
      <c r="F38" s="21" t="s">
        <v>2289</v>
      </c>
      <c r="G38" s="19">
        <v>6800.0</v>
      </c>
      <c r="H38" s="19" t="s">
        <v>521</v>
      </c>
      <c r="I38" s="19" t="s">
        <v>208</v>
      </c>
    </row>
    <row r="39" ht="56.25" customHeight="1">
      <c r="A39" s="21" t="s">
        <v>2333</v>
      </c>
      <c r="B39" s="19" t="str">
        <f>image("https://storage.googleapis.com/acdb/photos/BromideNpcNmlCrd00_Remake_5_0.png")</f>
        <v/>
      </c>
      <c r="C39" s="21" t="s">
        <v>258</v>
      </c>
      <c r="D39" s="21" t="s">
        <v>51</v>
      </c>
      <c r="E39" s="21">
        <v>10.0</v>
      </c>
      <c r="F39" s="21" t="s">
        <v>2289</v>
      </c>
      <c r="G39" s="19">
        <v>6800.0</v>
      </c>
      <c r="H39" s="19" t="s">
        <v>521</v>
      </c>
      <c r="I39" s="19" t="s">
        <v>208</v>
      </c>
    </row>
    <row r="40" ht="56.25" customHeight="1">
      <c r="A40" s="21" t="s">
        <v>2333</v>
      </c>
      <c r="B40" s="19" t="str">
        <f>image("https://storage.googleapis.com/acdb/photos/BromideNpcNmlCrd00_Remake_6_0.png")</f>
        <v/>
      </c>
      <c r="C40" s="21" t="s">
        <v>182</v>
      </c>
      <c r="D40" s="21" t="s">
        <v>51</v>
      </c>
      <c r="E40" s="21">
        <v>10.0</v>
      </c>
      <c r="F40" s="21" t="s">
        <v>2289</v>
      </c>
      <c r="G40" s="19">
        <v>6800.0</v>
      </c>
      <c r="H40" s="19" t="s">
        <v>521</v>
      </c>
      <c r="I40" s="19" t="s">
        <v>208</v>
      </c>
    </row>
    <row r="41" ht="56.25" customHeight="1">
      <c r="A41" s="21" t="s">
        <v>2333</v>
      </c>
      <c r="B41" s="19" t="str">
        <f>image("https://storage.googleapis.com/acdb/photos/BromideNpcNmlCrd00_Remake_7_0.png")</f>
        <v/>
      </c>
      <c r="C41" s="21" t="s">
        <v>187</v>
      </c>
      <c r="D41" s="21" t="s">
        <v>51</v>
      </c>
      <c r="E41" s="21">
        <v>10.0</v>
      </c>
      <c r="F41" s="21" t="s">
        <v>2289</v>
      </c>
      <c r="G41" s="19">
        <v>6800.0</v>
      </c>
      <c r="H41" s="19" t="s">
        <v>521</v>
      </c>
      <c r="I41" s="19" t="s">
        <v>208</v>
      </c>
    </row>
    <row r="42" ht="56.25" customHeight="1">
      <c r="A42" s="21" t="s">
        <v>2342</v>
      </c>
      <c r="B42" s="19" t="str">
        <f>image("https://storage.googleapis.com/acdb/photos/BromideNpcNmlKal01_Remake_0_0.png")</f>
        <v/>
      </c>
      <c r="C42" s="21" t="s">
        <v>219</v>
      </c>
      <c r="D42" s="21" t="s">
        <v>51</v>
      </c>
      <c r="E42" s="21">
        <v>10.0</v>
      </c>
      <c r="F42" s="21" t="s">
        <v>2289</v>
      </c>
      <c r="G42" s="19">
        <v>6555.0</v>
      </c>
      <c r="H42" s="19" t="s">
        <v>1608</v>
      </c>
      <c r="I42" s="19" t="s">
        <v>82</v>
      </c>
    </row>
    <row r="43" ht="56.25" customHeight="1">
      <c r="A43" s="21" t="s">
        <v>2342</v>
      </c>
      <c r="B43" s="19" t="str">
        <f>image("https://storage.googleapis.com/acdb/photos/BromideNpcNmlKal01_Remake_1_0.png")</f>
        <v/>
      </c>
      <c r="C43" s="21" t="s">
        <v>795</v>
      </c>
      <c r="D43" s="21" t="s">
        <v>51</v>
      </c>
      <c r="E43" s="21">
        <v>10.0</v>
      </c>
      <c r="F43" s="21" t="s">
        <v>2289</v>
      </c>
      <c r="G43" s="19">
        <v>6555.0</v>
      </c>
      <c r="H43" s="19" t="s">
        <v>1608</v>
      </c>
      <c r="I43" s="19" t="s">
        <v>82</v>
      </c>
    </row>
    <row r="44" ht="56.25" customHeight="1">
      <c r="A44" s="21" t="s">
        <v>2342</v>
      </c>
      <c r="B44" s="19" t="str">
        <f>image("https://storage.googleapis.com/acdb/photos/BromideNpcNmlKal01_Remake_2_0.png")</f>
        <v/>
      </c>
      <c r="C44" s="21" t="s">
        <v>954</v>
      </c>
      <c r="D44" s="21" t="s">
        <v>51</v>
      </c>
      <c r="E44" s="21">
        <v>10.0</v>
      </c>
      <c r="F44" s="21" t="s">
        <v>2289</v>
      </c>
      <c r="G44" s="19">
        <v>6555.0</v>
      </c>
      <c r="H44" s="19" t="s">
        <v>1608</v>
      </c>
      <c r="I44" s="19" t="s">
        <v>82</v>
      </c>
    </row>
    <row r="45" ht="56.25" customHeight="1">
      <c r="A45" s="21" t="s">
        <v>2342</v>
      </c>
      <c r="B45" s="19" t="str">
        <f>image("https://storage.googleapis.com/acdb/photos/BromideNpcNmlKal01_Remake_3_0.png")</f>
        <v/>
      </c>
      <c r="C45" s="21" t="s">
        <v>82</v>
      </c>
      <c r="D45" s="21" t="s">
        <v>51</v>
      </c>
      <c r="E45" s="21">
        <v>10.0</v>
      </c>
      <c r="F45" s="21" t="s">
        <v>2289</v>
      </c>
      <c r="G45" s="19">
        <v>6555.0</v>
      </c>
      <c r="H45" s="19" t="s">
        <v>1608</v>
      </c>
      <c r="I45" s="19" t="s">
        <v>82</v>
      </c>
    </row>
    <row r="46" ht="56.25" customHeight="1">
      <c r="A46" s="21" t="s">
        <v>2342</v>
      </c>
      <c r="B46" s="19" t="str">
        <f>image("https://storage.googleapis.com/acdb/photos/BromideNpcNmlKal01_Remake_4_0.png")</f>
        <v/>
      </c>
      <c r="C46" s="21" t="s">
        <v>833</v>
      </c>
      <c r="D46" s="21" t="s">
        <v>51</v>
      </c>
      <c r="E46" s="21">
        <v>10.0</v>
      </c>
      <c r="F46" s="21" t="s">
        <v>2289</v>
      </c>
      <c r="G46" s="19">
        <v>6555.0</v>
      </c>
      <c r="H46" s="19" t="s">
        <v>1608</v>
      </c>
      <c r="I46" s="19" t="s">
        <v>82</v>
      </c>
    </row>
    <row r="47" ht="56.25" customHeight="1">
      <c r="A47" s="21" t="s">
        <v>2342</v>
      </c>
      <c r="B47" s="19" t="str">
        <f>image("https://storage.googleapis.com/acdb/photos/BromideNpcNmlKal01_Remake_5_0.png")</f>
        <v/>
      </c>
      <c r="C47" s="21" t="s">
        <v>258</v>
      </c>
      <c r="D47" s="21" t="s">
        <v>51</v>
      </c>
      <c r="E47" s="21">
        <v>10.0</v>
      </c>
      <c r="F47" s="21" t="s">
        <v>2289</v>
      </c>
      <c r="G47" s="19">
        <v>6555.0</v>
      </c>
      <c r="H47" s="19" t="s">
        <v>1608</v>
      </c>
      <c r="I47" s="19" t="s">
        <v>82</v>
      </c>
    </row>
    <row r="48" ht="56.25" customHeight="1">
      <c r="A48" s="21" t="s">
        <v>2342</v>
      </c>
      <c r="B48" s="19" t="str">
        <f>image("https://storage.googleapis.com/acdb/photos/BromideNpcNmlKal01_Remake_6_0.png")</f>
        <v/>
      </c>
      <c r="C48" s="21" t="s">
        <v>182</v>
      </c>
      <c r="D48" s="21" t="s">
        <v>51</v>
      </c>
      <c r="E48" s="21">
        <v>10.0</v>
      </c>
      <c r="F48" s="21" t="s">
        <v>2289</v>
      </c>
      <c r="G48" s="19">
        <v>6555.0</v>
      </c>
      <c r="H48" s="19" t="s">
        <v>1608</v>
      </c>
      <c r="I48" s="19" t="s">
        <v>82</v>
      </c>
    </row>
    <row r="49" ht="56.25" customHeight="1">
      <c r="A49" s="21" t="s">
        <v>2342</v>
      </c>
      <c r="B49" s="19" t="str">
        <f>image("https://storage.googleapis.com/acdb/photos/BromideNpcNmlKal01_Remake_7_0.png")</f>
        <v/>
      </c>
      <c r="C49" s="21" t="s">
        <v>187</v>
      </c>
      <c r="D49" s="21" t="s">
        <v>51</v>
      </c>
      <c r="E49" s="21">
        <v>10.0</v>
      </c>
      <c r="F49" s="21" t="s">
        <v>2289</v>
      </c>
      <c r="G49" s="19">
        <v>6555.0</v>
      </c>
      <c r="H49" s="19" t="s">
        <v>1608</v>
      </c>
      <c r="I49" s="19" t="s">
        <v>82</v>
      </c>
    </row>
    <row r="50" ht="56.25" customHeight="1">
      <c r="A50" s="21" t="s">
        <v>2352</v>
      </c>
      <c r="B50" s="19" t="str">
        <f>image("https://storage.googleapis.com/acdb/photos/BromideNpcNmlCrd01_Remake_0_0.png")</f>
        <v/>
      </c>
      <c r="C50" s="21" t="s">
        <v>219</v>
      </c>
      <c r="D50" s="21" t="s">
        <v>51</v>
      </c>
      <c r="E50" s="21">
        <v>10.0</v>
      </c>
      <c r="F50" s="21" t="s">
        <v>2289</v>
      </c>
      <c r="G50" s="19">
        <v>6801.0</v>
      </c>
      <c r="H50" s="19" t="s">
        <v>1614</v>
      </c>
      <c r="I50" s="19" t="s">
        <v>208</v>
      </c>
    </row>
    <row r="51" ht="56.25" customHeight="1">
      <c r="A51" s="21" t="s">
        <v>2352</v>
      </c>
      <c r="B51" s="19" t="str">
        <f>image("https://storage.googleapis.com/acdb/photos/BromideNpcNmlCrd01_Remake_1_0.png")</f>
        <v/>
      </c>
      <c r="C51" s="21" t="s">
        <v>795</v>
      </c>
      <c r="D51" s="21" t="s">
        <v>51</v>
      </c>
      <c r="E51" s="21">
        <v>10.0</v>
      </c>
      <c r="F51" s="21" t="s">
        <v>2289</v>
      </c>
      <c r="G51" s="19">
        <v>6801.0</v>
      </c>
      <c r="H51" s="19" t="s">
        <v>1614</v>
      </c>
      <c r="I51" s="19" t="s">
        <v>208</v>
      </c>
    </row>
    <row r="52" ht="56.25" customHeight="1">
      <c r="A52" s="21" t="s">
        <v>2352</v>
      </c>
      <c r="B52" s="19" t="str">
        <f>image("https://storage.googleapis.com/acdb/photos/BromideNpcNmlCrd01_Remake_2_0.png")</f>
        <v/>
      </c>
      <c r="C52" s="21" t="s">
        <v>954</v>
      </c>
      <c r="D52" s="21" t="s">
        <v>51</v>
      </c>
      <c r="E52" s="21">
        <v>10.0</v>
      </c>
      <c r="F52" s="21" t="s">
        <v>2289</v>
      </c>
      <c r="G52" s="19">
        <v>6801.0</v>
      </c>
      <c r="H52" s="19" t="s">
        <v>1614</v>
      </c>
      <c r="I52" s="19" t="s">
        <v>208</v>
      </c>
    </row>
    <row r="53" ht="56.25" customHeight="1">
      <c r="A53" s="21" t="s">
        <v>2352</v>
      </c>
      <c r="B53" s="19" t="str">
        <f>image("https://storage.googleapis.com/acdb/photos/BromideNpcNmlCrd01_Remake_3_0.png")</f>
        <v/>
      </c>
      <c r="C53" s="21" t="s">
        <v>82</v>
      </c>
      <c r="D53" s="21" t="s">
        <v>51</v>
      </c>
      <c r="E53" s="21">
        <v>10.0</v>
      </c>
      <c r="F53" s="21" t="s">
        <v>2289</v>
      </c>
      <c r="G53" s="19">
        <v>6801.0</v>
      </c>
      <c r="H53" s="19" t="s">
        <v>1614</v>
      </c>
      <c r="I53" s="19" t="s">
        <v>208</v>
      </c>
    </row>
    <row r="54" ht="56.25" customHeight="1">
      <c r="A54" s="21" t="s">
        <v>2352</v>
      </c>
      <c r="B54" s="19" t="str">
        <f>image("https://storage.googleapis.com/acdb/photos/BromideNpcNmlCrd01_Remake_4_0.png")</f>
        <v/>
      </c>
      <c r="C54" s="21" t="s">
        <v>833</v>
      </c>
      <c r="D54" s="21" t="s">
        <v>51</v>
      </c>
      <c r="E54" s="21">
        <v>10.0</v>
      </c>
      <c r="F54" s="21" t="s">
        <v>2289</v>
      </c>
      <c r="G54" s="19">
        <v>6801.0</v>
      </c>
      <c r="H54" s="19" t="s">
        <v>1614</v>
      </c>
      <c r="I54" s="19" t="s">
        <v>208</v>
      </c>
    </row>
    <row r="55" ht="56.25" customHeight="1">
      <c r="A55" s="21" t="s">
        <v>2352</v>
      </c>
      <c r="B55" s="19" t="str">
        <f>image("https://storage.googleapis.com/acdb/photos/BromideNpcNmlCrd01_Remake_5_0.png")</f>
        <v/>
      </c>
      <c r="C55" s="21" t="s">
        <v>258</v>
      </c>
      <c r="D55" s="21" t="s">
        <v>51</v>
      </c>
      <c r="E55" s="21">
        <v>10.0</v>
      </c>
      <c r="F55" s="21" t="s">
        <v>2289</v>
      </c>
      <c r="G55" s="19">
        <v>6801.0</v>
      </c>
      <c r="H55" s="19" t="s">
        <v>1614</v>
      </c>
      <c r="I55" s="19" t="s">
        <v>208</v>
      </c>
    </row>
    <row r="56" ht="56.25" customHeight="1">
      <c r="A56" s="21" t="s">
        <v>2352</v>
      </c>
      <c r="B56" s="19" t="str">
        <f>image("https://storage.googleapis.com/acdb/photos/BromideNpcNmlCrd01_Remake_6_0.png")</f>
        <v/>
      </c>
      <c r="C56" s="21" t="s">
        <v>182</v>
      </c>
      <c r="D56" s="21" t="s">
        <v>51</v>
      </c>
      <c r="E56" s="21">
        <v>10.0</v>
      </c>
      <c r="F56" s="21" t="s">
        <v>2289</v>
      </c>
      <c r="G56" s="19">
        <v>6801.0</v>
      </c>
      <c r="H56" s="19" t="s">
        <v>1614</v>
      </c>
      <c r="I56" s="19" t="s">
        <v>208</v>
      </c>
    </row>
    <row r="57" ht="56.25" customHeight="1">
      <c r="A57" s="21" t="s">
        <v>2352</v>
      </c>
      <c r="B57" s="19" t="str">
        <f>image("https://storage.googleapis.com/acdb/photos/BromideNpcNmlCrd01_Remake_7_0.png")</f>
        <v/>
      </c>
      <c r="C57" s="21" t="s">
        <v>187</v>
      </c>
      <c r="D57" s="21" t="s">
        <v>51</v>
      </c>
      <c r="E57" s="21">
        <v>10.0</v>
      </c>
      <c r="F57" s="21" t="s">
        <v>2289</v>
      </c>
      <c r="G57" s="19">
        <v>6801.0</v>
      </c>
      <c r="H57" s="19" t="s">
        <v>1614</v>
      </c>
      <c r="I57" s="19" t="s">
        <v>208</v>
      </c>
    </row>
    <row r="58" ht="56.25" customHeight="1">
      <c r="A58" s="21" t="s">
        <v>2357</v>
      </c>
      <c r="B58" s="19" t="str">
        <f>image("https://storage.googleapis.com/acdb/photos/BromideNpcNmlPbr01_Remake_0_0.png")</f>
        <v/>
      </c>
      <c r="C58" s="21" t="s">
        <v>219</v>
      </c>
      <c r="D58" s="21" t="s">
        <v>51</v>
      </c>
      <c r="E58" s="21">
        <v>10.0</v>
      </c>
      <c r="F58" s="21" t="s">
        <v>2289</v>
      </c>
      <c r="G58" s="19">
        <v>6621.0</v>
      </c>
      <c r="H58" s="19" t="s">
        <v>208</v>
      </c>
      <c r="I58" s="19" t="s">
        <v>82</v>
      </c>
    </row>
    <row r="59" ht="56.25" customHeight="1">
      <c r="A59" s="21" t="s">
        <v>2357</v>
      </c>
      <c r="B59" s="19" t="str">
        <f>image("https://storage.googleapis.com/acdb/photos/BromideNpcNmlPbr01_Remake_1_0.png")</f>
        <v/>
      </c>
      <c r="C59" s="21" t="s">
        <v>795</v>
      </c>
      <c r="D59" s="21" t="s">
        <v>51</v>
      </c>
      <c r="E59" s="21">
        <v>10.0</v>
      </c>
      <c r="F59" s="21" t="s">
        <v>2289</v>
      </c>
      <c r="G59" s="19">
        <v>6621.0</v>
      </c>
      <c r="H59" s="19" t="s">
        <v>208</v>
      </c>
      <c r="I59" s="19" t="s">
        <v>82</v>
      </c>
    </row>
    <row r="60" ht="56.25" customHeight="1">
      <c r="A60" s="21" t="s">
        <v>2357</v>
      </c>
      <c r="B60" s="19" t="str">
        <f>image("https://storage.googleapis.com/acdb/photos/BromideNpcNmlPbr01_Remake_2_0.png")</f>
        <v/>
      </c>
      <c r="C60" s="21" t="s">
        <v>954</v>
      </c>
      <c r="D60" s="21" t="s">
        <v>51</v>
      </c>
      <c r="E60" s="21">
        <v>10.0</v>
      </c>
      <c r="F60" s="21" t="s">
        <v>2289</v>
      </c>
      <c r="G60" s="19">
        <v>6621.0</v>
      </c>
      <c r="H60" s="19" t="s">
        <v>208</v>
      </c>
      <c r="I60" s="19" t="s">
        <v>82</v>
      </c>
    </row>
    <row r="61" ht="56.25" customHeight="1">
      <c r="A61" s="21" t="s">
        <v>2357</v>
      </c>
      <c r="B61" s="19" t="str">
        <f>image("https://storage.googleapis.com/acdb/photos/BromideNpcNmlPbr01_Remake_3_0.png")</f>
        <v/>
      </c>
      <c r="C61" s="21" t="s">
        <v>82</v>
      </c>
      <c r="D61" s="21" t="s">
        <v>51</v>
      </c>
      <c r="E61" s="21">
        <v>10.0</v>
      </c>
      <c r="F61" s="21" t="s">
        <v>2289</v>
      </c>
      <c r="G61" s="19">
        <v>6621.0</v>
      </c>
      <c r="H61" s="19" t="s">
        <v>208</v>
      </c>
      <c r="I61" s="19" t="s">
        <v>82</v>
      </c>
    </row>
    <row r="62" ht="56.25" customHeight="1">
      <c r="A62" s="21" t="s">
        <v>2357</v>
      </c>
      <c r="B62" s="19" t="str">
        <f>image("https://storage.googleapis.com/acdb/photos/BromideNpcNmlPbr01_Remake_4_0.png")</f>
        <v/>
      </c>
      <c r="C62" s="21" t="s">
        <v>833</v>
      </c>
      <c r="D62" s="21" t="s">
        <v>51</v>
      </c>
      <c r="E62" s="21">
        <v>10.0</v>
      </c>
      <c r="F62" s="21" t="s">
        <v>2289</v>
      </c>
      <c r="G62" s="19">
        <v>6621.0</v>
      </c>
      <c r="H62" s="19" t="s">
        <v>208</v>
      </c>
      <c r="I62" s="19" t="s">
        <v>82</v>
      </c>
    </row>
    <row r="63" ht="56.25" customHeight="1">
      <c r="A63" s="21" t="s">
        <v>2357</v>
      </c>
      <c r="B63" s="19" t="str">
        <f>image("https://storage.googleapis.com/acdb/photos/BromideNpcNmlPbr01_Remake_5_0.png")</f>
        <v/>
      </c>
      <c r="C63" s="21" t="s">
        <v>258</v>
      </c>
      <c r="D63" s="21" t="s">
        <v>51</v>
      </c>
      <c r="E63" s="21">
        <v>10.0</v>
      </c>
      <c r="F63" s="21" t="s">
        <v>2289</v>
      </c>
      <c r="G63" s="19">
        <v>6621.0</v>
      </c>
      <c r="H63" s="19" t="s">
        <v>208</v>
      </c>
      <c r="I63" s="19" t="s">
        <v>82</v>
      </c>
    </row>
    <row r="64" ht="56.25" customHeight="1">
      <c r="A64" s="21" t="s">
        <v>2357</v>
      </c>
      <c r="B64" s="19" t="str">
        <f>image("https://storage.googleapis.com/acdb/photos/BromideNpcNmlPbr01_Remake_6_0.png")</f>
        <v/>
      </c>
      <c r="C64" s="21" t="s">
        <v>182</v>
      </c>
      <c r="D64" s="21" t="s">
        <v>51</v>
      </c>
      <c r="E64" s="21">
        <v>10.0</v>
      </c>
      <c r="F64" s="21" t="s">
        <v>2289</v>
      </c>
      <c r="G64" s="19">
        <v>6621.0</v>
      </c>
      <c r="H64" s="19" t="s">
        <v>208</v>
      </c>
      <c r="I64" s="19" t="s">
        <v>82</v>
      </c>
    </row>
    <row r="65" ht="56.25" customHeight="1">
      <c r="A65" s="21" t="s">
        <v>2357</v>
      </c>
      <c r="B65" s="19" t="str">
        <f>image("https://storage.googleapis.com/acdb/photos/BromideNpcNmlPbr01_Remake_7_0.png")</f>
        <v/>
      </c>
      <c r="C65" s="21" t="s">
        <v>187</v>
      </c>
      <c r="D65" s="21" t="s">
        <v>51</v>
      </c>
      <c r="E65" s="21">
        <v>10.0</v>
      </c>
      <c r="F65" s="21" t="s">
        <v>2289</v>
      </c>
      <c r="G65" s="19">
        <v>6621.0</v>
      </c>
      <c r="H65" s="19" t="s">
        <v>208</v>
      </c>
      <c r="I65" s="19" t="s">
        <v>82</v>
      </c>
    </row>
    <row r="66" ht="56.25" customHeight="1">
      <c r="A66" s="21" t="s">
        <v>2368</v>
      </c>
      <c r="B66" s="19" t="str">
        <f>image("https://storage.googleapis.com/acdb/photos/BromideNpcNmlAnt03_Remake_0_0.png")</f>
        <v/>
      </c>
      <c r="C66" s="21" t="s">
        <v>219</v>
      </c>
      <c r="D66" s="21" t="s">
        <v>51</v>
      </c>
      <c r="E66" s="21">
        <v>10.0</v>
      </c>
      <c r="F66" s="21" t="s">
        <v>2289</v>
      </c>
      <c r="G66" s="19">
        <v>6743.0</v>
      </c>
      <c r="H66" s="19" t="s">
        <v>211</v>
      </c>
      <c r="I66" s="19" t="s">
        <v>112</v>
      </c>
    </row>
    <row r="67" ht="56.25" customHeight="1">
      <c r="A67" s="21" t="s">
        <v>2368</v>
      </c>
      <c r="B67" s="19" t="str">
        <f>image("https://storage.googleapis.com/acdb/photos/BromideNpcNmlAnt03_Remake_1_0.png")</f>
        <v/>
      </c>
      <c r="C67" s="21" t="s">
        <v>795</v>
      </c>
      <c r="D67" s="21" t="s">
        <v>51</v>
      </c>
      <c r="E67" s="21">
        <v>10.0</v>
      </c>
      <c r="F67" s="21" t="s">
        <v>2289</v>
      </c>
      <c r="G67" s="19">
        <v>6743.0</v>
      </c>
      <c r="H67" s="19" t="s">
        <v>211</v>
      </c>
      <c r="I67" s="19" t="s">
        <v>112</v>
      </c>
    </row>
    <row r="68" ht="56.25" customHeight="1">
      <c r="A68" s="21" t="s">
        <v>2368</v>
      </c>
      <c r="B68" s="19" t="str">
        <f>image("https://storage.googleapis.com/acdb/photos/BromideNpcNmlAnt03_Remake_2_0.png")</f>
        <v/>
      </c>
      <c r="C68" s="21" t="s">
        <v>954</v>
      </c>
      <c r="D68" s="21" t="s">
        <v>51</v>
      </c>
      <c r="E68" s="21">
        <v>10.0</v>
      </c>
      <c r="F68" s="21" t="s">
        <v>2289</v>
      </c>
      <c r="G68" s="19">
        <v>6743.0</v>
      </c>
      <c r="H68" s="19" t="s">
        <v>211</v>
      </c>
      <c r="I68" s="19" t="s">
        <v>112</v>
      </c>
    </row>
    <row r="69" ht="56.25" customHeight="1">
      <c r="A69" s="21" t="s">
        <v>2368</v>
      </c>
      <c r="B69" s="19" t="str">
        <f>image("https://storage.googleapis.com/acdb/photos/BromideNpcNmlAnt03_Remake_3_0.png")</f>
        <v/>
      </c>
      <c r="C69" s="21" t="s">
        <v>82</v>
      </c>
      <c r="D69" s="21" t="s">
        <v>51</v>
      </c>
      <c r="E69" s="21">
        <v>10.0</v>
      </c>
      <c r="F69" s="21" t="s">
        <v>2289</v>
      </c>
      <c r="G69" s="19">
        <v>6743.0</v>
      </c>
      <c r="H69" s="19" t="s">
        <v>211</v>
      </c>
      <c r="I69" s="19" t="s">
        <v>112</v>
      </c>
    </row>
    <row r="70" ht="56.25" customHeight="1">
      <c r="A70" s="21" t="s">
        <v>2368</v>
      </c>
      <c r="B70" s="19" t="str">
        <f>image("https://storage.googleapis.com/acdb/photos/BromideNpcNmlAnt03_Remake_4_0.png")</f>
        <v/>
      </c>
      <c r="C70" s="21" t="s">
        <v>833</v>
      </c>
      <c r="D70" s="21" t="s">
        <v>51</v>
      </c>
      <c r="E70" s="21">
        <v>10.0</v>
      </c>
      <c r="F70" s="21" t="s">
        <v>2289</v>
      </c>
      <c r="G70" s="19">
        <v>6743.0</v>
      </c>
      <c r="H70" s="19" t="s">
        <v>211</v>
      </c>
      <c r="I70" s="19" t="s">
        <v>112</v>
      </c>
    </row>
    <row r="71" ht="56.25" customHeight="1">
      <c r="A71" s="21" t="s">
        <v>2368</v>
      </c>
      <c r="B71" s="19" t="str">
        <f>image("https://storage.googleapis.com/acdb/photos/BromideNpcNmlAnt03_Remake_5_0.png")</f>
        <v/>
      </c>
      <c r="C71" s="21" t="s">
        <v>258</v>
      </c>
      <c r="D71" s="21" t="s">
        <v>51</v>
      </c>
      <c r="E71" s="21">
        <v>10.0</v>
      </c>
      <c r="F71" s="21" t="s">
        <v>2289</v>
      </c>
      <c r="G71" s="19">
        <v>6743.0</v>
      </c>
      <c r="H71" s="19" t="s">
        <v>211</v>
      </c>
      <c r="I71" s="19" t="s">
        <v>112</v>
      </c>
    </row>
    <row r="72" ht="56.25" customHeight="1">
      <c r="A72" s="21" t="s">
        <v>2368</v>
      </c>
      <c r="B72" s="19" t="str">
        <f>image("https://storage.googleapis.com/acdb/photos/BromideNpcNmlAnt03_Remake_6_0.png")</f>
        <v/>
      </c>
      <c r="C72" s="21" t="s">
        <v>182</v>
      </c>
      <c r="D72" s="21" t="s">
        <v>51</v>
      </c>
      <c r="E72" s="21">
        <v>10.0</v>
      </c>
      <c r="F72" s="21" t="s">
        <v>2289</v>
      </c>
      <c r="G72" s="19">
        <v>6743.0</v>
      </c>
      <c r="H72" s="19" t="s">
        <v>211</v>
      </c>
      <c r="I72" s="19" t="s">
        <v>112</v>
      </c>
    </row>
    <row r="73" ht="56.25" customHeight="1">
      <c r="A73" s="21" t="s">
        <v>2368</v>
      </c>
      <c r="B73" s="19" t="str">
        <f>image("https://storage.googleapis.com/acdb/photos/BromideNpcNmlAnt03_Remake_7_0.png")</f>
        <v/>
      </c>
      <c r="C73" s="21" t="s">
        <v>187</v>
      </c>
      <c r="D73" s="21" t="s">
        <v>51</v>
      </c>
      <c r="E73" s="21">
        <v>10.0</v>
      </c>
      <c r="F73" s="21" t="s">
        <v>2289</v>
      </c>
      <c r="G73" s="19">
        <v>6743.0</v>
      </c>
      <c r="H73" s="19" t="s">
        <v>211</v>
      </c>
      <c r="I73" s="19" t="s">
        <v>112</v>
      </c>
    </row>
    <row r="74" ht="56.25" customHeight="1">
      <c r="A74" s="21" t="s">
        <v>2379</v>
      </c>
      <c r="B74" s="19" t="str">
        <f>image("https://storage.googleapis.com/acdb/photos/BromideNpcNmlBrd02_Remake_0_0.png")</f>
        <v/>
      </c>
      <c r="C74" s="21" t="s">
        <v>219</v>
      </c>
      <c r="D74" s="21" t="s">
        <v>51</v>
      </c>
      <c r="E74" s="21">
        <v>10.0</v>
      </c>
      <c r="F74" s="21" t="s">
        <v>2289</v>
      </c>
      <c r="G74" s="19">
        <v>6582.0</v>
      </c>
      <c r="H74" s="19" t="s">
        <v>118</v>
      </c>
      <c r="I74" s="19" t="s">
        <v>1614</v>
      </c>
    </row>
    <row r="75" ht="56.25" customHeight="1">
      <c r="A75" s="21" t="s">
        <v>2379</v>
      </c>
      <c r="B75" s="19" t="str">
        <f>image("https://storage.googleapis.com/acdb/photos/BromideNpcNmlBrd02_Remake_1_0.png")</f>
        <v/>
      </c>
      <c r="C75" s="21" t="s">
        <v>795</v>
      </c>
      <c r="D75" s="21" t="s">
        <v>51</v>
      </c>
      <c r="E75" s="21">
        <v>10.0</v>
      </c>
      <c r="F75" s="21" t="s">
        <v>2289</v>
      </c>
      <c r="G75" s="19">
        <v>6582.0</v>
      </c>
      <c r="H75" s="19" t="s">
        <v>118</v>
      </c>
      <c r="I75" s="19" t="s">
        <v>1614</v>
      </c>
    </row>
    <row r="76" ht="56.25" customHeight="1">
      <c r="A76" s="21" t="s">
        <v>2379</v>
      </c>
      <c r="B76" s="19" t="str">
        <f>image("https://storage.googleapis.com/acdb/photos/BromideNpcNmlBrd02_Remake_2_0.png")</f>
        <v/>
      </c>
      <c r="C76" s="21" t="s">
        <v>954</v>
      </c>
      <c r="D76" s="21" t="s">
        <v>51</v>
      </c>
      <c r="E76" s="21">
        <v>10.0</v>
      </c>
      <c r="F76" s="21" t="s">
        <v>2289</v>
      </c>
      <c r="G76" s="19">
        <v>6582.0</v>
      </c>
      <c r="H76" s="19" t="s">
        <v>118</v>
      </c>
      <c r="I76" s="19" t="s">
        <v>1614</v>
      </c>
    </row>
    <row r="77" ht="56.25" customHeight="1">
      <c r="A77" s="21" t="s">
        <v>2379</v>
      </c>
      <c r="B77" s="19" t="str">
        <f>image("https://storage.googleapis.com/acdb/photos/BromideNpcNmlBrd02_Remake_3_0.png")</f>
        <v/>
      </c>
      <c r="C77" s="21" t="s">
        <v>82</v>
      </c>
      <c r="D77" s="21" t="s">
        <v>51</v>
      </c>
      <c r="E77" s="21">
        <v>10.0</v>
      </c>
      <c r="F77" s="21" t="s">
        <v>2289</v>
      </c>
      <c r="G77" s="19">
        <v>6582.0</v>
      </c>
      <c r="H77" s="19" t="s">
        <v>118</v>
      </c>
      <c r="I77" s="19" t="s">
        <v>1614</v>
      </c>
    </row>
    <row r="78" ht="56.25" customHeight="1">
      <c r="A78" s="21" t="s">
        <v>2379</v>
      </c>
      <c r="B78" s="19" t="str">
        <f>image("https://storage.googleapis.com/acdb/photos/BromideNpcNmlBrd02_Remake_4_0.png")</f>
        <v/>
      </c>
      <c r="C78" s="21" t="s">
        <v>833</v>
      </c>
      <c r="D78" s="21" t="s">
        <v>51</v>
      </c>
      <c r="E78" s="21">
        <v>10.0</v>
      </c>
      <c r="F78" s="21" t="s">
        <v>2289</v>
      </c>
      <c r="G78" s="19">
        <v>6582.0</v>
      </c>
      <c r="H78" s="19" t="s">
        <v>118</v>
      </c>
      <c r="I78" s="19" t="s">
        <v>1614</v>
      </c>
    </row>
    <row r="79" ht="56.25" customHeight="1">
      <c r="A79" s="21" t="s">
        <v>2379</v>
      </c>
      <c r="B79" s="19" t="str">
        <f>image("https://storage.googleapis.com/acdb/photos/BromideNpcNmlBrd02_Remake_5_0.png")</f>
        <v/>
      </c>
      <c r="C79" s="21" t="s">
        <v>258</v>
      </c>
      <c r="D79" s="21" t="s">
        <v>51</v>
      </c>
      <c r="E79" s="21">
        <v>10.0</v>
      </c>
      <c r="F79" s="21" t="s">
        <v>2289</v>
      </c>
      <c r="G79" s="19">
        <v>6582.0</v>
      </c>
      <c r="H79" s="19" t="s">
        <v>118</v>
      </c>
      <c r="I79" s="19" t="s">
        <v>1614</v>
      </c>
    </row>
    <row r="80" ht="56.25" customHeight="1">
      <c r="A80" s="21" t="s">
        <v>2379</v>
      </c>
      <c r="B80" s="19" t="str">
        <f>image("https://storage.googleapis.com/acdb/photos/BromideNpcNmlBrd02_Remake_6_0.png")</f>
        <v/>
      </c>
      <c r="C80" s="21" t="s">
        <v>182</v>
      </c>
      <c r="D80" s="21" t="s">
        <v>51</v>
      </c>
      <c r="E80" s="21">
        <v>10.0</v>
      </c>
      <c r="F80" s="21" t="s">
        <v>2289</v>
      </c>
      <c r="G80" s="19">
        <v>6582.0</v>
      </c>
      <c r="H80" s="19" t="s">
        <v>118</v>
      </c>
      <c r="I80" s="19" t="s">
        <v>1614</v>
      </c>
    </row>
    <row r="81" ht="56.25" customHeight="1">
      <c r="A81" s="21" t="s">
        <v>2379</v>
      </c>
      <c r="B81" s="19" t="str">
        <f>image("https://storage.googleapis.com/acdb/photos/BromideNpcNmlBrd02_Remake_7_0.png")</f>
        <v/>
      </c>
      <c r="C81" s="21" t="s">
        <v>187</v>
      </c>
      <c r="D81" s="21" t="s">
        <v>51</v>
      </c>
      <c r="E81" s="21">
        <v>10.0</v>
      </c>
      <c r="F81" s="21" t="s">
        <v>2289</v>
      </c>
      <c r="G81" s="19">
        <v>6582.0</v>
      </c>
      <c r="H81" s="19" t="s">
        <v>118</v>
      </c>
      <c r="I81" s="19" t="s">
        <v>1614</v>
      </c>
    </row>
    <row r="82" ht="56.25" customHeight="1">
      <c r="A82" s="21" t="s">
        <v>2393</v>
      </c>
      <c r="B82" s="19" t="str">
        <f>image("https://storage.googleapis.com/acdb/photos/BromideNpcNmlBul00_Remake_0_0.png")</f>
        <v/>
      </c>
      <c r="C82" s="21" t="s">
        <v>219</v>
      </c>
      <c r="D82" s="21" t="s">
        <v>51</v>
      </c>
      <c r="E82" s="21">
        <v>10.0</v>
      </c>
      <c r="F82" s="21" t="s">
        <v>2289</v>
      </c>
      <c r="G82" s="19">
        <v>6704.0</v>
      </c>
      <c r="H82" s="19" t="s">
        <v>208</v>
      </c>
      <c r="I82" s="19" t="s">
        <v>521</v>
      </c>
    </row>
    <row r="83" ht="56.25" customHeight="1">
      <c r="A83" s="21" t="s">
        <v>2393</v>
      </c>
      <c r="B83" s="19" t="str">
        <f>image("https://storage.googleapis.com/acdb/photos/BromideNpcNmlBul00_Remake_1_0.png")</f>
        <v/>
      </c>
      <c r="C83" s="21" t="s">
        <v>795</v>
      </c>
      <c r="D83" s="21" t="s">
        <v>51</v>
      </c>
      <c r="E83" s="21">
        <v>10.0</v>
      </c>
      <c r="F83" s="21" t="s">
        <v>2289</v>
      </c>
      <c r="G83" s="19">
        <v>6704.0</v>
      </c>
      <c r="H83" s="19" t="s">
        <v>208</v>
      </c>
      <c r="I83" s="19" t="s">
        <v>521</v>
      </c>
    </row>
    <row r="84" ht="56.25" customHeight="1">
      <c r="A84" s="21" t="s">
        <v>2393</v>
      </c>
      <c r="B84" s="19" t="str">
        <f>image("https://storage.googleapis.com/acdb/photos/BromideNpcNmlBul00_Remake_2_0.png")</f>
        <v/>
      </c>
      <c r="C84" s="21" t="s">
        <v>954</v>
      </c>
      <c r="D84" s="21" t="s">
        <v>51</v>
      </c>
      <c r="E84" s="21">
        <v>10.0</v>
      </c>
      <c r="F84" s="21" t="s">
        <v>2289</v>
      </c>
      <c r="G84" s="19">
        <v>6704.0</v>
      </c>
      <c r="H84" s="19" t="s">
        <v>208</v>
      </c>
      <c r="I84" s="19" t="s">
        <v>521</v>
      </c>
    </row>
    <row r="85" ht="56.25" customHeight="1">
      <c r="A85" s="21" t="s">
        <v>2393</v>
      </c>
      <c r="B85" s="19" t="str">
        <f>image("https://storage.googleapis.com/acdb/photos/BromideNpcNmlBul00_Remake_3_0.png")</f>
        <v/>
      </c>
      <c r="C85" s="21" t="s">
        <v>82</v>
      </c>
      <c r="D85" s="21" t="s">
        <v>51</v>
      </c>
      <c r="E85" s="21">
        <v>10.0</v>
      </c>
      <c r="F85" s="21" t="s">
        <v>2289</v>
      </c>
      <c r="G85" s="19">
        <v>6704.0</v>
      </c>
      <c r="H85" s="19" t="s">
        <v>208</v>
      </c>
      <c r="I85" s="19" t="s">
        <v>521</v>
      </c>
    </row>
    <row r="86" ht="56.25" customHeight="1">
      <c r="A86" s="21" t="s">
        <v>2393</v>
      </c>
      <c r="B86" s="19" t="str">
        <f>image("https://storage.googleapis.com/acdb/photos/BromideNpcNmlBul00_Remake_4_0.png")</f>
        <v/>
      </c>
      <c r="C86" s="21" t="s">
        <v>833</v>
      </c>
      <c r="D86" s="21" t="s">
        <v>51</v>
      </c>
      <c r="E86" s="21">
        <v>10.0</v>
      </c>
      <c r="F86" s="21" t="s">
        <v>2289</v>
      </c>
      <c r="G86" s="19">
        <v>6704.0</v>
      </c>
      <c r="H86" s="19" t="s">
        <v>208</v>
      </c>
      <c r="I86" s="19" t="s">
        <v>521</v>
      </c>
    </row>
    <row r="87" ht="56.25" customHeight="1">
      <c r="A87" s="21" t="s">
        <v>2393</v>
      </c>
      <c r="B87" s="19" t="str">
        <f>image("https://storage.googleapis.com/acdb/photos/BromideNpcNmlBul00_Remake_5_0.png")</f>
        <v/>
      </c>
      <c r="C87" s="21" t="s">
        <v>258</v>
      </c>
      <c r="D87" s="21" t="s">
        <v>51</v>
      </c>
      <c r="E87" s="21">
        <v>10.0</v>
      </c>
      <c r="F87" s="21" t="s">
        <v>2289</v>
      </c>
      <c r="G87" s="19">
        <v>6704.0</v>
      </c>
      <c r="H87" s="19" t="s">
        <v>208</v>
      </c>
      <c r="I87" s="19" t="s">
        <v>521</v>
      </c>
    </row>
    <row r="88" ht="56.25" customHeight="1">
      <c r="A88" s="21" t="s">
        <v>2393</v>
      </c>
      <c r="B88" s="19" t="str">
        <f>image("https://storage.googleapis.com/acdb/photos/BromideNpcNmlBul00_Remake_6_0.png")</f>
        <v/>
      </c>
      <c r="C88" s="21" t="s">
        <v>182</v>
      </c>
      <c r="D88" s="21" t="s">
        <v>51</v>
      </c>
      <c r="E88" s="21">
        <v>10.0</v>
      </c>
      <c r="F88" s="21" t="s">
        <v>2289</v>
      </c>
      <c r="G88" s="19">
        <v>6704.0</v>
      </c>
      <c r="H88" s="19" t="s">
        <v>208</v>
      </c>
      <c r="I88" s="19" t="s">
        <v>521</v>
      </c>
    </row>
    <row r="89" ht="56.25" customHeight="1">
      <c r="A89" s="21" t="s">
        <v>2393</v>
      </c>
      <c r="B89" s="19" t="str">
        <f>image("https://storage.googleapis.com/acdb/photos/BromideNpcNmlBul00_Remake_7_0.png")</f>
        <v/>
      </c>
      <c r="C89" s="21" t="s">
        <v>187</v>
      </c>
      <c r="D89" s="21" t="s">
        <v>51</v>
      </c>
      <c r="E89" s="21">
        <v>10.0</v>
      </c>
      <c r="F89" s="21" t="s">
        <v>2289</v>
      </c>
      <c r="G89" s="19">
        <v>6704.0</v>
      </c>
      <c r="H89" s="19" t="s">
        <v>208</v>
      </c>
      <c r="I89" s="19" t="s">
        <v>521</v>
      </c>
    </row>
    <row r="90" ht="56.25" customHeight="1">
      <c r="A90" s="21" t="s">
        <v>2408</v>
      </c>
      <c r="B90" s="19" t="str">
        <f>image("https://storage.googleapis.com/acdb/photos/BromideNpcNmlMus10_Remake_0_0.png")</f>
        <v/>
      </c>
      <c r="C90" s="21" t="s">
        <v>219</v>
      </c>
      <c r="D90" s="21" t="s">
        <v>51</v>
      </c>
      <c r="E90" s="21">
        <v>10.0</v>
      </c>
      <c r="F90" s="21" t="s">
        <v>2289</v>
      </c>
      <c r="G90" s="19">
        <v>6598.0</v>
      </c>
      <c r="H90" s="19" t="s">
        <v>369</v>
      </c>
      <c r="I90" s="19" t="s">
        <v>118</v>
      </c>
    </row>
    <row r="91" ht="56.25" customHeight="1">
      <c r="A91" s="21" t="s">
        <v>2408</v>
      </c>
      <c r="B91" s="19" t="str">
        <f>image("https://storage.googleapis.com/acdb/photos/BromideNpcNmlMus10_Remake_1_0.png")</f>
        <v/>
      </c>
      <c r="C91" s="21" t="s">
        <v>795</v>
      </c>
      <c r="D91" s="21" t="s">
        <v>51</v>
      </c>
      <c r="E91" s="21">
        <v>10.0</v>
      </c>
      <c r="F91" s="21" t="s">
        <v>2289</v>
      </c>
      <c r="G91" s="19">
        <v>6598.0</v>
      </c>
      <c r="H91" s="19" t="s">
        <v>369</v>
      </c>
      <c r="I91" s="19" t="s">
        <v>118</v>
      </c>
    </row>
    <row r="92" ht="56.25" customHeight="1">
      <c r="A92" s="21" t="s">
        <v>2408</v>
      </c>
      <c r="B92" s="19" t="str">
        <f>image("https://storage.googleapis.com/acdb/photos/BromideNpcNmlMus10_Remake_2_0.png")</f>
        <v/>
      </c>
      <c r="C92" s="21" t="s">
        <v>954</v>
      </c>
      <c r="D92" s="21" t="s">
        <v>51</v>
      </c>
      <c r="E92" s="21">
        <v>10.0</v>
      </c>
      <c r="F92" s="21" t="s">
        <v>2289</v>
      </c>
      <c r="G92" s="19">
        <v>6598.0</v>
      </c>
      <c r="H92" s="19" t="s">
        <v>369</v>
      </c>
      <c r="I92" s="19" t="s">
        <v>118</v>
      </c>
    </row>
    <row r="93" ht="56.25" customHeight="1">
      <c r="A93" s="21" t="s">
        <v>2408</v>
      </c>
      <c r="B93" s="19" t="str">
        <f>image("https://storage.googleapis.com/acdb/photos/BromideNpcNmlMus10_Remake_3_0.png")</f>
        <v/>
      </c>
      <c r="C93" s="21" t="s">
        <v>82</v>
      </c>
      <c r="D93" s="21" t="s">
        <v>51</v>
      </c>
      <c r="E93" s="21">
        <v>10.0</v>
      </c>
      <c r="F93" s="21" t="s">
        <v>2289</v>
      </c>
      <c r="G93" s="19">
        <v>6598.0</v>
      </c>
      <c r="H93" s="19" t="s">
        <v>369</v>
      </c>
      <c r="I93" s="19" t="s">
        <v>118</v>
      </c>
    </row>
    <row r="94" ht="56.25" customHeight="1">
      <c r="A94" s="21" t="s">
        <v>2408</v>
      </c>
      <c r="B94" s="19" t="str">
        <f>image("https://storage.googleapis.com/acdb/photos/BromideNpcNmlMus10_Remake_4_0.png")</f>
        <v/>
      </c>
      <c r="C94" s="21" t="s">
        <v>833</v>
      </c>
      <c r="D94" s="21" t="s">
        <v>51</v>
      </c>
      <c r="E94" s="21">
        <v>10.0</v>
      </c>
      <c r="F94" s="21" t="s">
        <v>2289</v>
      </c>
      <c r="G94" s="19">
        <v>6598.0</v>
      </c>
      <c r="H94" s="19" t="s">
        <v>369</v>
      </c>
      <c r="I94" s="19" t="s">
        <v>118</v>
      </c>
    </row>
    <row r="95" ht="56.25" customHeight="1">
      <c r="A95" s="21" t="s">
        <v>2408</v>
      </c>
      <c r="B95" s="19" t="str">
        <f>image("https://storage.googleapis.com/acdb/photos/BromideNpcNmlMus10_Remake_5_0.png")</f>
        <v/>
      </c>
      <c r="C95" s="21" t="s">
        <v>258</v>
      </c>
      <c r="D95" s="21" t="s">
        <v>51</v>
      </c>
      <c r="E95" s="21">
        <v>10.0</v>
      </c>
      <c r="F95" s="21" t="s">
        <v>2289</v>
      </c>
      <c r="G95" s="19">
        <v>6598.0</v>
      </c>
      <c r="H95" s="19" t="s">
        <v>369</v>
      </c>
      <c r="I95" s="19" t="s">
        <v>118</v>
      </c>
    </row>
    <row r="96" ht="56.25" customHeight="1">
      <c r="A96" s="21" t="s">
        <v>2408</v>
      </c>
      <c r="B96" s="19" t="str">
        <f>image("https://storage.googleapis.com/acdb/photos/BromideNpcNmlMus10_Remake_6_0.png")</f>
        <v/>
      </c>
      <c r="C96" s="21" t="s">
        <v>182</v>
      </c>
      <c r="D96" s="21" t="s">
        <v>51</v>
      </c>
      <c r="E96" s="21">
        <v>10.0</v>
      </c>
      <c r="F96" s="21" t="s">
        <v>2289</v>
      </c>
      <c r="G96" s="19">
        <v>6598.0</v>
      </c>
      <c r="H96" s="19" t="s">
        <v>369</v>
      </c>
      <c r="I96" s="19" t="s">
        <v>118</v>
      </c>
    </row>
    <row r="97" ht="56.25" customHeight="1">
      <c r="A97" s="21" t="s">
        <v>2408</v>
      </c>
      <c r="B97" s="19" t="str">
        <f>image("https://storage.googleapis.com/acdb/photos/BromideNpcNmlMus10_Remake_7_0.png")</f>
        <v/>
      </c>
      <c r="C97" s="21" t="s">
        <v>187</v>
      </c>
      <c r="D97" s="21" t="s">
        <v>51</v>
      </c>
      <c r="E97" s="21">
        <v>10.0</v>
      </c>
      <c r="F97" s="21" t="s">
        <v>2289</v>
      </c>
      <c r="G97" s="19">
        <v>6598.0</v>
      </c>
      <c r="H97" s="19" t="s">
        <v>369</v>
      </c>
      <c r="I97" s="19" t="s">
        <v>118</v>
      </c>
    </row>
    <row r="98" ht="56.25" customHeight="1">
      <c r="A98" s="21" t="s">
        <v>2420</v>
      </c>
      <c r="B98" s="19" t="str">
        <f>image("https://storage.googleapis.com/acdb/photos/BromideNpcNmlCat19_Remake_0_0.png")</f>
        <v/>
      </c>
      <c r="C98" s="21" t="s">
        <v>219</v>
      </c>
      <c r="D98" s="21" t="s">
        <v>51</v>
      </c>
      <c r="E98" s="21">
        <v>10.0</v>
      </c>
      <c r="F98" s="21" t="s">
        <v>2289</v>
      </c>
      <c r="G98" s="19">
        <v>6766.0</v>
      </c>
      <c r="H98" s="19" t="s">
        <v>211</v>
      </c>
      <c r="I98" s="19" t="s">
        <v>118</v>
      </c>
    </row>
    <row r="99" ht="56.25" customHeight="1">
      <c r="A99" s="21" t="s">
        <v>2420</v>
      </c>
      <c r="B99" s="19" t="str">
        <f>image("https://storage.googleapis.com/acdb/photos/BromideNpcNmlCat19_Remake_1_0.png")</f>
        <v/>
      </c>
      <c r="C99" s="21" t="s">
        <v>795</v>
      </c>
      <c r="D99" s="21" t="s">
        <v>51</v>
      </c>
      <c r="E99" s="21">
        <v>10.0</v>
      </c>
      <c r="F99" s="21" t="s">
        <v>2289</v>
      </c>
      <c r="G99" s="19">
        <v>6766.0</v>
      </c>
      <c r="H99" s="19" t="s">
        <v>211</v>
      </c>
      <c r="I99" s="19" t="s">
        <v>118</v>
      </c>
    </row>
    <row r="100" ht="56.25" customHeight="1">
      <c r="A100" s="21" t="s">
        <v>2420</v>
      </c>
      <c r="B100" s="19" t="str">
        <f>image("https://storage.googleapis.com/acdb/photos/BromideNpcNmlCat19_Remake_2_0.png")</f>
        <v/>
      </c>
      <c r="C100" s="21" t="s">
        <v>954</v>
      </c>
      <c r="D100" s="21" t="s">
        <v>51</v>
      </c>
      <c r="E100" s="21">
        <v>10.0</v>
      </c>
      <c r="F100" s="21" t="s">
        <v>2289</v>
      </c>
      <c r="G100" s="19">
        <v>6766.0</v>
      </c>
      <c r="H100" s="19" t="s">
        <v>211</v>
      </c>
      <c r="I100" s="19" t="s">
        <v>118</v>
      </c>
    </row>
    <row r="101" ht="56.25" customHeight="1">
      <c r="A101" s="21" t="s">
        <v>2420</v>
      </c>
      <c r="B101" s="19" t="str">
        <f>image("https://storage.googleapis.com/acdb/photos/BromideNpcNmlCat19_Remake_3_0.png")</f>
        <v/>
      </c>
      <c r="C101" s="21" t="s">
        <v>82</v>
      </c>
      <c r="D101" s="21" t="s">
        <v>51</v>
      </c>
      <c r="E101" s="21">
        <v>10.0</v>
      </c>
      <c r="F101" s="21" t="s">
        <v>2289</v>
      </c>
      <c r="G101" s="19">
        <v>6766.0</v>
      </c>
      <c r="H101" s="19" t="s">
        <v>211</v>
      </c>
      <c r="I101" s="19" t="s">
        <v>118</v>
      </c>
    </row>
    <row r="102" ht="56.25" customHeight="1">
      <c r="A102" s="21" t="s">
        <v>2420</v>
      </c>
      <c r="B102" s="19" t="str">
        <f>image("https://storage.googleapis.com/acdb/photos/BromideNpcNmlCat19_Remake_4_0.png")</f>
        <v/>
      </c>
      <c r="C102" s="21" t="s">
        <v>833</v>
      </c>
      <c r="D102" s="21" t="s">
        <v>51</v>
      </c>
      <c r="E102" s="21">
        <v>10.0</v>
      </c>
      <c r="F102" s="21" t="s">
        <v>2289</v>
      </c>
      <c r="G102" s="19">
        <v>6766.0</v>
      </c>
      <c r="H102" s="19" t="s">
        <v>211</v>
      </c>
      <c r="I102" s="19" t="s">
        <v>118</v>
      </c>
    </row>
    <row r="103" ht="56.25" customHeight="1">
      <c r="A103" s="21" t="s">
        <v>2420</v>
      </c>
      <c r="B103" s="19" t="str">
        <f>image("https://storage.googleapis.com/acdb/photos/BromideNpcNmlCat19_Remake_5_0.png")</f>
        <v/>
      </c>
      <c r="C103" s="21" t="s">
        <v>258</v>
      </c>
      <c r="D103" s="21" t="s">
        <v>51</v>
      </c>
      <c r="E103" s="21">
        <v>10.0</v>
      </c>
      <c r="F103" s="21" t="s">
        <v>2289</v>
      </c>
      <c r="G103" s="19">
        <v>6766.0</v>
      </c>
      <c r="H103" s="19" t="s">
        <v>211</v>
      </c>
      <c r="I103" s="19" t="s">
        <v>118</v>
      </c>
    </row>
    <row r="104" ht="56.25" customHeight="1">
      <c r="A104" s="21" t="s">
        <v>2420</v>
      </c>
      <c r="B104" s="19" t="str">
        <f>image("https://storage.googleapis.com/acdb/photos/BromideNpcNmlCat19_Remake_6_0.png")</f>
        <v/>
      </c>
      <c r="C104" s="21" t="s">
        <v>182</v>
      </c>
      <c r="D104" s="21" t="s">
        <v>51</v>
      </c>
      <c r="E104" s="21">
        <v>10.0</v>
      </c>
      <c r="F104" s="21" t="s">
        <v>2289</v>
      </c>
      <c r="G104" s="19">
        <v>6766.0</v>
      </c>
      <c r="H104" s="19" t="s">
        <v>211</v>
      </c>
      <c r="I104" s="19" t="s">
        <v>118</v>
      </c>
    </row>
    <row r="105" ht="56.25" customHeight="1">
      <c r="A105" s="21" t="s">
        <v>2420</v>
      </c>
      <c r="B105" s="19" t="str">
        <f>image("https://storage.googleapis.com/acdb/photos/BromideNpcNmlCat19_Remake_7_0.png")</f>
        <v/>
      </c>
      <c r="C105" s="21" t="s">
        <v>187</v>
      </c>
      <c r="D105" s="21" t="s">
        <v>51</v>
      </c>
      <c r="E105" s="21">
        <v>10.0</v>
      </c>
      <c r="F105" s="21" t="s">
        <v>2289</v>
      </c>
      <c r="G105" s="19">
        <v>6766.0</v>
      </c>
      <c r="H105" s="19" t="s">
        <v>211</v>
      </c>
      <c r="I105" s="19" t="s">
        <v>118</v>
      </c>
    </row>
    <row r="106" ht="56.25" customHeight="1">
      <c r="A106" s="21" t="s">
        <v>2437</v>
      </c>
      <c r="B106" s="19" t="str">
        <f>image("https://storage.googleapis.com/acdb/photos/BromideNpcNmlAnt08_Remake_0_0.png")</f>
        <v/>
      </c>
      <c r="C106" s="21" t="s">
        <v>219</v>
      </c>
      <c r="D106" s="21" t="s">
        <v>51</v>
      </c>
      <c r="E106" s="21">
        <v>10.0</v>
      </c>
      <c r="F106" s="21" t="s">
        <v>2289</v>
      </c>
      <c r="G106" s="19">
        <v>6765.0</v>
      </c>
      <c r="H106" s="19" t="s">
        <v>1608</v>
      </c>
      <c r="I106" s="19" t="s">
        <v>107</v>
      </c>
    </row>
    <row r="107" ht="56.25" customHeight="1">
      <c r="A107" s="21" t="s">
        <v>2437</v>
      </c>
      <c r="B107" s="19" t="str">
        <f>image("https://storage.googleapis.com/acdb/photos/BromideNpcNmlAnt08_Remake_1_0.png")</f>
        <v/>
      </c>
      <c r="C107" s="21" t="s">
        <v>795</v>
      </c>
      <c r="D107" s="21" t="s">
        <v>51</v>
      </c>
      <c r="E107" s="21">
        <v>10.0</v>
      </c>
      <c r="F107" s="21" t="s">
        <v>2289</v>
      </c>
      <c r="G107" s="19">
        <v>6765.0</v>
      </c>
      <c r="H107" s="19" t="s">
        <v>1608</v>
      </c>
      <c r="I107" s="19" t="s">
        <v>107</v>
      </c>
    </row>
    <row r="108" ht="56.25" customHeight="1">
      <c r="A108" s="21" t="s">
        <v>2437</v>
      </c>
      <c r="B108" s="19" t="str">
        <f>image("https://storage.googleapis.com/acdb/photos/BromideNpcNmlAnt08_Remake_2_0.png")</f>
        <v/>
      </c>
      <c r="C108" s="21" t="s">
        <v>954</v>
      </c>
      <c r="D108" s="21" t="s">
        <v>51</v>
      </c>
      <c r="E108" s="21">
        <v>10.0</v>
      </c>
      <c r="F108" s="21" t="s">
        <v>2289</v>
      </c>
      <c r="G108" s="19">
        <v>6765.0</v>
      </c>
      <c r="H108" s="19" t="s">
        <v>1608</v>
      </c>
      <c r="I108" s="19" t="s">
        <v>107</v>
      </c>
    </row>
    <row r="109" ht="56.25" customHeight="1">
      <c r="A109" s="21" t="s">
        <v>2437</v>
      </c>
      <c r="B109" s="19" t="str">
        <f>image("https://storage.googleapis.com/acdb/photos/BromideNpcNmlAnt08_Remake_3_0.png")</f>
        <v/>
      </c>
      <c r="C109" s="21" t="s">
        <v>82</v>
      </c>
      <c r="D109" s="21" t="s">
        <v>51</v>
      </c>
      <c r="E109" s="21">
        <v>10.0</v>
      </c>
      <c r="F109" s="21" t="s">
        <v>2289</v>
      </c>
      <c r="G109" s="19">
        <v>6765.0</v>
      </c>
      <c r="H109" s="19" t="s">
        <v>1608</v>
      </c>
      <c r="I109" s="19" t="s">
        <v>107</v>
      </c>
    </row>
    <row r="110" ht="56.25" customHeight="1">
      <c r="A110" s="21" t="s">
        <v>2437</v>
      </c>
      <c r="B110" s="19" t="str">
        <f>image("https://storage.googleapis.com/acdb/photos/BromideNpcNmlAnt08_Remake_4_0.png")</f>
        <v/>
      </c>
      <c r="C110" s="21" t="s">
        <v>833</v>
      </c>
      <c r="D110" s="21" t="s">
        <v>51</v>
      </c>
      <c r="E110" s="21">
        <v>10.0</v>
      </c>
      <c r="F110" s="21" t="s">
        <v>2289</v>
      </c>
      <c r="G110" s="19">
        <v>6765.0</v>
      </c>
      <c r="H110" s="19" t="s">
        <v>1608</v>
      </c>
      <c r="I110" s="19" t="s">
        <v>107</v>
      </c>
    </row>
    <row r="111" ht="56.25" customHeight="1">
      <c r="A111" s="21" t="s">
        <v>2437</v>
      </c>
      <c r="B111" s="19" t="str">
        <f>image("https://storage.googleapis.com/acdb/photos/BromideNpcNmlAnt08_Remake_5_0.png")</f>
        <v/>
      </c>
      <c r="C111" s="21" t="s">
        <v>258</v>
      </c>
      <c r="D111" s="21" t="s">
        <v>51</v>
      </c>
      <c r="E111" s="21">
        <v>10.0</v>
      </c>
      <c r="F111" s="21" t="s">
        <v>2289</v>
      </c>
      <c r="G111" s="19">
        <v>6765.0</v>
      </c>
      <c r="H111" s="19" t="s">
        <v>1608</v>
      </c>
      <c r="I111" s="19" t="s">
        <v>107</v>
      </c>
    </row>
    <row r="112" ht="56.25" customHeight="1">
      <c r="A112" s="21" t="s">
        <v>2437</v>
      </c>
      <c r="B112" s="19" t="str">
        <f>image("https://storage.googleapis.com/acdb/photos/BromideNpcNmlAnt08_Remake_6_0.png")</f>
        <v/>
      </c>
      <c r="C112" s="21" t="s">
        <v>182</v>
      </c>
      <c r="D112" s="21" t="s">
        <v>51</v>
      </c>
      <c r="E112" s="21">
        <v>10.0</v>
      </c>
      <c r="F112" s="21" t="s">
        <v>2289</v>
      </c>
      <c r="G112" s="19">
        <v>6765.0</v>
      </c>
      <c r="H112" s="19" t="s">
        <v>1608</v>
      </c>
      <c r="I112" s="19" t="s">
        <v>107</v>
      </c>
    </row>
    <row r="113" ht="56.25" customHeight="1">
      <c r="A113" s="21" t="s">
        <v>2437</v>
      </c>
      <c r="B113" s="19" t="str">
        <f>image("https://storage.googleapis.com/acdb/photos/BromideNpcNmlAnt08_Remake_7_0.png")</f>
        <v/>
      </c>
      <c r="C113" s="21" t="s">
        <v>187</v>
      </c>
      <c r="D113" s="21" t="s">
        <v>51</v>
      </c>
      <c r="E113" s="21">
        <v>10.0</v>
      </c>
      <c r="F113" s="21" t="s">
        <v>2289</v>
      </c>
      <c r="G113" s="19">
        <v>6765.0</v>
      </c>
      <c r="H113" s="19" t="s">
        <v>1608</v>
      </c>
      <c r="I113" s="19" t="s">
        <v>107</v>
      </c>
    </row>
    <row r="114" ht="56.25" customHeight="1">
      <c r="A114" s="21" t="s">
        <v>2456</v>
      </c>
      <c r="B114" s="19" t="str">
        <f>image("https://storage.googleapis.com/acdb/photos/BromideNpcNmlHrs09_Remake_0_0.png")</f>
        <v/>
      </c>
      <c r="C114" s="21" t="s">
        <v>219</v>
      </c>
      <c r="D114" s="21" t="s">
        <v>51</v>
      </c>
      <c r="E114" s="21">
        <v>10.0</v>
      </c>
      <c r="F114" s="21" t="s">
        <v>2289</v>
      </c>
      <c r="G114" s="19">
        <v>6548.0</v>
      </c>
      <c r="H114" s="19" t="s">
        <v>118</v>
      </c>
      <c r="I114" s="19" t="s">
        <v>464</v>
      </c>
    </row>
    <row r="115" ht="56.25" customHeight="1">
      <c r="A115" s="21" t="s">
        <v>2456</v>
      </c>
      <c r="B115" s="19" t="str">
        <f>image("https://storage.googleapis.com/acdb/photos/BromideNpcNmlHrs09_Remake_1_0.png")</f>
        <v/>
      </c>
      <c r="C115" s="21" t="s">
        <v>795</v>
      </c>
      <c r="D115" s="21" t="s">
        <v>51</v>
      </c>
      <c r="E115" s="21">
        <v>10.0</v>
      </c>
      <c r="F115" s="21" t="s">
        <v>2289</v>
      </c>
      <c r="G115" s="19">
        <v>6548.0</v>
      </c>
      <c r="H115" s="19" t="s">
        <v>118</v>
      </c>
      <c r="I115" s="19" t="s">
        <v>464</v>
      </c>
    </row>
    <row r="116" ht="56.25" customHeight="1">
      <c r="A116" s="21" t="s">
        <v>2456</v>
      </c>
      <c r="B116" s="19" t="str">
        <f>image("https://storage.googleapis.com/acdb/photos/BromideNpcNmlHrs09_Remake_2_0.png")</f>
        <v/>
      </c>
      <c r="C116" s="21" t="s">
        <v>954</v>
      </c>
      <c r="D116" s="21" t="s">
        <v>51</v>
      </c>
      <c r="E116" s="21">
        <v>10.0</v>
      </c>
      <c r="F116" s="21" t="s">
        <v>2289</v>
      </c>
      <c r="G116" s="19">
        <v>6548.0</v>
      </c>
      <c r="H116" s="19" t="s">
        <v>118</v>
      </c>
      <c r="I116" s="19" t="s">
        <v>464</v>
      </c>
    </row>
    <row r="117" ht="56.25" customHeight="1">
      <c r="A117" s="21" t="s">
        <v>2456</v>
      </c>
      <c r="B117" s="19" t="str">
        <f>image("https://storage.googleapis.com/acdb/photos/BromideNpcNmlHrs09_Remake_3_0.png")</f>
        <v/>
      </c>
      <c r="C117" s="21" t="s">
        <v>82</v>
      </c>
      <c r="D117" s="21" t="s">
        <v>51</v>
      </c>
      <c r="E117" s="21">
        <v>10.0</v>
      </c>
      <c r="F117" s="21" t="s">
        <v>2289</v>
      </c>
      <c r="G117" s="19">
        <v>6548.0</v>
      </c>
      <c r="H117" s="19" t="s">
        <v>118</v>
      </c>
      <c r="I117" s="19" t="s">
        <v>464</v>
      </c>
    </row>
    <row r="118" ht="56.25" customHeight="1">
      <c r="A118" s="21" t="s">
        <v>2456</v>
      </c>
      <c r="B118" s="19" t="str">
        <f>image("https://storage.googleapis.com/acdb/photos/BromideNpcNmlHrs09_Remake_4_0.png")</f>
        <v/>
      </c>
      <c r="C118" s="21" t="s">
        <v>833</v>
      </c>
      <c r="D118" s="21" t="s">
        <v>51</v>
      </c>
      <c r="E118" s="21">
        <v>10.0</v>
      </c>
      <c r="F118" s="21" t="s">
        <v>2289</v>
      </c>
      <c r="G118" s="19">
        <v>6548.0</v>
      </c>
      <c r="H118" s="19" t="s">
        <v>118</v>
      </c>
      <c r="I118" s="19" t="s">
        <v>464</v>
      </c>
    </row>
    <row r="119" ht="56.25" customHeight="1">
      <c r="A119" s="21" t="s">
        <v>2456</v>
      </c>
      <c r="B119" s="19" t="str">
        <f>image("https://storage.googleapis.com/acdb/photos/BromideNpcNmlHrs09_Remake_5_0.png")</f>
        <v/>
      </c>
      <c r="C119" s="21" t="s">
        <v>258</v>
      </c>
      <c r="D119" s="21" t="s">
        <v>51</v>
      </c>
      <c r="E119" s="21">
        <v>10.0</v>
      </c>
      <c r="F119" s="21" t="s">
        <v>2289</v>
      </c>
      <c r="G119" s="19">
        <v>6548.0</v>
      </c>
      <c r="H119" s="19" t="s">
        <v>118</v>
      </c>
      <c r="I119" s="19" t="s">
        <v>464</v>
      </c>
    </row>
    <row r="120" ht="56.25" customHeight="1">
      <c r="A120" s="21" t="s">
        <v>2456</v>
      </c>
      <c r="B120" s="19" t="str">
        <f>image("https://storage.googleapis.com/acdb/photos/BromideNpcNmlHrs09_Remake_6_0.png")</f>
        <v/>
      </c>
      <c r="C120" s="21" t="s">
        <v>182</v>
      </c>
      <c r="D120" s="21" t="s">
        <v>51</v>
      </c>
      <c r="E120" s="21">
        <v>10.0</v>
      </c>
      <c r="F120" s="21" t="s">
        <v>2289</v>
      </c>
      <c r="G120" s="19">
        <v>6548.0</v>
      </c>
      <c r="H120" s="19" t="s">
        <v>118</v>
      </c>
      <c r="I120" s="19" t="s">
        <v>464</v>
      </c>
    </row>
    <row r="121" ht="56.25" customHeight="1">
      <c r="A121" s="21" t="s">
        <v>2456</v>
      </c>
      <c r="B121" s="19" t="str">
        <f>image("https://storage.googleapis.com/acdb/photos/BromideNpcNmlHrs09_Remake_7_0.png")</f>
        <v/>
      </c>
      <c r="C121" s="21" t="s">
        <v>187</v>
      </c>
      <c r="D121" s="21" t="s">
        <v>51</v>
      </c>
      <c r="E121" s="21">
        <v>10.0</v>
      </c>
      <c r="F121" s="21" t="s">
        <v>2289</v>
      </c>
      <c r="G121" s="19">
        <v>6548.0</v>
      </c>
      <c r="H121" s="19" t="s">
        <v>118</v>
      </c>
      <c r="I121" s="19" t="s">
        <v>464</v>
      </c>
    </row>
    <row r="122" ht="56.25" customHeight="1">
      <c r="A122" s="21" t="s">
        <v>2465</v>
      </c>
      <c r="B122" s="19" t="str">
        <f>image("https://storage.googleapis.com/acdb/photos/BromideNpcNmlAnt01_Remake_0_0.png")</f>
        <v/>
      </c>
      <c r="C122" s="21" t="s">
        <v>219</v>
      </c>
      <c r="D122" s="21" t="s">
        <v>51</v>
      </c>
      <c r="E122" s="21">
        <v>10.0</v>
      </c>
      <c r="F122" s="21" t="s">
        <v>2289</v>
      </c>
      <c r="G122" s="19">
        <v>6537.0</v>
      </c>
      <c r="H122" s="19" t="s">
        <v>112</v>
      </c>
      <c r="I122" s="19" t="s">
        <v>211</v>
      </c>
    </row>
    <row r="123" ht="56.25" customHeight="1">
      <c r="A123" s="21" t="s">
        <v>2465</v>
      </c>
      <c r="B123" s="19" t="str">
        <f>image("https://storage.googleapis.com/acdb/photos/BromideNpcNmlAnt01_Remake_1_0.png")</f>
        <v/>
      </c>
      <c r="C123" s="21" t="s">
        <v>795</v>
      </c>
      <c r="D123" s="21" t="s">
        <v>51</v>
      </c>
      <c r="E123" s="21">
        <v>10.0</v>
      </c>
      <c r="F123" s="21" t="s">
        <v>2289</v>
      </c>
      <c r="G123" s="19">
        <v>6537.0</v>
      </c>
      <c r="H123" s="19" t="s">
        <v>112</v>
      </c>
      <c r="I123" s="19" t="s">
        <v>211</v>
      </c>
    </row>
    <row r="124" ht="56.25" customHeight="1">
      <c r="A124" s="21" t="s">
        <v>2465</v>
      </c>
      <c r="B124" s="19" t="str">
        <f>image("https://storage.googleapis.com/acdb/photos/BromideNpcNmlAnt01_Remake_2_0.png")</f>
        <v/>
      </c>
      <c r="C124" s="21" t="s">
        <v>954</v>
      </c>
      <c r="D124" s="21" t="s">
        <v>51</v>
      </c>
      <c r="E124" s="21">
        <v>10.0</v>
      </c>
      <c r="F124" s="21" t="s">
        <v>2289</v>
      </c>
      <c r="G124" s="19">
        <v>6537.0</v>
      </c>
      <c r="H124" s="19" t="s">
        <v>112</v>
      </c>
      <c r="I124" s="19" t="s">
        <v>211</v>
      </c>
    </row>
    <row r="125" ht="56.25" customHeight="1">
      <c r="A125" s="21" t="s">
        <v>2465</v>
      </c>
      <c r="B125" s="19" t="str">
        <f>image("https://storage.googleapis.com/acdb/photos/BromideNpcNmlAnt01_Remake_3_0.png")</f>
        <v/>
      </c>
      <c r="C125" s="21" t="s">
        <v>82</v>
      </c>
      <c r="D125" s="21" t="s">
        <v>51</v>
      </c>
      <c r="E125" s="21">
        <v>10.0</v>
      </c>
      <c r="F125" s="21" t="s">
        <v>2289</v>
      </c>
      <c r="G125" s="19">
        <v>6537.0</v>
      </c>
      <c r="H125" s="19" t="s">
        <v>112</v>
      </c>
      <c r="I125" s="19" t="s">
        <v>211</v>
      </c>
    </row>
    <row r="126" ht="56.25" customHeight="1">
      <c r="A126" s="21" t="s">
        <v>2465</v>
      </c>
      <c r="B126" s="19" t="str">
        <f>image("https://storage.googleapis.com/acdb/photos/BromideNpcNmlAnt01_Remake_4_0.png")</f>
        <v/>
      </c>
      <c r="C126" s="21" t="s">
        <v>833</v>
      </c>
      <c r="D126" s="21" t="s">
        <v>51</v>
      </c>
      <c r="E126" s="21">
        <v>10.0</v>
      </c>
      <c r="F126" s="21" t="s">
        <v>2289</v>
      </c>
      <c r="G126" s="19">
        <v>6537.0</v>
      </c>
      <c r="H126" s="19" t="s">
        <v>112</v>
      </c>
      <c r="I126" s="19" t="s">
        <v>211</v>
      </c>
    </row>
    <row r="127" ht="56.25" customHeight="1">
      <c r="A127" s="21" t="s">
        <v>2465</v>
      </c>
      <c r="B127" s="19" t="str">
        <f>image("https://storage.googleapis.com/acdb/photos/BromideNpcNmlAnt01_Remake_5_0.png")</f>
        <v/>
      </c>
      <c r="C127" s="21" t="s">
        <v>258</v>
      </c>
      <c r="D127" s="21" t="s">
        <v>51</v>
      </c>
      <c r="E127" s="21">
        <v>10.0</v>
      </c>
      <c r="F127" s="21" t="s">
        <v>2289</v>
      </c>
      <c r="G127" s="19">
        <v>6537.0</v>
      </c>
      <c r="H127" s="19" t="s">
        <v>112</v>
      </c>
      <c r="I127" s="19" t="s">
        <v>211</v>
      </c>
    </row>
    <row r="128" ht="56.25" customHeight="1">
      <c r="A128" s="21" t="s">
        <v>2465</v>
      </c>
      <c r="B128" s="19" t="str">
        <f>image("https://storage.googleapis.com/acdb/photos/BromideNpcNmlAnt01_Remake_6_0.png")</f>
        <v/>
      </c>
      <c r="C128" s="21" t="s">
        <v>182</v>
      </c>
      <c r="D128" s="21" t="s">
        <v>51</v>
      </c>
      <c r="E128" s="21">
        <v>10.0</v>
      </c>
      <c r="F128" s="21" t="s">
        <v>2289</v>
      </c>
      <c r="G128" s="19">
        <v>6537.0</v>
      </c>
      <c r="H128" s="19" t="s">
        <v>112</v>
      </c>
      <c r="I128" s="19" t="s">
        <v>211</v>
      </c>
    </row>
    <row r="129" ht="56.25" customHeight="1">
      <c r="A129" s="21" t="s">
        <v>2465</v>
      </c>
      <c r="B129" s="19" t="str">
        <f>image("https://storage.googleapis.com/acdb/photos/BromideNpcNmlAnt01_Remake_7_0.png")</f>
        <v/>
      </c>
      <c r="C129" s="21" t="s">
        <v>187</v>
      </c>
      <c r="D129" s="21" t="s">
        <v>51</v>
      </c>
      <c r="E129" s="21">
        <v>10.0</v>
      </c>
      <c r="F129" s="21" t="s">
        <v>2289</v>
      </c>
      <c r="G129" s="19">
        <v>6537.0</v>
      </c>
      <c r="H129" s="19" t="s">
        <v>112</v>
      </c>
      <c r="I129" s="19" t="s">
        <v>211</v>
      </c>
    </row>
    <row r="130" ht="56.25" customHeight="1">
      <c r="A130" s="21" t="s">
        <v>2475</v>
      </c>
      <c r="B130" s="19" t="str">
        <f>image("https://storage.googleapis.com/acdb/photos/BromideNpcNmlPbr00_Remake_0_0.png")</f>
        <v/>
      </c>
      <c r="C130" s="21" t="s">
        <v>219</v>
      </c>
      <c r="D130" s="21" t="s">
        <v>51</v>
      </c>
      <c r="E130" s="21">
        <v>10.0</v>
      </c>
      <c r="F130" s="21" t="s">
        <v>2289</v>
      </c>
      <c r="G130" s="19">
        <v>6620.0</v>
      </c>
      <c r="H130" s="19" t="s">
        <v>99</v>
      </c>
      <c r="I130" s="19" t="s">
        <v>82</v>
      </c>
    </row>
    <row r="131" ht="56.25" customHeight="1">
      <c r="A131" s="21" t="s">
        <v>2475</v>
      </c>
      <c r="B131" s="19" t="str">
        <f>image("https://storage.googleapis.com/acdb/photos/BromideNpcNmlPbr00_Remake_1_0.png")</f>
        <v/>
      </c>
      <c r="C131" s="21" t="s">
        <v>795</v>
      </c>
      <c r="D131" s="21" t="s">
        <v>51</v>
      </c>
      <c r="E131" s="21">
        <v>10.0</v>
      </c>
      <c r="F131" s="21" t="s">
        <v>2289</v>
      </c>
      <c r="G131" s="19">
        <v>6620.0</v>
      </c>
      <c r="H131" s="19" t="s">
        <v>99</v>
      </c>
      <c r="I131" s="19" t="s">
        <v>82</v>
      </c>
    </row>
    <row r="132" ht="56.25" customHeight="1">
      <c r="A132" s="21" t="s">
        <v>2475</v>
      </c>
      <c r="B132" s="19" t="str">
        <f>image("https://storage.googleapis.com/acdb/photos/BromideNpcNmlPbr00_Remake_2_0.png")</f>
        <v/>
      </c>
      <c r="C132" s="21" t="s">
        <v>954</v>
      </c>
      <c r="D132" s="21" t="s">
        <v>51</v>
      </c>
      <c r="E132" s="21">
        <v>10.0</v>
      </c>
      <c r="F132" s="21" t="s">
        <v>2289</v>
      </c>
      <c r="G132" s="19">
        <v>6620.0</v>
      </c>
      <c r="H132" s="19" t="s">
        <v>99</v>
      </c>
      <c r="I132" s="19" t="s">
        <v>82</v>
      </c>
    </row>
    <row r="133" ht="56.25" customHeight="1">
      <c r="A133" s="21" t="s">
        <v>2475</v>
      </c>
      <c r="B133" s="19" t="str">
        <f>image("https://storage.googleapis.com/acdb/photos/BromideNpcNmlPbr00_Remake_3_0.png")</f>
        <v/>
      </c>
      <c r="C133" s="21" t="s">
        <v>82</v>
      </c>
      <c r="D133" s="21" t="s">
        <v>51</v>
      </c>
      <c r="E133" s="21">
        <v>10.0</v>
      </c>
      <c r="F133" s="21" t="s">
        <v>2289</v>
      </c>
      <c r="G133" s="19">
        <v>6620.0</v>
      </c>
      <c r="H133" s="19" t="s">
        <v>99</v>
      </c>
      <c r="I133" s="19" t="s">
        <v>82</v>
      </c>
    </row>
    <row r="134" ht="56.25" customHeight="1">
      <c r="A134" s="21" t="s">
        <v>2475</v>
      </c>
      <c r="B134" s="19" t="str">
        <f>image("https://storage.googleapis.com/acdb/photos/BromideNpcNmlPbr00_Remake_4_0.png")</f>
        <v/>
      </c>
      <c r="C134" s="21" t="s">
        <v>833</v>
      </c>
      <c r="D134" s="21" t="s">
        <v>51</v>
      </c>
      <c r="E134" s="21">
        <v>10.0</v>
      </c>
      <c r="F134" s="21" t="s">
        <v>2289</v>
      </c>
      <c r="G134" s="19">
        <v>6620.0</v>
      </c>
      <c r="H134" s="19" t="s">
        <v>99</v>
      </c>
      <c r="I134" s="19" t="s">
        <v>82</v>
      </c>
    </row>
    <row r="135" ht="56.25" customHeight="1">
      <c r="A135" s="21" t="s">
        <v>2475</v>
      </c>
      <c r="B135" s="19" t="str">
        <f>image("https://storage.googleapis.com/acdb/photos/BromideNpcNmlPbr00_Remake_5_0.png")</f>
        <v/>
      </c>
      <c r="C135" s="21" t="s">
        <v>258</v>
      </c>
      <c r="D135" s="21" t="s">
        <v>51</v>
      </c>
      <c r="E135" s="21">
        <v>10.0</v>
      </c>
      <c r="F135" s="21" t="s">
        <v>2289</v>
      </c>
      <c r="G135" s="19">
        <v>6620.0</v>
      </c>
      <c r="H135" s="19" t="s">
        <v>99</v>
      </c>
      <c r="I135" s="19" t="s">
        <v>82</v>
      </c>
    </row>
    <row r="136" ht="56.25" customHeight="1">
      <c r="A136" s="21" t="s">
        <v>2475</v>
      </c>
      <c r="B136" s="19" t="str">
        <f>image("https://storage.googleapis.com/acdb/photos/BromideNpcNmlPbr00_Remake_6_0.png")</f>
        <v/>
      </c>
      <c r="C136" s="21" t="s">
        <v>182</v>
      </c>
      <c r="D136" s="21" t="s">
        <v>51</v>
      </c>
      <c r="E136" s="21">
        <v>10.0</v>
      </c>
      <c r="F136" s="21" t="s">
        <v>2289</v>
      </c>
      <c r="G136" s="19">
        <v>6620.0</v>
      </c>
      <c r="H136" s="19" t="s">
        <v>99</v>
      </c>
      <c r="I136" s="19" t="s">
        <v>82</v>
      </c>
    </row>
    <row r="137" ht="56.25" customHeight="1">
      <c r="A137" s="21" t="s">
        <v>2475</v>
      </c>
      <c r="B137" s="19" t="str">
        <f>image("https://storage.googleapis.com/acdb/photos/BromideNpcNmlPbr00_Remake_7_0.png")</f>
        <v/>
      </c>
      <c r="C137" s="21" t="s">
        <v>187</v>
      </c>
      <c r="D137" s="21" t="s">
        <v>51</v>
      </c>
      <c r="E137" s="21">
        <v>10.0</v>
      </c>
      <c r="F137" s="21" t="s">
        <v>2289</v>
      </c>
      <c r="G137" s="19">
        <v>6620.0</v>
      </c>
      <c r="H137" s="19" t="s">
        <v>99</v>
      </c>
      <c r="I137" s="19" t="s">
        <v>82</v>
      </c>
    </row>
    <row r="138" ht="56.25" customHeight="1">
      <c r="A138" s="21" t="s">
        <v>2487</v>
      </c>
      <c r="B138" s="19" t="str">
        <f>image("https://storage.googleapis.com/acdb/photos/BromideNpcNmlHam01_Remake_0_0.png")</f>
        <v/>
      </c>
      <c r="C138" s="21" t="s">
        <v>219</v>
      </c>
      <c r="D138" s="21" t="s">
        <v>51</v>
      </c>
      <c r="E138" s="21">
        <v>10.0</v>
      </c>
      <c r="F138" s="21" t="s">
        <v>2289</v>
      </c>
      <c r="G138" s="19">
        <v>6522.0</v>
      </c>
      <c r="H138" s="19" t="s">
        <v>208</v>
      </c>
      <c r="I138" s="19" t="s">
        <v>211</v>
      </c>
    </row>
    <row r="139" ht="56.25" customHeight="1">
      <c r="A139" s="21" t="s">
        <v>2487</v>
      </c>
      <c r="B139" s="19" t="str">
        <f>image("https://storage.googleapis.com/acdb/photos/BromideNpcNmlHam01_Remake_1_0.png")</f>
        <v/>
      </c>
      <c r="C139" s="21" t="s">
        <v>795</v>
      </c>
      <c r="D139" s="21" t="s">
        <v>51</v>
      </c>
      <c r="E139" s="21">
        <v>10.0</v>
      </c>
      <c r="F139" s="21" t="s">
        <v>2289</v>
      </c>
      <c r="G139" s="19">
        <v>6522.0</v>
      </c>
      <c r="H139" s="19" t="s">
        <v>208</v>
      </c>
      <c r="I139" s="19" t="s">
        <v>211</v>
      </c>
    </row>
    <row r="140" ht="56.25" customHeight="1">
      <c r="A140" s="21" t="s">
        <v>2487</v>
      </c>
      <c r="B140" s="19" t="str">
        <f>image("https://storage.googleapis.com/acdb/photos/BromideNpcNmlHam01_Remake_2_0.png")</f>
        <v/>
      </c>
      <c r="C140" s="21" t="s">
        <v>954</v>
      </c>
      <c r="D140" s="21" t="s">
        <v>51</v>
      </c>
      <c r="E140" s="21">
        <v>10.0</v>
      </c>
      <c r="F140" s="21" t="s">
        <v>2289</v>
      </c>
      <c r="G140" s="19">
        <v>6522.0</v>
      </c>
      <c r="H140" s="19" t="s">
        <v>208</v>
      </c>
      <c r="I140" s="19" t="s">
        <v>211</v>
      </c>
    </row>
    <row r="141" ht="56.25" customHeight="1">
      <c r="A141" s="21" t="s">
        <v>2487</v>
      </c>
      <c r="B141" s="19" t="str">
        <f>image("https://storage.googleapis.com/acdb/photos/BromideNpcNmlHam01_Remake_3_0.png")</f>
        <v/>
      </c>
      <c r="C141" s="21" t="s">
        <v>82</v>
      </c>
      <c r="D141" s="21" t="s">
        <v>51</v>
      </c>
      <c r="E141" s="21">
        <v>10.0</v>
      </c>
      <c r="F141" s="21" t="s">
        <v>2289</v>
      </c>
      <c r="G141" s="19">
        <v>6522.0</v>
      </c>
      <c r="H141" s="19" t="s">
        <v>208</v>
      </c>
      <c r="I141" s="19" t="s">
        <v>211</v>
      </c>
    </row>
    <row r="142" ht="56.25" customHeight="1">
      <c r="A142" s="21" t="s">
        <v>2487</v>
      </c>
      <c r="B142" s="19" t="str">
        <f>image("https://storage.googleapis.com/acdb/photos/BromideNpcNmlHam01_Remake_4_0.png")</f>
        <v/>
      </c>
      <c r="C142" s="21" t="s">
        <v>833</v>
      </c>
      <c r="D142" s="21" t="s">
        <v>51</v>
      </c>
      <c r="E142" s="21">
        <v>10.0</v>
      </c>
      <c r="F142" s="21" t="s">
        <v>2289</v>
      </c>
      <c r="G142" s="19">
        <v>6522.0</v>
      </c>
      <c r="H142" s="19" t="s">
        <v>208</v>
      </c>
      <c r="I142" s="19" t="s">
        <v>211</v>
      </c>
    </row>
    <row r="143" ht="56.25" customHeight="1">
      <c r="A143" s="21" t="s">
        <v>2487</v>
      </c>
      <c r="B143" s="19" t="str">
        <f>image("https://storage.googleapis.com/acdb/photos/BromideNpcNmlHam01_Remake_5_0.png")</f>
        <v/>
      </c>
      <c r="C143" s="21" t="s">
        <v>258</v>
      </c>
      <c r="D143" s="21" t="s">
        <v>51</v>
      </c>
      <c r="E143" s="21">
        <v>10.0</v>
      </c>
      <c r="F143" s="21" t="s">
        <v>2289</v>
      </c>
      <c r="G143" s="19">
        <v>6522.0</v>
      </c>
      <c r="H143" s="19" t="s">
        <v>208</v>
      </c>
      <c r="I143" s="19" t="s">
        <v>211</v>
      </c>
    </row>
    <row r="144" ht="56.25" customHeight="1">
      <c r="A144" s="21" t="s">
        <v>2487</v>
      </c>
      <c r="B144" s="19" t="str">
        <f>image("https://storage.googleapis.com/acdb/photos/BromideNpcNmlHam01_Remake_6_0.png")</f>
        <v/>
      </c>
      <c r="C144" s="21" t="s">
        <v>182</v>
      </c>
      <c r="D144" s="21" t="s">
        <v>51</v>
      </c>
      <c r="E144" s="21">
        <v>10.0</v>
      </c>
      <c r="F144" s="21" t="s">
        <v>2289</v>
      </c>
      <c r="G144" s="19">
        <v>6522.0</v>
      </c>
      <c r="H144" s="19" t="s">
        <v>208</v>
      </c>
      <c r="I144" s="19" t="s">
        <v>211</v>
      </c>
    </row>
    <row r="145" ht="56.25" customHeight="1">
      <c r="A145" s="21" t="s">
        <v>2487</v>
      </c>
      <c r="B145" s="19" t="str">
        <f>image("https://storage.googleapis.com/acdb/photos/BromideNpcNmlHam01_Remake_7_0.png")</f>
        <v/>
      </c>
      <c r="C145" s="21" t="s">
        <v>187</v>
      </c>
      <c r="D145" s="21" t="s">
        <v>51</v>
      </c>
      <c r="E145" s="21">
        <v>10.0</v>
      </c>
      <c r="F145" s="21" t="s">
        <v>2289</v>
      </c>
      <c r="G145" s="19">
        <v>6522.0</v>
      </c>
      <c r="H145" s="19" t="s">
        <v>208</v>
      </c>
      <c r="I145" s="19" t="s">
        <v>211</v>
      </c>
    </row>
    <row r="146" ht="56.25" customHeight="1">
      <c r="A146" s="21" t="s">
        <v>2500</v>
      </c>
      <c r="B146" s="19" t="str">
        <f>image("https://storage.googleapis.com/acdb/photos/BromideNpcNmlKgr05_Remake_0_0.png")</f>
        <v/>
      </c>
      <c r="C146" s="21" t="s">
        <v>219</v>
      </c>
      <c r="D146" s="21" t="s">
        <v>51</v>
      </c>
      <c r="E146" s="21">
        <v>10.0</v>
      </c>
      <c r="F146" s="21" t="s">
        <v>2289</v>
      </c>
      <c r="G146" s="19">
        <v>6567.0</v>
      </c>
      <c r="H146" s="19" t="s">
        <v>82</v>
      </c>
      <c r="I146" s="19" t="s">
        <v>99</v>
      </c>
    </row>
    <row r="147" ht="56.25" customHeight="1">
      <c r="A147" s="21" t="s">
        <v>2500</v>
      </c>
      <c r="B147" s="19" t="str">
        <f>image("https://storage.googleapis.com/acdb/photos/BromideNpcNmlKgr05_Remake_1_0.png")</f>
        <v/>
      </c>
      <c r="C147" s="21" t="s">
        <v>795</v>
      </c>
      <c r="D147" s="21" t="s">
        <v>51</v>
      </c>
      <c r="E147" s="21">
        <v>10.0</v>
      </c>
      <c r="F147" s="21" t="s">
        <v>2289</v>
      </c>
      <c r="G147" s="19">
        <v>6567.0</v>
      </c>
      <c r="H147" s="19" t="s">
        <v>82</v>
      </c>
      <c r="I147" s="19" t="s">
        <v>99</v>
      </c>
    </row>
    <row r="148" ht="56.25" customHeight="1">
      <c r="A148" s="21" t="s">
        <v>2500</v>
      </c>
      <c r="B148" s="19" t="str">
        <f>image("https://storage.googleapis.com/acdb/photos/BromideNpcNmlKgr05_Remake_2_0.png")</f>
        <v/>
      </c>
      <c r="C148" s="21" t="s">
        <v>954</v>
      </c>
      <c r="D148" s="21" t="s">
        <v>51</v>
      </c>
      <c r="E148" s="21">
        <v>10.0</v>
      </c>
      <c r="F148" s="21" t="s">
        <v>2289</v>
      </c>
      <c r="G148" s="19">
        <v>6567.0</v>
      </c>
      <c r="H148" s="19" t="s">
        <v>82</v>
      </c>
      <c r="I148" s="19" t="s">
        <v>99</v>
      </c>
    </row>
    <row r="149" ht="56.25" customHeight="1">
      <c r="A149" s="21" t="s">
        <v>2500</v>
      </c>
      <c r="B149" s="19" t="str">
        <f>image("https://storage.googleapis.com/acdb/photos/BromideNpcNmlKgr05_Remake_3_0.png")</f>
        <v/>
      </c>
      <c r="C149" s="21" t="s">
        <v>82</v>
      </c>
      <c r="D149" s="21" t="s">
        <v>51</v>
      </c>
      <c r="E149" s="21">
        <v>10.0</v>
      </c>
      <c r="F149" s="21" t="s">
        <v>2289</v>
      </c>
      <c r="G149" s="19">
        <v>6567.0</v>
      </c>
      <c r="H149" s="19" t="s">
        <v>82</v>
      </c>
      <c r="I149" s="19" t="s">
        <v>99</v>
      </c>
    </row>
    <row r="150" ht="56.25" customHeight="1">
      <c r="A150" s="21" t="s">
        <v>2500</v>
      </c>
      <c r="B150" s="19" t="str">
        <f>image("https://storage.googleapis.com/acdb/photos/BromideNpcNmlKgr05_Remake_4_0.png")</f>
        <v/>
      </c>
      <c r="C150" s="21" t="s">
        <v>833</v>
      </c>
      <c r="D150" s="21" t="s">
        <v>51</v>
      </c>
      <c r="E150" s="21">
        <v>10.0</v>
      </c>
      <c r="F150" s="21" t="s">
        <v>2289</v>
      </c>
      <c r="G150" s="19">
        <v>6567.0</v>
      </c>
      <c r="H150" s="19" t="s">
        <v>82</v>
      </c>
      <c r="I150" s="19" t="s">
        <v>99</v>
      </c>
    </row>
    <row r="151" ht="56.25" customHeight="1">
      <c r="A151" s="21" t="s">
        <v>2500</v>
      </c>
      <c r="B151" s="19" t="str">
        <f>image("https://storage.googleapis.com/acdb/photos/BromideNpcNmlKgr05_Remake_5_0.png")</f>
        <v/>
      </c>
      <c r="C151" s="21" t="s">
        <v>258</v>
      </c>
      <c r="D151" s="21" t="s">
        <v>51</v>
      </c>
      <c r="E151" s="21">
        <v>10.0</v>
      </c>
      <c r="F151" s="21" t="s">
        <v>2289</v>
      </c>
      <c r="G151" s="19">
        <v>6567.0</v>
      </c>
      <c r="H151" s="19" t="s">
        <v>82</v>
      </c>
      <c r="I151" s="19" t="s">
        <v>99</v>
      </c>
    </row>
    <row r="152" ht="56.25" customHeight="1">
      <c r="A152" s="21" t="s">
        <v>2500</v>
      </c>
      <c r="B152" s="19" t="str">
        <f>image("https://storage.googleapis.com/acdb/photos/BromideNpcNmlKgr05_Remake_6_0.png")</f>
        <v/>
      </c>
      <c r="C152" s="21" t="s">
        <v>182</v>
      </c>
      <c r="D152" s="21" t="s">
        <v>51</v>
      </c>
      <c r="E152" s="21">
        <v>10.0</v>
      </c>
      <c r="F152" s="21" t="s">
        <v>2289</v>
      </c>
      <c r="G152" s="19">
        <v>6567.0</v>
      </c>
      <c r="H152" s="19" t="s">
        <v>82</v>
      </c>
      <c r="I152" s="19" t="s">
        <v>99</v>
      </c>
    </row>
    <row r="153" ht="56.25" customHeight="1">
      <c r="A153" s="21" t="s">
        <v>2500</v>
      </c>
      <c r="B153" s="19" t="str">
        <f>image("https://storage.googleapis.com/acdb/photos/BromideNpcNmlKgr05_Remake_7_0.png")</f>
        <v/>
      </c>
      <c r="C153" s="21" t="s">
        <v>187</v>
      </c>
      <c r="D153" s="21" t="s">
        <v>51</v>
      </c>
      <c r="E153" s="21">
        <v>10.0</v>
      </c>
      <c r="F153" s="21" t="s">
        <v>2289</v>
      </c>
      <c r="G153" s="19">
        <v>6567.0</v>
      </c>
      <c r="H153" s="19" t="s">
        <v>82</v>
      </c>
      <c r="I153" s="19" t="s">
        <v>99</v>
      </c>
    </row>
    <row r="154" ht="56.25" customHeight="1">
      <c r="A154" s="21" t="s">
        <v>2515</v>
      </c>
      <c r="B154" s="19" t="str">
        <f>image("https://storage.googleapis.com/acdb/photos/BromideNpcNmlWol12_Remake_0_0.png")</f>
        <v/>
      </c>
      <c r="C154" s="21" t="s">
        <v>219</v>
      </c>
      <c r="D154" s="21" t="s">
        <v>51</v>
      </c>
      <c r="E154" s="21">
        <v>10.0</v>
      </c>
      <c r="F154" s="21" t="s">
        <v>2289</v>
      </c>
      <c r="G154" s="19">
        <v>6994.0</v>
      </c>
      <c r="H154" s="19" t="s">
        <v>208</v>
      </c>
      <c r="I154" s="19" t="s">
        <v>211</v>
      </c>
    </row>
    <row r="155" ht="56.25" customHeight="1">
      <c r="A155" s="21" t="s">
        <v>2515</v>
      </c>
      <c r="B155" s="19" t="str">
        <f>image("https://storage.googleapis.com/acdb/photos/BromideNpcNmlWol12_Remake_1_0.png")</f>
        <v/>
      </c>
      <c r="C155" s="21" t="s">
        <v>795</v>
      </c>
      <c r="D155" s="21" t="s">
        <v>51</v>
      </c>
      <c r="E155" s="21">
        <v>10.0</v>
      </c>
      <c r="F155" s="21" t="s">
        <v>2289</v>
      </c>
      <c r="G155" s="19">
        <v>6994.0</v>
      </c>
      <c r="H155" s="19" t="s">
        <v>208</v>
      </c>
      <c r="I155" s="19" t="s">
        <v>211</v>
      </c>
    </row>
    <row r="156" ht="56.25" customHeight="1">
      <c r="A156" s="21" t="s">
        <v>2515</v>
      </c>
      <c r="B156" s="19" t="str">
        <f>image("https://storage.googleapis.com/acdb/photos/BromideNpcNmlWol12_Remake_2_0.png")</f>
        <v/>
      </c>
      <c r="C156" s="21" t="s">
        <v>954</v>
      </c>
      <c r="D156" s="21" t="s">
        <v>51</v>
      </c>
      <c r="E156" s="21">
        <v>10.0</v>
      </c>
      <c r="F156" s="21" t="s">
        <v>2289</v>
      </c>
      <c r="G156" s="19">
        <v>6994.0</v>
      </c>
      <c r="H156" s="19" t="s">
        <v>208</v>
      </c>
      <c r="I156" s="19" t="s">
        <v>211</v>
      </c>
    </row>
    <row r="157" ht="56.25" customHeight="1">
      <c r="A157" s="21" t="s">
        <v>2515</v>
      </c>
      <c r="B157" s="19" t="str">
        <f>image("https://storage.googleapis.com/acdb/photos/BromideNpcNmlWol12_Remake_3_0.png")</f>
        <v/>
      </c>
      <c r="C157" s="21" t="s">
        <v>82</v>
      </c>
      <c r="D157" s="21" t="s">
        <v>51</v>
      </c>
      <c r="E157" s="21">
        <v>10.0</v>
      </c>
      <c r="F157" s="21" t="s">
        <v>2289</v>
      </c>
      <c r="G157" s="19">
        <v>6994.0</v>
      </c>
      <c r="H157" s="19" t="s">
        <v>208</v>
      </c>
      <c r="I157" s="19" t="s">
        <v>211</v>
      </c>
    </row>
    <row r="158" ht="56.25" customHeight="1">
      <c r="A158" s="21" t="s">
        <v>2515</v>
      </c>
      <c r="B158" s="19" t="str">
        <f>image("https://storage.googleapis.com/acdb/photos/BromideNpcNmlWol12_Remake_4_0.png")</f>
        <v/>
      </c>
      <c r="C158" s="21" t="s">
        <v>833</v>
      </c>
      <c r="D158" s="21" t="s">
        <v>51</v>
      </c>
      <c r="E158" s="21">
        <v>10.0</v>
      </c>
      <c r="F158" s="21" t="s">
        <v>2289</v>
      </c>
      <c r="G158" s="19">
        <v>6994.0</v>
      </c>
      <c r="H158" s="19" t="s">
        <v>208</v>
      </c>
      <c r="I158" s="19" t="s">
        <v>211</v>
      </c>
    </row>
    <row r="159" ht="56.25" customHeight="1">
      <c r="A159" s="21" t="s">
        <v>2515</v>
      </c>
      <c r="B159" s="19" t="str">
        <f>image("https://storage.googleapis.com/acdb/photos/BromideNpcNmlWol12_Remake_5_0.png")</f>
        <v/>
      </c>
      <c r="C159" s="21" t="s">
        <v>258</v>
      </c>
      <c r="D159" s="21" t="s">
        <v>51</v>
      </c>
      <c r="E159" s="21">
        <v>10.0</v>
      </c>
      <c r="F159" s="21" t="s">
        <v>2289</v>
      </c>
      <c r="G159" s="19">
        <v>6994.0</v>
      </c>
      <c r="H159" s="19" t="s">
        <v>208</v>
      </c>
      <c r="I159" s="19" t="s">
        <v>211</v>
      </c>
    </row>
    <row r="160" ht="56.25" customHeight="1">
      <c r="A160" s="21" t="s">
        <v>2515</v>
      </c>
      <c r="B160" s="19" t="str">
        <f>image("https://storage.googleapis.com/acdb/photos/BromideNpcNmlWol12_Remake_6_0.png")</f>
        <v/>
      </c>
      <c r="C160" s="21" t="s">
        <v>182</v>
      </c>
      <c r="D160" s="21" t="s">
        <v>51</v>
      </c>
      <c r="E160" s="21">
        <v>10.0</v>
      </c>
      <c r="F160" s="21" t="s">
        <v>2289</v>
      </c>
      <c r="G160" s="19">
        <v>6994.0</v>
      </c>
      <c r="H160" s="19" t="s">
        <v>208</v>
      </c>
      <c r="I160" s="19" t="s">
        <v>211</v>
      </c>
    </row>
    <row r="161" ht="56.25" customHeight="1">
      <c r="A161" s="21" t="s">
        <v>2515</v>
      </c>
      <c r="B161" s="19" t="str">
        <f>image("https://storage.googleapis.com/acdb/photos/BromideNpcNmlWol12_Remake_7_0.png")</f>
        <v/>
      </c>
      <c r="C161" s="21" t="s">
        <v>187</v>
      </c>
      <c r="D161" s="21" t="s">
        <v>51</v>
      </c>
      <c r="E161" s="21">
        <v>10.0</v>
      </c>
      <c r="F161" s="21" t="s">
        <v>2289</v>
      </c>
      <c r="G161" s="19">
        <v>6994.0</v>
      </c>
      <c r="H161" s="19" t="s">
        <v>208</v>
      </c>
      <c r="I161" s="19" t="s">
        <v>211</v>
      </c>
    </row>
    <row r="162" ht="56.25" customHeight="1">
      <c r="A162" s="21" t="s">
        <v>2528</v>
      </c>
      <c r="B162" s="19" t="str">
        <f>image("https://storage.googleapis.com/acdb/photos/BromideNpcNmlPgn00_Remake_0_0.png")</f>
        <v/>
      </c>
      <c r="C162" s="21" t="s">
        <v>219</v>
      </c>
      <c r="D162" s="21" t="s">
        <v>51</v>
      </c>
      <c r="E162" s="21">
        <v>10.0</v>
      </c>
      <c r="F162" s="21" t="s">
        <v>2289</v>
      </c>
      <c r="G162" s="19"/>
      <c r="H162" s="19"/>
      <c r="I162" s="19"/>
    </row>
    <row r="163" ht="56.25" customHeight="1">
      <c r="A163" s="21" t="s">
        <v>2528</v>
      </c>
      <c r="B163" s="19" t="str">
        <f>image("https://storage.googleapis.com/acdb/photos/BromideNpcNmlPgn00_Remake_1_0.png")</f>
        <v/>
      </c>
      <c r="C163" s="21" t="s">
        <v>795</v>
      </c>
      <c r="D163" s="21" t="s">
        <v>51</v>
      </c>
      <c r="E163" s="21">
        <v>10.0</v>
      </c>
      <c r="F163" s="21" t="s">
        <v>2289</v>
      </c>
      <c r="G163" s="19"/>
      <c r="H163" s="19"/>
      <c r="I163" s="19"/>
    </row>
    <row r="164" ht="56.25" customHeight="1">
      <c r="A164" s="21" t="s">
        <v>2528</v>
      </c>
      <c r="B164" s="19" t="str">
        <f>image("https://storage.googleapis.com/acdb/photos/BromideNpcNmlPgn00_Remake_2_0.png")</f>
        <v/>
      </c>
      <c r="C164" s="21" t="s">
        <v>954</v>
      </c>
      <c r="D164" s="21" t="s">
        <v>51</v>
      </c>
      <c r="E164" s="21">
        <v>10.0</v>
      </c>
      <c r="F164" s="21" t="s">
        <v>2289</v>
      </c>
      <c r="G164" s="19"/>
      <c r="H164" s="19"/>
      <c r="I164" s="19"/>
    </row>
    <row r="165" ht="56.25" customHeight="1">
      <c r="A165" s="21" t="s">
        <v>2528</v>
      </c>
      <c r="B165" s="19" t="str">
        <f>image("https://storage.googleapis.com/acdb/photos/BromideNpcNmlPgn00_Remake_3_0.png")</f>
        <v/>
      </c>
      <c r="C165" s="21" t="s">
        <v>82</v>
      </c>
      <c r="D165" s="21" t="s">
        <v>51</v>
      </c>
      <c r="E165" s="21">
        <v>10.0</v>
      </c>
      <c r="F165" s="21" t="s">
        <v>2289</v>
      </c>
      <c r="G165" s="19"/>
      <c r="H165" s="19"/>
      <c r="I165" s="19"/>
    </row>
    <row r="166" ht="56.25" customHeight="1">
      <c r="A166" s="21" t="s">
        <v>2528</v>
      </c>
      <c r="B166" s="19" t="str">
        <f>image("https://storage.googleapis.com/acdb/photos/BromideNpcNmlPgn00_Remake_4_0.png")</f>
        <v/>
      </c>
      <c r="C166" s="21" t="s">
        <v>833</v>
      </c>
      <c r="D166" s="21" t="s">
        <v>51</v>
      </c>
      <c r="E166" s="21">
        <v>10.0</v>
      </c>
      <c r="F166" s="21" t="s">
        <v>2289</v>
      </c>
      <c r="G166" s="19"/>
      <c r="H166" s="19"/>
      <c r="I166" s="19"/>
    </row>
    <row r="167" ht="56.25" customHeight="1">
      <c r="A167" s="21" t="s">
        <v>2528</v>
      </c>
      <c r="B167" s="19" t="str">
        <f>image("https://storage.googleapis.com/acdb/photos/BromideNpcNmlPgn00_Remake_5_0.png")</f>
        <v/>
      </c>
      <c r="C167" s="21" t="s">
        <v>258</v>
      </c>
      <c r="D167" s="21" t="s">
        <v>51</v>
      </c>
      <c r="E167" s="21">
        <v>10.0</v>
      </c>
      <c r="F167" s="21" t="s">
        <v>2289</v>
      </c>
      <c r="G167" s="19"/>
      <c r="H167" s="19"/>
      <c r="I167" s="19"/>
    </row>
    <row r="168" ht="56.25" customHeight="1">
      <c r="A168" s="21" t="s">
        <v>2528</v>
      </c>
      <c r="B168" s="19" t="str">
        <f>image("https://storage.googleapis.com/acdb/photos/BromideNpcNmlPgn00_Remake_6_0.png")</f>
        <v/>
      </c>
      <c r="C168" s="21" t="s">
        <v>182</v>
      </c>
      <c r="D168" s="21" t="s">
        <v>51</v>
      </c>
      <c r="E168" s="21">
        <v>10.0</v>
      </c>
      <c r="F168" s="21" t="s">
        <v>2289</v>
      </c>
      <c r="G168" s="19"/>
      <c r="H168" s="19"/>
      <c r="I168" s="19"/>
    </row>
    <row r="169" ht="56.25" customHeight="1">
      <c r="A169" s="21" t="s">
        <v>2528</v>
      </c>
      <c r="B169" s="19" t="str">
        <f>image("https://storage.googleapis.com/acdb/photos/BromideNpcNmlPgn00_Remake_7_0.png")</f>
        <v/>
      </c>
      <c r="C169" s="21" t="s">
        <v>187</v>
      </c>
      <c r="D169" s="21" t="s">
        <v>51</v>
      </c>
      <c r="E169" s="21">
        <v>10.0</v>
      </c>
      <c r="F169" s="21" t="s">
        <v>2289</v>
      </c>
      <c r="G169" s="19"/>
      <c r="H169" s="19"/>
      <c r="I169" s="19"/>
    </row>
    <row r="170" ht="56.25" customHeight="1">
      <c r="A170" s="21" t="s">
        <v>2541</v>
      </c>
      <c r="B170" s="19" t="str">
        <f>image("https://storage.googleapis.com/acdb/photos/BromideNpcNmlChn05_Remake_0_0.png")</f>
        <v/>
      </c>
      <c r="C170" s="21" t="s">
        <v>219</v>
      </c>
      <c r="D170" s="21" t="s">
        <v>51</v>
      </c>
      <c r="E170" s="21">
        <v>10.0</v>
      </c>
      <c r="F170" s="21" t="s">
        <v>2289</v>
      </c>
      <c r="G170" s="19"/>
      <c r="H170" s="19"/>
      <c r="I170" s="19"/>
    </row>
    <row r="171" ht="56.25" customHeight="1">
      <c r="A171" s="21" t="s">
        <v>2541</v>
      </c>
      <c r="B171" s="19" t="str">
        <f>image("https://storage.googleapis.com/acdb/photos/BromideNpcNmlChn05_Remake_1_0.png")</f>
        <v/>
      </c>
      <c r="C171" s="21" t="s">
        <v>795</v>
      </c>
      <c r="D171" s="21" t="s">
        <v>51</v>
      </c>
      <c r="E171" s="21">
        <v>10.0</v>
      </c>
      <c r="F171" s="21" t="s">
        <v>2289</v>
      </c>
      <c r="G171" s="19"/>
      <c r="H171" s="19"/>
      <c r="I171" s="19"/>
    </row>
    <row r="172" ht="56.25" customHeight="1">
      <c r="A172" s="21" t="s">
        <v>2541</v>
      </c>
      <c r="B172" s="19" t="str">
        <f>image("https://storage.googleapis.com/acdb/photos/BromideNpcNmlChn05_Remake_2_0.png")</f>
        <v/>
      </c>
      <c r="C172" s="21" t="s">
        <v>954</v>
      </c>
      <c r="D172" s="21" t="s">
        <v>51</v>
      </c>
      <c r="E172" s="21">
        <v>10.0</v>
      </c>
      <c r="F172" s="21" t="s">
        <v>2289</v>
      </c>
      <c r="G172" s="19"/>
      <c r="H172" s="19"/>
      <c r="I172" s="19"/>
    </row>
    <row r="173" ht="56.25" customHeight="1">
      <c r="A173" s="21" t="s">
        <v>2541</v>
      </c>
      <c r="B173" s="19" t="str">
        <f>image("https://storage.googleapis.com/acdb/photos/BromideNpcNmlChn05_Remake_3_0.png")</f>
        <v/>
      </c>
      <c r="C173" s="21" t="s">
        <v>82</v>
      </c>
      <c r="D173" s="21" t="s">
        <v>51</v>
      </c>
      <c r="E173" s="21">
        <v>10.0</v>
      </c>
      <c r="F173" s="21" t="s">
        <v>2289</v>
      </c>
      <c r="G173" s="19"/>
      <c r="H173" s="19"/>
      <c r="I173" s="19"/>
    </row>
    <row r="174" ht="56.25" customHeight="1">
      <c r="A174" s="21" t="s">
        <v>2541</v>
      </c>
      <c r="B174" s="19" t="str">
        <f>image("https://storage.googleapis.com/acdb/photos/BromideNpcNmlChn05_Remake_4_0.png")</f>
        <v/>
      </c>
      <c r="C174" s="21" t="s">
        <v>833</v>
      </c>
      <c r="D174" s="21" t="s">
        <v>51</v>
      </c>
      <c r="E174" s="21">
        <v>10.0</v>
      </c>
      <c r="F174" s="21" t="s">
        <v>2289</v>
      </c>
      <c r="G174" s="19"/>
      <c r="H174" s="19"/>
      <c r="I174" s="19"/>
    </row>
    <row r="175" ht="56.25" customHeight="1">
      <c r="A175" s="21" t="s">
        <v>2541</v>
      </c>
      <c r="B175" s="19" t="str">
        <f>image("https://storage.googleapis.com/acdb/photos/BromideNpcNmlChn05_Remake_5_0.png")</f>
        <v/>
      </c>
      <c r="C175" s="21" t="s">
        <v>258</v>
      </c>
      <c r="D175" s="21" t="s">
        <v>51</v>
      </c>
      <c r="E175" s="21">
        <v>10.0</v>
      </c>
      <c r="F175" s="21" t="s">
        <v>2289</v>
      </c>
      <c r="G175" s="19"/>
      <c r="H175" s="19"/>
      <c r="I175" s="19"/>
    </row>
    <row r="176" ht="56.25" customHeight="1">
      <c r="A176" s="21" t="s">
        <v>2541</v>
      </c>
      <c r="B176" s="19" t="str">
        <f>image("https://storage.googleapis.com/acdb/photos/BromideNpcNmlChn05_Remake_6_0.png")</f>
        <v/>
      </c>
      <c r="C176" s="21" t="s">
        <v>182</v>
      </c>
      <c r="D176" s="21" t="s">
        <v>51</v>
      </c>
      <c r="E176" s="21">
        <v>10.0</v>
      </c>
      <c r="F176" s="21" t="s">
        <v>2289</v>
      </c>
      <c r="G176" s="19"/>
      <c r="H176" s="19"/>
      <c r="I176" s="19"/>
    </row>
    <row r="177" ht="56.25" customHeight="1">
      <c r="A177" s="21" t="s">
        <v>2541</v>
      </c>
      <c r="B177" s="19" t="str">
        <f>image("https://storage.googleapis.com/acdb/photos/BromideNpcNmlChn05_Remake_7_0.png")</f>
        <v/>
      </c>
      <c r="C177" s="21" t="s">
        <v>187</v>
      </c>
      <c r="D177" s="21" t="s">
        <v>51</v>
      </c>
      <c r="E177" s="21">
        <v>10.0</v>
      </c>
      <c r="F177" s="21" t="s">
        <v>2289</v>
      </c>
      <c r="G177" s="19"/>
      <c r="H177" s="19"/>
      <c r="I177" s="19"/>
    </row>
    <row r="178" ht="56.25" customHeight="1">
      <c r="A178" s="21" t="s">
        <v>2553</v>
      </c>
      <c r="B178" s="19" t="str">
        <f>image("https://storage.googleapis.com/acdb/photos/BromideNpcNmlPbr05_Remake_0_0.png")</f>
        <v/>
      </c>
      <c r="C178" s="21" t="s">
        <v>219</v>
      </c>
      <c r="D178" s="21" t="s">
        <v>51</v>
      </c>
      <c r="E178" s="21">
        <v>10.0</v>
      </c>
      <c r="F178" s="21" t="s">
        <v>2289</v>
      </c>
      <c r="G178" s="19"/>
      <c r="H178" s="19"/>
      <c r="I178" s="19"/>
    </row>
    <row r="179" ht="56.25" customHeight="1">
      <c r="A179" s="21" t="s">
        <v>2553</v>
      </c>
      <c r="B179" s="19" t="str">
        <f>image("https://storage.googleapis.com/acdb/photos/BromideNpcNmlPbr05_Remake_1_0.png")</f>
        <v/>
      </c>
      <c r="C179" s="21" t="s">
        <v>795</v>
      </c>
      <c r="D179" s="21" t="s">
        <v>51</v>
      </c>
      <c r="E179" s="21">
        <v>10.0</v>
      </c>
      <c r="F179" s="21" t="s">
        <v>2289</v>
      </c>
      <c r="G179" s="19"/>
      <c r="H179" s="19"/>
      <c r="I179" s="19"/>
    </row>
    <row r="180" ht="56.25" customHeight="1">
      <c r="A180" s="21" t="s">
        <v>2553</v>
      </c>
      <c r="B180" s="19" t="str">
        <f>image("https://storage.googleapis.com/acdb/photos/BromideNpcNmlPbr05_Remake_2_0.png")</f>
        <v/>
      </c>
      <c r="C180" s="21" t="s">
        <v>954</v>
      </c>
      <c r="D180" s="21" t="s">
        <v>51</v>
      </c>
      <c r="E180" s="21">
        <v>10.0</v>
      </c>
      <c r="F180" s="21" t="s">
        <v>2289</v>
      </c>
      <c r="G180" s="19"/>
      <c r="H180" s="19"/>
      <c r="I180" s="19"/>
    </row>
    <row r="181" ht="56.25" customHeight="1">
      <c r="A181" s="21" t="s">
        <v>2553</v>
      </c>
      <c r="B181" s="19" t="str">
        <f>image("https://storage.googleapis.com/acdb/photos/BromideNpcNmlPbr05_Remake_3_0.png")</f>
        <v/>
      </c>
      <c r="C181" s="21" t="s">
        <v>82</v>
      </c>
      <c r="D181" s="21" t="s">
        <v>51</v>
      </c>
      <c r="E181" s="21">
        <v>10.0</v>
      </c>
      <c r="F181" s="21" t="s">
        <v>2289</v>
      </c>
      <c r="G181" s="19"/>
      <c r="H181" s="19"/>
      <c r="I181" s="19"/>
    </row>
    <row r="182" ht="56.25" customHeight="1">
      <c r="A182" s="21" t="s">
        <v>2553</v>
      </c>
      <c r="B182" s="19" t="str">
        <f>image("https://storage.googleapis.com/acdb/photos/BromideNpcNmlPbr05_Remake_4_0.png")</f>
        <v/>
      </c>
      <c r="C182" s="21" t="s">
        <v>833</v>
      </c>
      <c r="D182" s="21" t="s">
        <v>51</v>
      </c>
      <c r="E182" s="21">
        <v>10.0</v>
      </c>
      <c r="F182" s="21" t="s">
        <v>2289</v>
      </c>
      <c r="G182" s="19"/>
      <c r="H182" s="19"/>
      <c r="I182" s="19"/>
    </row>
    <row r="183" ht="56.25" customHeight="1">
      <c r="A183" s="21" t="s">
        <v>2553</v>
      </c>
      <c r="B183" s="19" t="str">
        <f>image("https://storage.googleapis.com/acdb/photos/BromideNpcNmlPbr05_Remake_5_0.png")</f>
        <v/>
      </c>
      <c r="C183" s="21" t="s">
        <v>258</v>
      </c>
      <c r="D183" s="21" t="s">
        <v>51</v>
      </c>
      <c r="E183" s="21">
        <v>10.0</v>
      </c>
      <c r="F183" s="21" t="s">
        <v>2289</v>
      </c>
      <c r="G183" s="19"/>
      <c r="H183" s="19"/>
      <c r="I183" s="19"/>
    </row>
    <row r="184" ht="56.25" customHeight="1">
      <c r="A184" s="21" t="s">
        <v>2553</v>
      </c>
      <c r="B184" s="19" t="str">
        <f>image("https://storage.googleapis.com/acdb/photos/BromideNpcNmlPbr05_Remake_6_0.png")</f>
        <v/>
      </c>
      <c r="C184" s="21" t="s">
        <v>182</v>
      </c>
      <c r="D184" s="21" t="s">
        <v>51</v>
      </c>
      <c r="E184" s="21">
        <v>10.0</v>
      </c>
      <c r="F184" s="21" t="s">
        <v>2289</v>
      </c>
      <c r="G184" s="19"/>
      <c r="H184" s="19"/>
      <c r="I184" s="19"/>
    </row>
    <row r="185" ht="56.25" customHeight="1">
      <c r="A185" s="21" t="s">
        <v>2553</v>
      </c>
      <c r="B185" s="19" t="str">
        <f>image("https://storage.googleapis.com/acdb/photos/BromideNpcNmlPbr05_Remake_7_0.png")</f>
        <v/>
      </c>
      <c r="C185" s="21" t="s">
        <v>187</v>
      </c>
      <c r="D185" s="21" t="s">
        <v>51</v>
      </c>
      <c r="E185" s="21">
        <v>10.0</v>
      </c>
      <c r="F185" s="21" t="s">
        <v>2289</v>
      </c>
      <c r="G185" s="19"/>
      <c r="H185" s="19"/>
      <c r="I185" s="19"/>
    </row>
    <row r="186" ht="56.25" customHeight="1">
      <c r="A186" s="21" t="s">
        <v>2567</v>
      </c>
      <c r="B186" s="19" t="str">
        <f>image("https://storage.googleapis.com/acdb/photos/BromideNpcNmlElp06_Remake_0_0.png")</f>
        <v/>
      </c>
      <c r="C186" s="21" t="s">
        <v>219</v>
      </c>
      <c r="D186" s="21" t="s">
        <v>51</v>
      </c>
      <c r="E186" s="21">
        <v>10.0</v>
      </c>
      <c r="F186" s="21" t="s">
        <v>2289</v>
      </c>
      <c r="G186" s="19"/>
      <c r="H186" s="19"/>
      <c r="I186" s="19"/>
    </row>
    <row r="187" ht="56.25" customHeight="1">
      <c r="A187" s="21" t="s">
        <v>2567</v>
      </c>
      <c r="B187" s="19" t="str">
        <f>image("https://storage.googleapis.com/acdb/photos/BromideNpcNmlElp06_Remake_1_0.png")</f>
        <v/>
      </c>
      <c r="C187" s="21" t="s">
        <v>795</v>
      </c>
      <c r="D187" s="21" t="s">
        <v>51</v>
      </c>
      <c r="E187" s="21">
        <v>10.0</v>
      </c>
      <c r="F187" s="21" t="s">
        <v>2289</v>
      </c>
      <c r="G187" s="19"/>
      <c r="H187" s="19"/>
      <c r="I187" s="19"/>
    </row>
    <row r="188" ht="56.25" customHeight="1">
      <c r="A188" s="21" t="s">
        <v>2567</v>
      </c>
      <c r="B188" s="19" t="str">
        <f>image("https://storage.googleapis.com/acdb/photos/BromideNpcNmlElp06_Remake_2_0.png")</f>
        <v/>
      </c>
      <c r="C188" s="21" t="s">
        <v>954</v>
      </c>
      <c r="D188" s="21" t="s">
        <v>51</v>
      </c>
      <c r="E188" s="21">
        <v>10.0</v>
      </c>
      <c r="F188" s="21" t="s">
        <v>2289</v>
      </c>
      <c r="G188" s="19"/>
      <c r="H188" s="19"/>
      <c r="I188" s="19"/>
    </row>
    <row r="189" ht="56.25" customHeight="1">
      <c r="A189" s="21" t="s">
        <v>2567</v>
      </c>
      <c r="B189" s="19" t="str">
        <f>image("https://storage.googleapis.com/acdb/photos/BromideNpcNmlElp06_Remake_3_0.png")</f>
        <v/>
      </c>
      <c r="C189" s="21" t="s">
        <v>82</v>
      </c>
      <c r="D189" s="21" t="s">
        <v>51</v>
      </c>
      <c r="E189" s="21">
        <v>10.0</v>
      </c>
      <c r="F189" s="21" t="s">
        <v>2289</v>
      </c>
      <c r="G189" s="19"/>
      <c r="H189" s="19"/>
      <c r="I189" s="19"/>
    </row>
    <row r="190" ht="56.25" customHeight="1">
      <c r="A190" s="21" t="s">
        <v>2567</v>
      </c>
      <c r="B190" s="19" t="str">
        <f>image("https://storage.googleapis.com/acdb/photos/BromideNpcNmlElp06_Remake_4_0.png")</f>
        <v/>
      </c>
      <c r="C190" s="21" t="s">
        <v>833</v>
      </c>
      <c r="D190" s="21" t="s">
        <v>51</v>
      </c>
      <c r="E190" s="21">
        <v>10.0</v>
      </c>
      <c r="F190" s="21" t="s">
        <v>2289</v>
      </c>
      <c r="G190" s="19"/>
      <c r="H190" s="19"/>
      <c r="I190" s="19"/>
    </row>
    <row r="191" ht="56.25" customHeight="1">
      <c r="A191" s="21" t="s">
        <v>2567</v>
      </c>
      <c r="B191" s="19" t="str">
        <f>image("https://storage.googleapis.com/acdb/photos/BromideNpcNmlElp06_Remake_5_0.png")</f>
        <v/>
      </c>
      <c r="C191" s="21" t="s">
        <v>258</v>
      </c>
      <c r="D191" s="21" t="s">
        <v>51</v>
      </c>
      <c r="E191" s="21">
        <v>10.0</v>
      </c>
      <c r="F191" s="21" t="s">
        <v>2289</v>
      </c>
      <c r="G191" s="19"/>
      <c r="H191" s="19"/>
      <c r="I191" s="19"/>
    </row>
    <row r="192" ht="56.25" customHeight="1">
      <c r="A192" s="21" t="s">
        <v>2567</v>
      </c>
      <c r="B192" s="19" t="str">
        <f>image("https://storage.googleapis.com/acdb/photos/BromideNpcNmlElp06_Remake_6_0.png")</f>
        <v/>
      </c>
      <c r="C192" s="21" t="s">
        <v>182</v>
      </c>
      <c r="D192" s="21" t="s">
        <v>51</v>
      </c>
      <c r="E192" s="21">
        <v>10.0</v>
      </c>
      <c r="F192" s="21" t="s">
        <v>2289</v>
      </c>
      <c r="G192" s="19"/>
      <c r="H192" s="19"/>
      <c r="I192" s="19"/>
    </row>
    <row r="193" ht="56.25" customHeight="1">
      <c r="A193" s="21" t="s">
        <v>2567</v>
      </c>
      <c r="B193" s="19" t="str">
        <f>image("https://storage.googleapis.com/acdb/photos/BromideNpcNmlElp06_Remake_7_0.png")</f>
        <v/>
      </c>
      <c r="C193" s="21" t="s">
        <v>187</v>
      </c>
      <c r="D193" s="21" t="s">
        <v>51</v>
      </c>
      <c r="E193" s="21">
        <v>10.0</v>
      </c>
      <c r="F193" s="21" t="s">
        <v>2289</v>
      </c>
      <c r="G193" s="19"/>
      <c r="H193" s="19"/>
      <c r="I193" s="19"/>
    </row>
    <row r="194" ht="56.25" customHeight="1">
      <c r="A194" s="21" t="s">
        <v>2578</v>
      </c>
      <c r="B194" s="19" t="str">
        <f>image("https://storage.googleapis.com/acdb/photos/BromideNpcNmlShp01_Remake_0_0.png")</f>
        <v/>
      </c>
      <c r="C194" s="21" t="s">
        <v>219</v>
      </c>
      <c r="D194" s="21" t="s">
        <v>51</v>
      </c>
      <c r="E194" s="21">
        <v>10.0</v>
      </c>
      <c r="F194" s="21" t="s">
        <v>2289</v>
      </c>
      <c r="G194" s="19"/>
      <c r="H194" s="19"/>
      <c r="I194" s="19"/>
    </row>
    <row r="195" ht="56.25" customHeight="1">
      <c r="A195" s="21" t="s">
        <v>2578</v>
      </c>
      <c r="B195" s="19" t="str">
        <f>image("https://storage.googleapis.com/acdb/photos/BromideNpcNmlShp01_Remake_1_0.png")</f>
        <v/>
      </c>
      <c r="C195" s="21" t="s">
        <v>795</v>
      </c>
      <c r="D195" s="21" t="s">
        <v>51</v>
      </c>
      <c r="E195" s="21">
        <v>10.0</v>
      </c>
      <c r="F195" s="21" t="s">
        <v>2289</v>
      </c>
      <c r="G195" s="19"/>
      <c r="H195" s="19"/>
      <c r="I195" s="19"/>
    </row>
    <row r="196" ht="56.25" customHeight="1">
      <c r="A196" s="21" t="s">
        <v>2578</v>
      </c>
      <c r="B196" s="19" t="str">
        <f>image("https://storage.googleapis.com/acdb/photos/BromideNpcNmlShp01_Remake_2_0.png")</f>
        <v/>
      </c>
      <c r="C196" s="21" t="s">
        <v>954</v>
      </c>
      <c r="D196" s="21" t="s">
        <v>51</v>
      </c>
      <c r="E196" s="21">
        <v>10.0</v>
      </c>
      <c r="F196" s="21" t="s">
        <v>2289</v>
      </c>
      <c r="G196" s="19"/>
      <c r="H196" s="19"/>
      <c r="I196" s="19"/>
    </row>
    <row r="197" ht="56.25" customHeight="1">
      <c r="A197" s="21" t="s">
        <v>2578</v>
      </c>
      <c r="B197" s="19" t="str">
        <f>image("https://storage.googleapis.com/acdb/photos/BromideNpcNmlShp01_Remake_3_0.png")</f>
        <v/>
      </c>
      <c r="C197" s="21" t="s">
        <v>82</v>
      </c>
      <c r="D197" s="21" t="s">
        <v>51</v>
      </c>
      <c r="E197" s="21">
        <v>10.0</v>
      </c>
      <c r="F197" s="21" t="s">
        <v>2289</v>
      </c>
      <c r="G197" s="19"/>
      <c r="H197" s="19"/>
      <c r="I197" s="19"/>
    </row>
    <row r="198" ht="56.25" customHeight="1">
      <c r="A198" s="21" t="s">
        <v>2578</v>
      </c>
      <c r="B198" s="19" t="str">
        <f>image("https://storage.googleapis.com/acdb/photos/BromideNpcNmlShp01_Remake_4_0.png")</f>
        <v/>
      </c>
      <c r="C198" s="21" t="s">
        <v>833</v>
      </c>
      <c r="D198" s="21" t="s">
        <v>51</v>
      </c>
      <c r="E198" s="21">
        <v>10.0</v>
      </c>
      <c r="F198" s="21" t="s">
        <v>2289</v>
      </c>
      <c r="G198" s="19"/>
      <c r="H198" s="19"/>
      <c r="I198" s="19"/>
    </row>
    <row r="199" ht="56.25" customHeight="1">
      <c r="A199" s="21" t="s">
        <v>2578</v>
      </c>
      <c r="B199" s="19" t="str">
        <f>image("https://storage.googleapis.com/acdb/photos/BromideNpcNmlShp01_Remake_5_0.png")</f>
        <v/>
      </c>
      <c r="C199" s="21" t="s">
        <v>258</v>
      </c>
      <c r="D199" s="21" t="s">
        <v>51</v>
      </c>
      <c r="E199" s="21">
        <v>10.0</v>
      </c>
      <c r="F199" s="21" t="s">
        <v>2289</v>
      </c>
      <c r="G199" s="19"/>
      <c r="H199" s="19"/>
      <c r="I199" s="19"/>
    </row>
    <row r="200" ht="56.25" customHeight="1">
      <c r="A200" s="21" t="s">
        <v>2578</v>
      </c>
      <c r="B200" s="19" t="str">
        <f>image("https://storage.googleapis.com/acdb/photos/BromideNpcNmlShp01_Remake_6_0.png")</f>
        <v/>
      </c>
      <c r="C200" s="21" t="s">
        <v>182</v>
      </c>
      <c r="D200" s="21" t="s">
        <v>51</v>
      </c>
      <c r="E200" s="21">
        <v>10.0</v>
      </c>
      <c r="F200" s="21" t="s">
        <v>2289</v>
      </c>
      <c r="G200" s="19"/>
      <c r="H200" s="19"/>
      <c r="I200" s="19"/>
    </row>
    <row r="201" ht="56.25" customHeight="1">
      <c r="A201" s="21" t="s">
        <v>2578</v>
      </c>
      <c r="B201" s="19" t="str">
        <f>image("https://storage.googleapis.com/acdb/photos/BromideNpcNmlShp01_Remake_7_0.png")</f>
        <v/>
      </c>
      <c r="C201" s="21" t="s">
        <v>187</v>
      </c>
      <c r="D201" s="21" t="s">
        <v>51</v>
      </c>
      <c r="E201" s="21">
        <v>10.0</v>
      </c>
      <c r="F201" s="21" t="s">
        <v>2289</v>
      </c>
      <c r="G201" s="19"/>
      <c r="H201" s="19"/>
      <c r="I201" s="19"/>
    </row>
    <row r="202" ht="56.25" customHeight="1">
      <c r="A202" s="21" t="s">
        <v>2591</v>
      </c>
      <c r="B202" s="19" t="str">
        <f>image("https://storage.googleapis.com/acdb/photos/BromideNpcNmlDer01_Remake_0_0.png")</f>
        <v/>
      </c>
      <c r="C202" s="21" t="s">
        <v>219</v>
      </c>
      <c r="D202" s="21" t="s">
        <v>51</v>
      </c>
      <c r="E202" s="21">
        <v>10.0</v>
      </c>
      <c r="F202" s="21" t="s">
        <v>2289</v>
      </c>
      <c r="G202" s="19"/>
      <c r="H202" s="19"/>
      <c r="I202" s="19"/>
    </row>
    <row r="203" ht="56.25" customHeight="1">
      <c r="A203" s="21" t="s">
        <v>2591</v>
      </c>
      <c r="B203" s="19" t="str">
        <f>image("https://storage.googleapis.com/acdb/photos/BromideNpcNmlDer01_Remake_1_0.png")</f>
        <v/>
      </c>
      <c r="C203" s="21" t="s">
        <v>795</v>
      </c>
      <c r="D203" s="21" t="s">
        <v>51</v>
      </c>
      <c r="E203" s="21">
        <v>10.0</v>
      </c>
      <c r="F203" s="21" t="s">
        <v>2289</v>
      </c>
      <c r="G203" s="19"/>
      <c r="H203" s="19"/>
      <c r="I203" s="19"/>
    </row>
    <row r="204" ht="56.25" customHeight="1">
      <c r="A204" s="21" t="s">
        <v>2591</v>
      </c>
      <c r="B204" s="19" t="str">
        <f>image("https://storage.googleapis.com/acdb/photos/BromideNpcNmlDer01_Remake_2_0.png")</f>
        <v/>
      </c>
      <c r="C204" s="21" t="s">
        <v>954</v>
      </c>
      <c r="D204" s="21" t="s">
        <v>51</v>
      </c>
      <c r="E204" s="21">
        <v>10.0</v>
      </c>
      <c r="F204" s="21" t="s">
        <v>2289</v>
      </c>
      <c r="G204" s="19"/>
      <c r="H204" s="19"/>
      <c r="I204" s="19"/>
    </row>
    <row r="205" ht="56.25" customHeight="1">
      <c r="A205" s="21" t="s">
        <v>2591</v>
      </c>
      <c r="B205" s="19" t="str">
        <f>image("https://storage.googleapis.com/acdb/photos/BromideNpcNmlDer01_Remake_3_0.png")</f>
        <v/>
      </c>
      <c r="C205" s="21" t="s">
        <v>82</v>
      </c>
      <c r="D205" s="21" t="s">
        <v>51</v>
      </c>
      <c r="E205" s="21">
        <v>10.0</v>
      </c>
      <c r="F205" s="21" t="s">
        <v>2289</v>
      </c>
      <c r="G205" s="19"/>
      <c r="H205" s="19"/>
      <c r="I205" s="19"/>
    </row>
    <row r="206" ht="56.25" customHeight="1">
      <c r="A206" s="21" t="s">
        <v>2591</v>
      </c>
      <c r="B206" s="19" t="str">
        <f>image("https://storage.googleapis.com/acdb/photos/BromideNpcNmlDer01_Remake_4_0.png")</f>
        <v/>
      </c>
      <c r="C206" s="21" t="s">
        <v>833</v>
      </c>
      <c r="D206" s="21" t="s">
        <v>51</v>
      </c>
      <c r="E206" s="21">
        <v>10.0</v>
      </c>
      <c r="F206" s="21" t="s">
        <v>2289</v>
      </c>
      <c r="G206" s="19"/>
      <c r="H206" s="19"/>
      <c r="I206" s="19"/>
    </row>
    <row r="207" ht="56.25" customHeight="1">
      <c r="A207" s="21" t="s">
        <v>2591</v>
      </c>
      <c r="B207" s="19" t="str">
        <f>image("https://storage.googleapis.com/acdb/photos/BromideNpcNmlDer01_Remake_5_0.png")</f>
        <v/>
      </c>
      <c r="C207" s="21" t="s">
        <v>258</v>
      </c>
      <c r="D207" s="21" t="s">
        <v>51</v>
      </c>
      <c r="E207" s="21">
        <v>10.0</v>
      </c>
      <c r="F207" s="21" t="s">
        <v>2289</v>
      </c>
      <c r="G207" s="19"/>
      <c r="H207" s="19"/>
      <c r="I207" s="19"/>
    </row>
    <row r="208" ht="56.25" customHeight="1">
      <c r="A208" s="21" t="s">
        <v>2591</v>
      </c>
      <c r="B208" s="19" t="str">
        <f>image("https://storage.googleapis.com/acdb/photos/BromideNpcNmlDer01_Remake_6_0.png")</f>
        <v/>
      </c>
      <c r="C208" s="21" t="s">
        <v>182</v>
      </c>
      <c r="D208" s="21" t="s">
        <v>51</v>
      </c>
      <c r="E208" s="21">
        <v>10.0</v>
      </c>
      <c r="F208" s="21" t="s">
        <v>2289</v>
      </c>
      <c r="G208" s="19"/>
      <c r="H208" s="19"/>
      <c r="I208" s="19"/>
    </row>
    <row r="209" ht="56.25" customHeight="1">
      <c r="A209" s="21" t="s">
        <v>2591</v>
      </c>
      <c r="B209" s="19" t="str">
        <f>image("https://storage.googleapis.com/acdb/photos/BromideNpcNmlDer01_Remake_7_0.png")</f>
        <v/>
      </c>
      <c r="C209" s="21" t="s">
        <v>187</v>
      </c>
      <c r="D209" s="21" t="s">
        <v>51</v>
      </c>
      <c r="E209" s="21">
        <v>10.0</v>
      </c>
      <c r="F209" s="21" t="s">
        <v>2289</v>
      </c>
      <c r="G209" s="19"/>
      <c r="H209" s="19"/>
      <c r="I209" s="19"/>
    </row>
    <row r="210" ht="56.25" customHeight="1">
      <c r="A210" s="21" t="s">
        <v>2606</v>
      </c>
      <c r="B210" s="19" t="str">
        <f>image("https://storage.googleapis.com/acdb/photos/BromideNpcNmlTig03_Remake_0_0.png")</f>
        <v/>
      </c>
      <c r="C210" s="21" t="s">
        <v>219</v>
      </c>
      <c r="D210" s="21" t="s">
        <v>51</v>
      </c>
      <c r="E210" s="21">
        <v>10.0</v>
      </c>
      <c r="F210" s="21" t="s">
        <v>2289</v>
      </c>
      <c r="G210" s="19"/>
      <c r="H210" s="19"/>
      <c r="I210" s="19"/>
    </row>
    <row r="211" ht="56.25" customHeight="1">
      <c r="A211" s="21" t="s">
        <v>2606</v>
      </c>
      <c r="B211" s="19" t="str">
        <f>image("https://storage.googleapis.com/acdb/photos/BromideNpcNmlTig03_Remake_1_0.png")</f>
        <v/>
      </c>
      <c r="C211" s="21" t="s">
        <v>795</v>
      </c>
      <c r="D211" s="21" t="s">
        <v>51</v>
      </c>
      <c r="E211" s="21">
        <v>10.0</v>
      </c>
      <c r="F211" s="21" t="s">
        <v>2289</v>
      </c>
      <c r="G211" s="19"/>
      <c r="H211" s="19"/>
      <c r="I211" s="19"/>
    </row>
    <row r="212" ht="56.25" customHeight="1">
      <c r="A212" s="21" t="s">
        <v>2606</v>
      </c>
      <c r="B212" s="19" t="str">
        <f>image("https://storage.googleapis.com/acdb/photos/BromideNpcNmlTig03_Remake_2_0.png")</f>
        <v/>
      </c>
      <c r="C212" s="21" t="s">
        <v>954</v>
      </c>
      <c r="D212" s="21" t="s">
        <v>51</v>
      </c>
      <c r="E212" s="21">
        <v>10.0</v>
      </c>
      <c r="F212" s="21" t="s">
        <v>2289</v>
      </c>
      <c r="G212" s="19"/>
      <c r="H212" s="19"/>
      <c r="I212" s="19"/>
    </row>
    <row r="213" ht="56.25" customHeight="1">
      <c r="A213" s="21" t="s">
        <v>2606</v>
      </c>
      <c r="B213" s="19" t="str">
        <f>image("https://storage.googleapis.com/acdb/photos/BromideNpcNmlTig03_Remake_3_0.png")</f>
        <v/>
      </c>
      <c r="C213" s="21" t="s">
        <v>82</v>
      </c>
      <c r="D213" s="21" t="s">
        <v>51</v>
      </c>
      <c r="E213" s="21">
        <v>10.0</v>
      </c>
      <c r="F213" s="21" t="s">
        <v>2289</v>
      </c>
      <c r="G213" s="19"/>
      <c r="H213" s="19"/>
      <c r="I213" s="19"/>
    </row>
    <row r="214" ht="56.25" customHeight="1">
      <c r="A214" s="21" t="s">
        <v>2606</v>
      </c>
      <c r="B214" s="19" t="str">
        <f>image("https://storage.googleapis.com/acdb/photos/BromideNpcNmlTig03_Remake_4_0.png")</f>
        <v/>
      </c>
      <c r="C214" s="21" t="s">
        <v>833</v>
      </c>
      <c r="D214" s="21" t="s">
        <v>51</v>
      </c>
      <c r="E214" s="21">
        <v>10.0</v>
      </c>
      <c r="F214" s="21" t="s">
        <v>2289</v>
      </c>
      <c r="G214" s="19"/>
      <c r="H214" s="19"/>
      <c r="I214" s="19"/>
    </row>
    <row r="215" ht="56.25" customHeight="1">
      <c r="A215" s="21" t="s">
        <v>2606</v>
      </c>
      <c r="B215" s="19" t="str">
        <f>image("https://storage.googleapis.com/acdb/photos/BromideNpcNmlTig03_Remake_5_0.png")</f>
        <v/>
      </c>
      <c r="C215" s="21" t="s">
        <v>258</v>
      </c>
      <c r="D215" s="21" t="s">
        <v>51</v>
      </c>
      <c r="E215" s="21">
        <v>10.0</v>
      </c>
      <c r="F215" s="21" t="s">
        <v>2289</v>
      </c>
      <c r="G215" s="19"/>
      <c r="H215" s="19"/>
      <c r="I215" s="19"/>
    </row>
    <row r="216" ht="56.25" customHeight="1">
      <c r="A216" s="21" t="s">
        <v>2606</v>
      </c>
      <c r="B216" s="19" t="str">
        <f>image("https://storage.googleapis.com/acdb/photos/BromideNpcNmlTig03_Remake_6_0.png")</f>
        <v/>
      </c>
      <c r="C216" s="21" t="s">
        <v>182</v>
      </c>
      <c r="D216" s="21" t="s">
        <v>51</v>
      </c>
      <c r="E216" s="21">
        <v>10.0</v>
      </c>
      <c r="F216" s="21" t="s">
        <v>2289</v>
      </c>
      <c r="G216" s="19"/>
      <c r="H216" s="19"/>
      <c r="I216" s="19"/>
    </row>
    <row r="217" ht="56.25" customHeight="1">
      <c r="A217" s="21" t="s">
        <v>2606</v>
      </c>
      <c r="B217" s="19" t="str">
        <f>image("https://storage.googleapis.com/acdb/photos/BromideNpcNmlTig03_Remake_7_0.png")</f>
        <v/>
      </c>
      <c r="C217" s="21" t="s">
        <v>187</v>
      </c>
      <c r="D217" s="21" t="s">
        <v>51</v>
      </c>
      <c r="E217" s="21">
        <v>10.0</v>
      </c>
      <c r="F217" s="21" t="s">
        <v>2289</v>
      </c>
      <c r="G217" s="19"/>
      <c r="H217" s="19"/>
      <c r="I217" s="19"/>
    </row>
    <row r="218" ht="56.25" customHeight="1">
      <c r="A218" s="21" t="s">
        <v>2618</v>
      </c>
      <c r="B218" s="19" t="str">
        <f>image("https://storage.googleapis.com/acdb/photos/BromideNpcNmlCbr16_Remake_0_0.png")</f>
        <v/>
      </c>
      <c r="C218" s="21" t="s">
        <v>219</v>
      </c>
      <c r="D218" s="21" t="s">
        <v>51</v>
      </c>
      <c r="E218" s="21">
        <v>10.0</v>
      </c>
      <c r="F218" s="21" t="s">
        <v>2289</v>
      </c>
      <c r="G218" s="19"/>
      <c r="H218" s="19"/>
      <c r="I218" s="19"/>
    </row>
    <row r="219" ht="56.25" customHeight="1">
      <c r="A219" s="21" t="s">
        <v>2618</v>
      </c>
      <c r="B219" s="19" t="str">
        <f>image("https://storage.googleapis.com/acdb/photos/BromideNpcNmlCbr16_Remake_1_0.png")</f>
        <v/>
      </c>
      <c r="C219" s="21" t="s">
        <v>795</v>
      </c>
      <c r="D219" s="21" t="s">
        <v>51</v>
      </c>
      <c r="E219" s="21">
        <v>10.0</v>
      </c>
      <c r="F219" s="21" t="s">
        <v>2289</v>
      </c>
      <c r="G219" s="19"/>
      <c r="H219" s="19"/>
      <c r="I219" s="19"/>
    </row>
    <row r="220" ht="56.25" customHeight="1">
      <c r="A220" s="21" t="s">
        <v>2618</v>
      </c>
      <c r="B220" s="19" t="str">
        <f>image("https://storage.googleapis.com/acdb/photos/BromideNpcNmlCbr16_Remake_2_0.png")</f>
        <v/>
      </c>
      <c r="C220" s="21" t="s">
        <v>954</v>
      </c>
      <c r="D220" s="21" t="s">
        <v>51</v>
      </c>
      <c r="E220" s="21">
        <v>10.0</v>
      </c>
      <c r="F220" s="21" t="s">
        <v>2289</v>
      </c>
      <c r="G220" s="19"/>
      <c r="H220" s="19"/>
      <c r="I220" s="19"/>
    </row>
    <row r="221" ht="56.25" customHeight="1">
      <c r="A221" s="21" t="s">
        <v>2618</v>
      </c>
      <c r="B221" s="19" t="str">
        <f>image("https://storage.googleapis.com/acdb/photos/BromideNpcNmlCbr16_Remake_3_0.png")</f>
        <v/>
      </c>
      <c r="C221" s="21" t="s">
        <v>82</v>
      </c>
      <c r="D221" s="21" t="s">
        <v>51</v>
      </c>
      <c r="E221" s="21">
        <v>10.0</v>
      </c>
      <c r="F221" s="21" t="s">
        <v>2289</v>
      </c>
      <c r="G221" s="19"/>
      <c r="H221" s="19"/>
      <c r="I221" s="19"/>
    </row>
    <row r="222" ht="56.25" customHeight="1">
      <c r="A222" s="21" t="s">
        <v>2618</v>
      </c>
      <c r="B222" s="19" t="str">
        <f>image("https://storage.googleapis.com/acdb/photos/BromideNpcNmlCbr16_Remake_4_0.png")</f>
        <v/>
      </c>
      <c r="C222" s="21" t="s">
        <v>833</v>
      </c>
      <c r="D222" s="21" t="s">
        <v>51</v>
      </c>
      <c r="E222" s="21">
        <v>10.0</v>
      </c>
      <c r="F222" s="21" t="s">
        <v>2289</v>
      </c>
      <c r="G222" s="19"/>
      <c r="H222" s="19"/>
      <c r="I222" s="19"/>
    </row>
    <row r="223" ht="56.25" customHeight="1">
      <c r="A223" s="21" t="s">
        <v>2618</v>
      </c>
      <c r="B223" s="19" t="str">
        <f>image("https://storage.googleapis.com/acdb/photos/BromideNpcNmlCbr16_Remake_5_0.png")</f>
        <v/>
      </c>
      <c r="C223" s="21" t="s">
        <v>258</v>
      </c>
      <c r="D223" s="21" t="s">
        <v>51</v>
      </c>
      <c r="E223" s="21">
        <v>10.0</v>
      </c>
      <c r="F223" s="21" t="s">
        <v>2289</v>
      </c>
      <c r="G223" s="19"/>
      <c r="H223" s="19"/>
      <c r="I223" s="19"/>
    </row>
    <row r="224" ht="56.25" customHeight="1">
      <c r="A224" s="21" t="s">
        <v>2618</v>
      </c>
      <c r="B224" s="19" t="str">
        <f>image("https://storage.googleapis.com/acdb/photos/BromideNpcNmlCbr16_Remake_6_0.png")</f>
        <v/>
      </c>
      <c r="C224" s="21" t="s">
        <v>182</v>
      </c>
      <c r="D224" s="21" t="s">
        <v>51</v>
      </c>
      <c r="E224" s="21">
        <v>10.0</v>
      </c>
      <c r="F224" s="21" t="s">
        <v>2289</v>
      </c>
      <c r="G224" s="19"/>
      <c r="H224" s="19"/>
      <c r="I224" s="19"/>
    </row>
    <row r="225" ht="56.25" customHeight="1">
      <c r="A225" s="21" t="s">
        <v>2618</v>
      </c>
      <c r="B225" s="19" t="str">
        <f>image("https://storage.googleapis.com/acdb/photos/BromideNpcNmlCbr16_Remake_7_0.png")</f>
        <v/>
      </c>
      <c r="C225" s="21" t="s">
        <v>187</v>
      </c>
      <c r="D225" s="21" t="s">
        <v>51</v>
      </c>
      <c r="E225" s="21">
        <v>10.0</v>
      </c>
      <c r="F225" s="21" t="s">
        <v>2289</v>
      </c>
      <c r="G225" s="19"/>
      <c r="H225" s="19"/>
      <c r="I225" s="19"/>
    </row>
    <row r="226" ht="56.25" customHeight="1">
      <c r="A226" s="21" t="s">
        <v>2629</v>
      </c>
      <c r="B226" s="19" t="str">
        <f>image("https://storage.googleapis.com/acdb/photos/BromideNpcNmlDog10_Remake_0_0.png")</f>
        <v/>
      </c>
      <c r="C226" s="21" t="s">
        <v>219</v>
      </c>
      <c r="D226" s="21" t="s">
        <v>51</v>
      </c>
      <c r="E226" s="21">
        <v>10.0</v>
      </c>
      <c r="F226" s="21" t="s">
        <v>2289</v>
      </c>
      <c r="G226" s="19"/>
      <c r="H226" s="19"/>
      <c r="I226" s="19"/>
    </row>
    <row r="227" ht="56.25" customHeight="1">
      <c r="A227" s="21" t="s">
        <v>2629</v>
      </c>
      <c r="B227" s="19" t="str">
        <f>image("https://storage.googleapis.com/acdb/photos/BromideNpcNmlDog10_Remake_1_0.png")</f>
        <v/>
      </c>
      <c r="C227" s="21" t="s">
        <v>795</v>
      </c>
      <c r="D227" s="21" t="s">
        <v>51</v>
      </c>
      <c r="E227" s="21">
        <v>10.0</v>
      </c>
      <c r="F227" s="21" t="s">
        <v>2289</v>
      </c>
      <c r="G227" s="19"/>
      <c r="H227" s="19"/>
      <c r="I227" s="19"/>
    </row>
    <row r="228" ht="56.25" customHeight="1">
      <c r="A228" s="21" t="s">
        <v>2629</v>
      </c>
      <c r="B228" s="19" t="str">
        <f>image("https://storage.googleapis.com/acdb/photos/BromideNpcNmlDog10_Remake_2_0.png")</f>
        <v/>
      </c>
      <c r="C228" s="21" t="s">
        <v>954</v>
      </c>
      <c r="D228" s="21" t="s">
        <v>51</v>
      </c>
      <c r="E228" s="21">
        <v>10.0</v>
      </c>
      <c r="F228" s="21" t="s">
        <v>2289</v>
      </c>
      <c r="G228" s="19"/>
      <c r="H228" s="19"/>
      <c r="I228" s="19"/>
    </row>
    <row r="229" ht="56.25" customHeight="1">
      <c r="A229" s="21" t="s">
        <v>2629</v>
      </c>
      <c r="B229" s="19" t="str">
        <f>image("https://storage.googleapis.com/acdb/photos/BromideNpcNmlDog10_Remake_3_0.png")</f>
        <v/>
      </c>
      <c r="C229" s="21" t="s">
        <v>82</v>
      </c>
      <c r="D229" s="21" t="s">
        <v>51</v>
      </c>
      <c r="E229" s="21">
        <v>10.0</v>
      </c>
      <c r="F229" s="21" t="s">
        <v>2289</v>
      </c>
      <c r="G229" s="19"/>
      <c r="H229" s="19"/>
      <c r="I229" s="19"/>
    </row>
    <row r="230" ht="56.25" customHeight="1">
      <c r="A230" s="21" t="s">
        <v>2629</v>
      </c>
      <c r="B230" s="19" t="str">
        <f>image("https://storage.googleapis.com/acdb/photos/BromideNpcNmlDog10_Remake_4_0.png")</f>
        <v/>
      </c>
      <c r="C230" s="21" t="s">
        <v>833</v>
      </c>
      <c r="D230" s="21" t="s">
        <v>51</v>
      </c>
      <c r="E230" s="21">
        <v>10.0</v>
      </c>
      <c r="F230" s="21" t="s">
        <v>2289</v>
      </c>
      <c r="G230" s="19"/>
      <c r="H230" s="19"/>
      <c r="I230" s="19"/>
    </row>
    <row r="231" ht="56.25" customHeight="1">
      <c r="A231" s="21" t="s">
        <v>2629</v>
      </c>
      <c r="B231" s="19" t="str">
        <f>image("https://storage.googleapis.com/acdb/photos/BromideNpcNmlDog10_Remake_5_0.png")</f>
        <v/>
      </c>
      <c r="C231" s="21" t="s">
        <v>258</v>
      </c>
      <c r="D231" s="21" t="s">
        <v>51</v>
      </c>
      <c r="E231" s="21">
        <v>10.0</v>
      </c>
      <c r="F231" s="21" t="s">
        <v>2289</v>
      </c>
      <c r="G231" s="19"/>
      <c r="H231" s="19"/>
      <c r="I231" s="19"/>
    </row>
    <row r="232" ht="56.25" customHeight="1">
      <c r="A232" s="21" t="s">
        <v>2629</v>
      </c>
      <c r="B232" s="19" t="str">
        <f>image("https://storage.googleapis.com/acdb/photos/BromideNpcNmlDog10_Remake_6_0.png")</f>
        <v/>
      </c>
      <c r="C232" s="21" t="s">
        <v>182</v>
      </c>
      <c r="D232" s="21" t="s">
        <v>51</v>
      </c>
      <c r="E232" s="21">
        <v>10.0</v>
      </c>
      <c r="F232" s="21" t="s">
        <v>2289</v>
      </c>
      <c r="G232" s="19"/>
      <c r="H232" s="19"/>
      <c r="I232" s="19"/>
    </row>
    <row r="233" ht="56.25" customHeight="1">
      <c r="A233" s="21" t="s">
        <v>2629</v>
      </c>
      <c r="B233" s="19" t="str">
        <f>image("https://storage.googleapis.com/acdb/photos/BromideNpcNmlDog10_Remake_7_0.png")</f>
        <v/>
      </c>
      <c r="C233" s="21" t="s">
        <v>187</v>
      </c>
      <c r="D233" s="21" t="s">
        <v>51</v>
      </c>
      <c r="E233" s="21">
        <v>10.0</v>
      </c>
      <c r="F233" s="21" t="s">
        <v>2289</v>
      </c>
      <c r="G233" s="19"/>
      <c r="H233" s="19"/>
      <c r="I233" s="19"/>
    </row>
    <row r="234" ht="56.25" customHeight="1">
      <c r="A234" s="21" t="s">
        <v>2644</v>
      </c>
      <c r="B234" s="19" t="str">
        <f>image("https://storage.googleapis.com/acdb/photos/BromideNpcNmlBea13_Remake_0_0.png")</f>
        <v/>
      </c>
      <c r="C234" s="21" t="s">
        <v>219</v>
      </c>
      <c r="D234" s="21" t="s">
        <v>51</v>
      </c>
      <c r="E234" s="21">
        <v>10.0</v>
      </c>
      <c r="F234" s="21" t="s">
        <v>2289</v>
      </c>
      <c r="G234" s="19"/>
      <c r="H234" s="19"/>
      <c r="I234" s="19"/>
    </row>
    <row r="235" ht="56.25" customHeight="1">
      <c r="A235" s="21" t="s">
        <v>2644</v>
      </c>
      <c r="B235" s="19" t="str">
        <f>image("https://storage.googleapis.com/acdb/photos/BromideNpcNmlBea13_Remake_1_0.png")</f>
        <v/>
      </c>
      <c r="C235" s="21" t="s">
        <v>795</v>
      </c>
      <c r="D235" s="21" t="s">
        <v>51</v>
      </c>
      <c r="E235" s="21">
        <v>10.0</v>
      </c>
      <c r="F235" s="21" t="s">
        <v>2289</v>
      </c>
      <c r="G235" s="19"/>
      <c r="H235" s="19"/>
      <c r="I235" s="19"/>
    </row>
    <row r="236" ht="56.25" customHeight="1">
      <c r="A236" s="21" t="s">
        <v>2644</v>
      </c>
      <c r="B236" s="19" t="str">
        <f>image("https://storage.googleapis.com/acdb/photos/BromideNpcNmlBea13_Remake_2_0.png")</f>
        <v/>
      </c>
      <c r="C236" s="21" t="s">
        <v>954</v>
      </c>
      <c r="D236" s="21" t="s">
        <v>51</v>
      </c>
      <c r="E236" s="21">
        <v>10.0</v>
      </c>
      <c r="F236" s="21" t="s">
        <v>2289</v>
      </c>
      <c r="G236" s="19"/>
      <c r="H236" s="19"/>
      <c r="I236" s="19"/>
    </row>
    <row r="237" ht="56.25" customHeight="1">
      <c r="A237" s="21" t="s">
        <v>2644</v>
      </c>
      <c r="B237" s="19" t="str">
        <f>image("https://storage.googleapis.com/acdb/photos/BromideNpcNmlBea13_Remake_3_0.png")</f>
        <v/>
      </c>
      <c r="C237" s="21" t="s">
        <v>82</v>
      </c>
      <c r="D237" s="21" t="s">
        <v>51</v>
      </c>
      <c r="E237" s="21">
        <v>10.0</v>
      </c>
      <c r="F237" s="21" t="s">
        <v>2289</v>
      </c>
      <c r="G237" s="19"/>
      <c r="H237" s="19"/>
      <c r="I237" s="19"/>
    </row>
    <row r="238" ht="56.25" customHeight="1">
      <c r="A238" s="21" t="s">
        <v>2644</v>
      </c>
      <c r="B238" s="19" t="str">
        <f>image("https://storage.googleapis.com/acdb/photos/BromideNpcNmlBea13_Remake_4_0.png")</f>
        <v/>
      </c>
      <c r="C238" s="21" t="s">
        <v>833</v>
      </c>
      <c r="D238" s="21" t="s">
        <v>51</v>
      </c>
      <c r="E238" s="21">
        <v>10.0</v>
      </c>
      <c r="F238" s="21" t="s">
        <v>2289</v>
      </c>
      <c r="G238" s="19"/>
      <c r="H238" s="19"/>
      <c r="I238" s="19"/>
    </row>
    <row r="239" ht="56.25" customHeight="1">
      <c r="A239" s="21" t="s">
        <v>2644</v>
      </c>
      <c r="B239" s="19" t="str">
        <f>image("https://storage.googleapis.com/acdb/photos/BromideNpcNmlBea13_Remake_5_0.png")</f>
        <v/>
      </c>
      <c r="C239" s="21" t="s">
        <v>258</v>
      </c>
      <c r="D239" s="21" t="s">
        <v>51</v>
      </c>
      <c r="E239" s="21">
        <v>10.0</v>
      </c>
      <c r="F239" s="21" t="s">
        <v>2289</v>
      </c>
      <c r="G239" s="19"/>
      <c r="H239" s="19"/>
      <c r="I239" s="19"/>
    </row>
    <row r="240" ht="56.25" customHeight="1">
      <c r="A240" s="21" t="s">
        <v>2644</v>
      </c>
      <c r="B240" s="19" t="str">
        <f>image("https://storage.googleapis.com/acdb/photos/BromideNpcNmlBea13_Remake_6_0.png")</f>
        <v/>
      </c>
      <c r="C240" s="21" t="s">
        <v>182</v>
      </c>
      <c r="D240" s="21" t="s">
        <v>51</v>
      </c>
      <c r="E240" s="21">
        <v>10.0</v>
      </c>
      <c r="F240" s="21" t="s">
        <v>2289</v>
      </c>
      <c r="G240" s="19"/>
      <c r="H240" s="19"/>
      <c r="I240" s="19"/>
    </row>
    <row r="241" ht="56.25" customHeight="1">
      <c r="A241" s="21" t="s">
        <v>2644</v>
      </c>
      <c r="B241" s="19" t="str">
        <f>image("https://storage.googleapis.com/acdb/photos/BromideNpcNmlBea13_Remake_7_0.png")</f>
        <v/>
      </c>
      <c r="C241" s="21" t="s">
        <v>187</v>
      </c>
      <c r="D241" s="21" t="s">
        <v>51</v>
      </c>
      <c r="E241" s="21">
        <v>10.0</v>
      </c>
      <c r="F241" s="21" t="s">
        <v>2289</v>
      </c>
      <c r="G241" s="19"/>
      <c r="H241" s="19"/>
      <c r="I241" s="19"/>
    </row>
    <row r="242" ht="56.25" customHeight="1">
      <c r="A242" s="21" t="s">
        <v>2659</v>
      </c>
      <c r="B242" s="19" t="str">
        <f>image("https://storage.googleapis.com/acdb/photos/BromideNpcNmlDer07_Remake_0_0.png")</f>
        <v/>
      </c>
      <c r="C242" s="21" t="s">
        <v>219</v>
      </c>
      <c r="D242" s="21" t="s">
        <v>51</v>
      </c>
      <c r="E242" s="21">
        <v>10.0</v>
      </c>
      <c r="F242" s="21" t="s">
        <v>2289</v>
      </c>
      <c r="G242" s="19"/>
      <c r="H242" s="19"/>
      <c r="I242" s="19"/>
    </row>
    <row r="243" ht="56.25" customHeight="1">
      <c r="A243" s="21" t="s">
        <v>2659</v>
      </c>
      <c r="B243" s="19" t="str">
        <f>image("https://storage.googleapis.com/acdb/photos/BromideNpcNmlDer07_Remake_1_0.png")</f>
        <v/>
      </c>
      <c r="C243" s="21" t="s">
        <v>795</v>
      </c>
      <c r="D243" s="21" t="s">
        <v>51</v>
      </c>
      <c r="E243" s="21">
        <v>10.0</v>
      </c>
      <c r="F243" s="21" t="s">
        <v>2289</v>
      </c>
      <c r="G243" s="19"/>
      <c r="H243" s="19"/>
      <c r="I243" s="19"/>
    </row>
    <row r="244" ht="56.25" customHeight="1">
      <c r="A244" s="21" t="s">
        <v>2659</v>
      </c>
      <c r="B244" s="19" t="str">
        <f>image("https://storage.googleapis.com/acdb/photos/BromideNpcNmlDer07_Remake_2_0.png")</f>
        <v/>
      </c>
      <c r="C244" s="21" t="s">
        <v>954</v>
      </c>
      <c r="D244" s="21" t="s">
        <v>51</v>
      </c>
      <c r="E244" s="21">
        <v>10.0</v>
      </c>
      <c r="F244" s="21" t="s">
        <v>2289</v>
      </c>
      <c r="G244" s="19"/>
      <c r="H244" s="19"/>
      <c r="I244" s="19"/>
    </row>
    <row r="245" ht="56.25" customHeight="1">
      <c r="A245" s="21" t="s">
        <v>2659</v>
      </c>
      <c r="B245" s="19" t="str">
        <f>image("https://storage.googleapis.com/acdb/photos/BromideNpcNmlDer07_Remake_3_0.png")</f>
        <v/>
      </c>
      <c r="C245" s="21" t="s">
        <v>82</v>
      </c>
      <c r="D245" s="21" t="s">
        <v>51</v>
      </c>
      <c r="E245" s="21">
        <v>10.0</v>
      </c>
      <c r="F245" s="21" t="s">
        <v>2289</v>
      </c>
      <c r="G245" s="19"/>
      <c r="H245" s="19"/>
      <c r="I245" s="19"/>
    </row>
    <row r="246" ht="56.25" customHeight="1">
      <c r="A246" s="21" t="s">
        <v>2659</v>
      </c>
      <c r="B246" s="19" t="str">
        <f>image("https://storage.googleapis.com/acdb/photos/BromideNpcNmlDer07_Remake_4_0.png")</f>
        <v/>
      </c>
      <c r="C246" s="21" t="s">
        <v>833</v>
      </c>
      <c r="D246" s="21" t="s">
        <v>51</v>
      </c>
      <c r="E246" s="21">
        <v>10.0</v>
      </c>
      <c r="F246" s="21" t="s">
        <v>2289</v>
      </c>
      <c r="G246" s="19"/>
      <c r="H246" s="19"/>
      <c r="I246" s="19"/>
    </row>
    <row r="247" ht="56.25" customHeight="1">
      <c r="A247" s="21" t="s">
        <v>2659</v>
      </c>
      <c r="B247" s="19" t="str">
        <f>image("https://storage.googleapis.com/acdb/photos/BromideNpcNmlDer07_Remake_5_0.png")</f>
        <v/>
      </c>
      <c r="C247" s="21" t="s">
        <v>258</v>
      </c>
      <c r="D247" s="21" t="s">
        <v>51</v>
      </c>
      <c r="E247" s="21">
        <v>10.0</v>
      </c>
      <c r="F247" s="21" t="s">
        <v>2289</v>
      </c>
      <c r="G247" s="19"/>
      <c r="H247" s="19"/>
      <c r="I247" s="19"/>
    </row>
    <row r="248" ht="56.25" customHeight="1">
      <c r="A248" s="21" t="s">
        <v>2659</v>
      </c>
      <c r="B248" s="19" t="str">
        <f>image("https://storage.googleapis.com/acdb/photos/BromideNpcNmlDer07_Remake_6_0.png")</f>
        <v/>
      </c>
      <c r="C248" s="21" t="s">
        <v>182</v>
      </c>
      <c r="D248" s="21" t="s">
        <v>51</v>
      </c>
      <c r="E248" s="21">
        <v>10.0</v>
      </c>
      <c r="F248" s="21" t="s">
        <v>2289</v>
      </c>
      <c r="G248" s="19"/>
      <c r="H248" s="19"/>
      <c r="I248" s="19"/>
    </row>
    <row r="249" ht="56.25" customHeight="1">
      <c r="A249" s="21" t="s">
        <v>2659</v>
      </c>
      <c r="B249" s="19" t="str">
        <f>image("https://storage.googleapis.com/acdb/photos/BromideNpcNmlDer07_Remake_7_0.png")</f>
        <v/>
      </c>
      <c r="C249" s="21" t="s">
        <v>187</v>
      </c>
      <c r="D249" s="21" t="s">
        <v>51</v>
      </c>
      <c r="E249" s="21">
        <v>10.0</v>
      </c>
      <c r="F249" s="21" t="s">
        <v>2289</v>
      </c>
      <c r="G249" s="19"/>
      <c r="H249" s="19"/>
      <c r="I249" s="19"/>
    </row>
    <row r="250" ht="56.25" customHeight="1">
      <c r="A250" s="21" t="s">
        <v>2674</v>
      </c>
      <c r="B250" s="19" t="str">
        <f>image("https://storage.googleapis.com/acdb/photos/BromideNpcNmlChn09_Remake_0_0.png")</f>
        <v/>
      </c>
      <c r="C250" s="21" t="s">
        <v>219</v>
      </c>
      <c r="D250" s="21" t="s">
        <v>51</v>
      </c>
      <c r="E250" s="21">
        <v>10.0</v>
      </c>
      <c r="F250" s="21" t="s">
        <v>2289</v>
      </c>
      <c r="G250" s="19"/>
      <c r="H250" s="19"/>
      <c r="I250" s="19"/>
    </row>
    <row r="251" ht="56.25" customHeight="1">
      <c r="A251" s="21" t="s">
        <v>2674</v>
      </c>
      <c r="B251" s="19" t="str">
        <f>image("https://storage.googleapis.com/acdb/photos/BromideNpcNmlChn09_Remake_1_0.png")</f>
        <v/>
      </c>
      <c r="C251" s="21" t="s">
        <v>795</v>
      </c>
      <c r="D251" s="21" t="s">
        <v>51</v>
      </c>
      <c r="E251" s="21">
        <v>10.0</v>
      </c>
      <c r="F251" s="21" t="s">
        <v>2289</v>
      </c>
      <c r="G251" s="19"/>
      <c r="H251" s="19"/>
      <c r="I251" s="19"/>
    </row>
    <row r="252" ht="56.25" customHeight="1">
      <c r="A252" s="21" t="s">
        <v>2674</v>
      </c>
      <c r="B252" s="19" t="str">
        <f>image("https://storage.googleapis.com/acdb/photos/BromideNpcNmlChn09_Remake_2_0.png")</f>
        <v/>
      </c>
      <c r="C252" s="21" t="s">
        <v>954</v>
      </c>
      <c r="D252" s="21" t="s">
        <v>51</v>
      </c>
      <c r="E252" s="21">
        <v>10.0</v>
      </c>
      <c r="F252" s="21" t="s">
        <v>2289</v>
      </c>
      <c r="G252" s="19"/>
      <c r="H252" s="19"/>
      <c r="I252" s="19"/>
    </row>
    <row r="253" ht="56.25" customHeight="1">
      <c r="A253" s="21" t="s">
        <v>2674</v>
      </c>
      <c r="B253" s="19" t="str">
        <f>image("https://storage.googleapis.com/acdb/photos/BromideNpcNmlChn09_Remake_3_0.png")</f>
        <v/>
      </c>
      <c r="C253" s="21" t="s">
        <v>82</v>
      </c>
      <c r="D253" s="21" t="s">
        <v>51</v>
      </c>
      <c r="E253" s="21">
        <v>10.0</v>
      </c>
      <c r="F253" s="21" t="s">
        <v>2289</v>
      </c>
      <c r="G253" s="19"/>
      <c r="H253" s="19"/>
      <c r="I253" s="19"/>
    </row>
    <row r="254" ht="56.25" customHeight="1">
      <c r="A254" s="21" t="s">
        <v>2674</v>
      </c>
      <c r="B254" s="19" t="str">
        <f>image("https://storage.googleapis.com/acdb/photos/BromideNpcNmlChn09_Remake_4_0.png")</f>
        <v/>
      </c>
      <c r="C254" s="21" t="s">
        <v>833</v>
      </c>
      <c r="D254" s="21" t="s">
        <v>51</v>
      </c>
      <c r="E254" s="21">
        <v>10.0</v>
      </c>
      <c r="F254" s="21" t="s">
        <v>2289</v>
      </c>
      <c r="G254" s="19"/>
      <c r="H254" s="19"/>
      <c r="I254" s="19"/>
    </row>
    <row r="255" ht="56.25" customHeight="1">
      <c r="A255" s="21" t="s">
        <v>2674</v>
      </c>
      <c r="B255" s="19" t="str">
        <f>image("https://storage.googleapis.com/acdb/photos/BromideNpcNmlChn09_Remake_5_0.png")</f>
        <v/>
      </c>
      <c r="C255" s="21" t="s">
        <v>258</v>
      </c>
      <c r="D255" s="21" t="s">
        <v>51</v>
      </c>
      <c r="E255" s="21">
        <v>10.0</v>
      </c>
      <c r="F255" s="21" t="s">
        <v>2289</v>
      </c>
      <c r="G255" s="19"/>
      <c r="H255" s="19"/>
      <c r="I255" s="19"/>
    </row>
    <row r="256" ht="56.25" customHeight="1">
      <c r="A256" s="21" t="s">
        <v>2674</v>
      </c>
      <c r="B256" s="19" t="str">
        <f>image("https://storage.googleapis.com/acdb/photos/BromideNpcNmlChn09_Remake_6_0.png")</f>
        <v/>
      </c>
      <c r="C256" s="21" t="s">
        <v>182</v>
      </c>
      <c r="D256" s="21" t="s">
        <v>51</v>
      </c>
      <c r="E256" s="21">
        <v>10.0</v>
      </c>
      <c r="F256" s="21" t="s">
        <v>2289</v>
      </c>
      <c r="G256" s="19"/>
      <c r="H256" s="19"/>
      <c r="I256" s="19"/>
    </row>
    <row r="257" ht="56.25" customHeight="1">
      <c r="A257" s="21" t="s">
        <v>2674</v>
      </c>
      <c r="B257" s="19" t="str">
        <f>image("https://storage.googleapis.com/acdb/photos/BromideNpcNmlChn09_Remake_7_0.png")</f>
        <v/>
      </c>
      <c r="C257" s="21" t="s">
        <v>187</v>
      </c>
      <c r="D257" s="21" t="s">
        <v>51</v>
      </c>
      <c r="E257" s="21">
        <v>10.0</v>
      </c>
      <c r="F257" s="21" t="s">
        <v>2289</v>
      </c>
      <c r="G257" s="19"/>
      <c r="H257" s="19"/>
      <c r="I257" s="19"/>
    </row>
    <row r="258" ht="56.25" customHeight="1">
      <c r="A258" s="21" t="s">
        <v>2691</v>
      </c>
      <c r="B258" s="19" t="str">
        <f>image("https://storage.googleapis.com/acdb/photos/BromideNpcNmlMus02_Remake_0_0.png")</f>
        <v/>
      </c>
      <c r="C258" s="21" t="s">
        <v>219</v>
      </c>
      <c r="D258" s="21" t="s">
        <v>51</v>
      </c>
      <c r="E258" s="21">
        <v>10.0</v>
      </c>
      <c r="F258" s="21" t="s">
        <v>2289</v>
      </c>
      <c r="G258" s="19"/>
      <c r="H258" s="19"/>
      <c r="I258" s="19"/>
    </row>
    <row r="259" ht="56.25" customHeight="1">
      <c r="A259" s="21" t="s">
        <v>2691</v>
      </c>
      <c r="B259" s="19" t="str">
        <f>image("https://storage.googleapis.com/acdb/photos/BromideNpcNmlMus02_Remake_1_0.png")</f>
        <v/>
      </c>
      <c r="C259" s="21" t="s">
        <v>795</v>
      </c>
      <c r="D259" s="21" t="s">
        <v>51</v>
      </c>
      <c r="E259" s="21">
        <v>10.0</v>
      </c>
      <c r="F259" s="21" t="s">
        <v>2289</v>
      </c>
      <c r="G259" s="19"/>
      <c r="H259" s="19"/>
      <c r="I259" s="19"/>
    </row>
    <row r="260" ht="56.25" customHeight="1">
      <c r="A260" s="21" t="s">
        <v>2691</v>
      </c>
      <c r="B260" s="19" t="str">
        <f>image("https://storage.googleapis.com/acdb/photos/BromideNpcNmlMus02_Remake_2_0.png")</f>
        <v/>
      </c>
      <c r="C260" s="21" t="s">
        <v>954</v>
      </c>
      <c r="D260" s="21" t="s">
        <v>51</v>
      </c>
      <c r="E260" s="21">
        <v>10.0</v>
      </c>
      <c r="F260" s="21" t="s">
        <v>2289</v>
      </c>
      <c r="G260" s="19"/>
      <c r="H260" s="19"/>
      <c r="I260" s="19"/>
    </row>
    <row r="261" ht="56.25" customHeight="1">
      <c r="A261" s="21" t="s">
        <v>2691</v>
      </c>
      <c r="B261" s="19" t="str">
        <f>image("https://storage.googleapis.com/acdb/photos/BromideNpcNmlMus02_Remake_3_0.png")</f>
        <v/>
      </c>
      <c r="C261" s="21" t="s">
        <v>82</v>
      </c>
      <c r="D261" s="21" t="s">
        <v>51</v>
      </c>
      <c r="E261" s="21">
        <v>10.0</v>
      </c>
      <c r="F261" s="21" t="s">
        <v>2289</v>
      </c>
      <c r="G261" s="19"/>
      <c r="H261" s="19"/>
      <c r="I261" s="19"/>
    </row>
    <row r="262" ht="56.25" customHeight="1">
      <c r="A262" s="21" t="s">
        <v>2691</v>
      </c>
      <c r="B262" s="19" t="str">
        <f>image("https://storage.googleapis.com/acdb/photos/BromideNpcNmlMus02_Remake_4_0.png")</f>
        <v/>
      </c>
      <c r="C262" s="21" t="s">
        <v>833</v>
      </c>
      <c r="D262" s="21" t="s">
        <v>51</v>
      </c>
      <c r="E262" s="21">
        <v>10.0</v>
      </c>
      <c r="F262" s="21" t="s">
        <v>2289</v>
      </c>
      <c r="G262" s="19"/>
      <c r="H262" s="19"/>
      <c r="I262" s="19"/>
    </row>
    <row r="263" ht="56.25" customHeight="1">
      <c r="A263" s="21" t="s">
        <v>2691</v>
      </c>
      <c r="B263" s="19" t="str">
        <f>image("https://storage.googleapis.com/acdb/photos/BromideNpcNmlMus02_Remake_5_0.png")</f>
        <v/>
      </c>
      <c r="C263" s="21" t="s">
        <v>258</v>
      </c>
      <c r="D263" s="21" t="s">
        <v>51</v>
      </c>
      <c r="E263" s="21">
        <v>10.0</v>
      </c>
      <c r="F263" s="21" t="s">
        <v>2289</v>
      </c>
      <c r="G263" s="19"/>
      <c r="H263" s="19"/>
      <c r="I263" s="19"/>
    </row>
    <row r="264" ht="56.25" customHeight="1">
      <c r="A264" s="21" t="s">
        <v>2691</v>
      </c>
      <c r="B264" s="19" t="str">
        <f>image("https://storage.googleapis.com/acdb/photos/BromideNpcNmlMus02_Remake_6_0.png")</f>
        <v/>
      </c>
      <c r="C264" s="21" t="s">
        <v>182</v>
      </c>
      <c r="D264" s="21" t="s">
        <v>51</v>
      </c>
      <c r="E264" s="21">
        <v>10.0</v>
      </c>
      <c r="F264" s="21" t="s">
        <v>2289</v>
      </c>
      <c r="G264" s="19"/>
      <c r="H264" s="19"/>
      <c r="I264" s="19"/>
    </row>
    <row r="265" ht="56.25" customHeight="1">
      <c r="A265" s="21" t="s">
        <v>2691</v>
      </c>
      <c r="B265" s="19" t="str">
        <f>image("https://storage.googleapis.com/acdb/photos/BromideNpcNmlMus02_Remake_7_0.png")</f>
        <v/>
      </c>
      <c r="C265" s="21" t="s">
        <v>187</v>
      </c>
      <c r="D265" s="21" t="s">
        <v>51</v>
      </c>
      <c r="E265" s="21">
        <v>10.0</v>
      </c>
      <c r="F265" s="21" t="s">
        <v>2289</v>
      </c>
      <c r="G265" s="19"/>
      <c r="H265" s="19"/>
      <c r="I265" s="19"/>
    </row>
    <row r="266" ht="56.25" customHeight="1">
      <c r="A266" s="21" t="s">
        <v>2702</v>
      </c>
      <c r="B266" s="19" t="str">
        <f>image("https://storage.googleapis.com/acdb/photos/BromideNpcNmlChn01_Remake_0_0.png")</f>
        <v/>
      </c>
      <c r="C266" s="21" t="s">
        <v>219</v>
      </c>
      <c r="D266" s="21" t="s">
        <v>51</v>
      </c>
      <c r="E266" s="21">
        <v>10.0</v>
      </c>
      <c r="F266" s="21" t="s">
        <v>2289</v>
      </c>
      <c r="G266" s="19"/>
      <c r="H266" s="19"/>
      <c r="I266" s="19"/>
    </row>
    <row r="267" ht="56.25" customHeight="1">
      <c r="A267" s="21" t="s">
        <v>2702</v>
      </c>
      <c r="B267" s="19" t="str">
        <f>image("https://storage.googleapis.com/acdb/photos/BromideNpcNmlChn01_Remake_1_0.png")</f>
        <v/>
      </c>
      <c r="C267" s="21" t="s">
        <v>795</v>
      </c>
      <c r="D267" s="21" t="s">
        <v>51</v>
      </c>
      <c r="E267" s="21">
        <v>10.0</v>
      </c>
      <c r="F267" s="21" t="s">
        <v>2289</v>
      </c>
      <c r="G267" s="19"/>
      <c r="H267" s="19"/>
      <c r="I267" s="19"/>
    </row>
    <row r="268" ht="56.25" customHeight="1">
      <c r="A268" s="21" t="s">
        <v>2702</v>
      </c>
      <c r="B268" s="19" t="str">
        <f>image("https://storage.googleapis.com/acdb/photos/BromideNpcNmlChn01_Remake_2_0.png")</f>
        <v/>
      </c>
      <c r="C268" s="21" t="s">
        <v>954</v>
      </c>
      <c r="D268" s="21" t="s">
        <v>51</v>
      </c>
      <c r="E268" s="21">
        <v>10.0</v>
      </c>
      <c r="F268" s="21" t="s">
        <v>2289</v>
      </c>
      <c r="G268" s="19"/>
      <c r="H268" s="19"/>
      <c r="I268" s="19"/>
    </row>
    <row r="269" ht="56.25" customHeight="1">
      <c r="A269" s="21" t="s">
        <v>2702</v>
      </c>
      <c r="B269" s="19" t="str">
        <f>image("https://storage.googleapis.com/acdb/photos/BromideNpcNmlChn01_Remake_3_0.png")</f>
        <v/>
      </c>
      <c r="C269" s="21" t="s">
        <v>82</v>
      </c>
      <c r="D269" s="21" t="s">
        <v>51</v>
      </c>
      <c r="E269" s="21">
        <v>10.0</v>
      </c>
      <c r="F269" s="21" t="s">
        <v>2289</v>
      </c>
      <c r="G269" s="19"/>
      <c r="H269" s="19"/>
      <c r="I269" s="19"/>
    </row>
    <row r="270" ht="56.25" customHeight="1">
      <c r="A270" s="21" t="s">
        <v>2702</v>
      </c>
      <c r="B270" s="19" t="str">
        <f>image("https://storage.googleapis.com/acdb/photos/BromideNpcNmlChn01_Remake_4_0.png")</f>
        <v/>
      </c>
      <c r="C270" s="21" t="s">
        <v>833</v>
      </c>
      <c r="D270" s="21" t="s">
        <v>51</v>
      </c>
      <c r="E270" s="21">
        <v>10.0</v>
      </c>
      <c r="F270" s="21" t="s">
        <v>2289</v>
      </c>
      <c r="G270" s="19"/>
      <c r="H270" s="19"/>
      <c r="I270" s="19"/>
    </row>
    <row r="271" ht="56.25" customHeight="1">
      <c r="A271" s="21" t="s">
        <v>2702</v>
      </c>
      <c r="B271" s="19" t="str">
        <f>image("https://storage.googleapis.com/acdb/photos/BromideNpcNmlChn01_Remake_5_0.png")</f>
        <v/>
      </c>
      <c r="C271" s="21" t="s">
        <v>258</v>
      </c>
      <c r="D271" s="21" t="s">
        <v>51</v>
      </c>
      <c r="E271" s="21">
        <v>10.0</v>
      </c>
      <c r="F271" s="21" t="s">
        <v>2289</v>
      </c>
      <c r="G271" s="19"/>
      <c r="H271" s="19"/>
      <c r="I271" s="19"/>
    </row>
    <row r="272" ht="56.25" customHeight="1">
      <c r="A272" s="21" t="s">
        <v>2702</v>
      </c>
      <c r="B272" s="19" t="str">
        <f>image("https://storage.googleapis.com/acdb/photos/BromideNpcNmlChn01_Remake_6_0.png")</f>
        <v/>
      </c>
      <c r="C272" s="21" t="s">
        <v>182</v>
      </c>
      <c r="D272" s="21" t="s">
        <v>51</v>
      </c>
      <c r="E272" s="21">
        <v>10.0</v>
      </c>
      <c r="F272" s="21" t="s">
        <v>2289</v>
      </c>
      <c r="G272" s="19"/>
      <c r="H272" s="19"/>
      <c r="I272" s="19"/>
    </row>
    <row r="273" ht="56.25" customHeight="1">
      <c r="A273" s="21" t="s">
        <v>2702</v>
      </c>
      <c r="B273" s="19" t="str">
        <f>image("https://storage.googleapis.com/acdb/photos/BromideNpcNmlChn01_Remake_7_0.png")</f>
        <v/>
      </c>
      <c r="C273" s="21" t="s">
        <v>187</v>
      </c>
      <c r="D273" s="21" t="s">
        <v>51</v>
      </c>
      <c r="E273" s="21">
        <v>10.0</v>
      </c>
      <c r="F273" s="21" t="s">
        <v>2289</v>
      </c>
      <c r="G273" s="19"/>
      <c r="H273" s="19"/>
      <c r="I273" s="19"/>
    </row>
    <row r="274" ht="56.25" customHeight="1">
      <c r="A274" s="21" t="s">
        <v>2716</v>
      </c>
      <c r="B274" s="19" t="str">
        <f>image("https://storage.googleapis.com/acdb/photos/BromideNpcNmlDog16_Remake_0_0.png")</f>
        <v/>
      </c>
      <c r="C274" s="21" t="s">
        <v>219</v>
      </c>
      <c r="D274" s="21" t="s">
        <v>51</v>
      </c>
      <c r="E274" s="21">
        <v>10.0</v>
      </c>
      <c r="F274" s="21" t="s">
        <v>2289</v>
      </c>
      <c r="G274" s="19"/>
      <c r="H274" s="19"/>
      <c r="I274" s="19"/>
    </row>
    <row r="275" ht="56.25" customHeight="1">
      <c r="A275" s="21" t="s">
        <v>2716</v>
      </c>
      <c r="B275" s="19" t="str">
        <f>image("https://storage.googleapis.com/acdb/photos/BromideNpcNmlDog16_Remake_1_0.png")</f>
        <v/>
      </c>
      <c r="C275" s="21" t="s">
        <v>795</v>
      </c>
      <c r="D275" s="21" t="s">
        <v>51</v>
      </c>
      <c r="E275" s="21">
        <v>10.0</v>
      </c>
      <c r="F275" s="21" t="s">
        <v>2289</v>
      </c>
      <c r="G275" s="19"/>
      <c r="H275" s="19"/>
      <c r="I275" s="19"/>
    </row>
    <row r="276" ht="56.25" customHeight="1">
      <c r="A276" s="21" t="s">
        <v>2716</v>
      </c>
      <c r="B276" s="19" t="str">
        <f>image("https://storage.googleapis.com/acdb/photos/BromideNpcNmlDog16_Remake_2_0.png")</f>
        <v/>
      </c>
      <c r="C276" s="21" t="s">
        <v>954</v>
      </c>
      <c r="D276" s="21" t="s">
        <v>51</v>
      </c>
      <c r="E276" s="21">
        <v>10.0</v>
      </c>
      <c r="F276" s="21" t="s">
        <v>2289</v>
      </c>
      <c r="G276" s="19"/>
      <c r="H276" s="19"/>
      <c r="I276" s="19"/>
    </row>
    <row r="277" ht="56.25" customHeight="1">
      <c r="A277" s="21" t="s">
        <v>2716</v>
      </c>
      <c r="B277" s="19" t="str">
        <f>image("https://storage.googleapis.com/acdb/photos/BromideNpcNmlDog16_Remake_3_0.png")</f>
        <v/>
      </c>
      <c r="C277" s="21" t="s">
        <v>82</v>
      </c>
      <c r="D277" s="21" t="s">
        <v>51</v>
      </c>
      <c r="E277" s="21">
        <v>10.0</v>
      </c>
      <c r="F277" s="21" t="s">
        <v>2289</v>
      </c>
      <c r="G277" s="19"/>
      <c r="H277" s="19"/>
      <c r="I277" s="19"/>
    </row>
    <row r="278" ht="56.25" customHeight="1">
      <c r="A278" s="21" t="s">
        <v>2716</v>
      </c>
      <c r="B278" s="19" t="str">
        <f>image("https://storage.googleapis.com/acdb/photos/BromideNpcNmlDog16_Remake_4_0.png")</f>
        <v/>
      </c>
      <c r="C278" s="21" t="s">
        <v>833</v>
      </c>
      <c r="D278" s="21" t="s">
        <v>51</v>
      </c>
      <c r="E278" s="21">
        <v>10.0</v>
      </c>
      <c r="F278" s="21" t="s">
        <v>2289</v>
      </c>
      <c r="G278" s="19"/>
      <c r="H278" s="19"/>
      <c r="I278" s="19"/>
    </row>
    <row r="279" ht="56.25" customHeight="1">
      <c r="A279" s="21" t="s">
        <v>2716</v>
      </c>
      <c r="B279" s="19" t="str">
        <f>image("https://storage.googleapis.com/acdb/photos/BromideNpcNmlDog16_Remake_5_0.png")</f>
        <v/>
      </c>
      <c r="C279" s="21" t="s">
        <v>258</v>
      </c>
      <c r="D279" s="21" t="s">
        <v>51</v>
      </c>
      <c r="E279" s="21">
        <v>10.0</v>
      </c>
      <c r="F279" s="21" t="s">
        <v>2289</v>
      </c>
      <c r="G279" s="19"/>
      <c r="H279" s="19"/>
      <c r="I279" s="19"/>
    </row>
    <row r="280" ht="56.25" customHeight="1">
      <c r="A280" s="21" t="s">
        <v>2716</v>
      </c>
      <c r="B280" s="19" t="str">
        <f>image("https://storage.googleapis.com/acdb/photos/BromideNpcNmlDog16_Remake_6_0.png")</f>
        <v/>
      </c>
      <c r="C280" s="21" t="s">
        <v>182</v>
      </c>
      <c r="D280" s="21" t="s">
        <v>51</v>
      </c>
      <c r="E280" s="21">
        <v>10.0</v>
      </c>
      <c r="F280" s="21" t="s">
        <v>2289</v>
      </c>
      <c r="G280" s="19"/>
      <c r="H280" s="19"/>
      <c r="I280" s="19"/>
    </row>
    <row r="281" ht="56.25" customHeight="1">
      <c r="A281" s="21" t="s">
        <v>2716</v>
      </c>
      <c r="B281" s="19" t="str">
        <f>image("https://storage.googleapis.com/acdb/photos/BromideNpcNmlDog16_Remake_7_0.png")</f>
        <v/>
      </c>
      <c r="C281" s="21" t="s">
        <v>187</v>
      </c>
      <c r="D281" s="21" t="s">
        <v>51</v>
      </c>
      <c r="E281" s="21">
        <v>10.0</v>
      </c>
      <c r="F281" s="21" t="s">
        <v>2289</v>
      </c>
      <c r="G281" s="19"/>
      <c r="H281" s="19"/>
      <c r="I281" s="19"/>
    </row>
    <row r="282" ht="56.25" customHeight="1">
      <c r="A282" s="21" t="s">
        <v>2726</v>
      </c>
      <c r="B282" s="19" t="str">
        <f>image("https://storage.googleapis.com/acdb/photos/BromideNpcNmlHip03_Remake_0_0.png")</f>
        <v/>
      </c>
      <c r="C282" s="21" t="s">
        <v>219</v>
      </c>
      <c r="D282" s="21" t="s">
        <v>51</v>
      </c>
      <c r="E282" s="21">
        <v>10.0</v>
      </c>
      <c r="F282" s="21" t="s">
        <v>2289</v>
      </c>
      <c r="G282" s="19"/>
      <c r="H282" s="19"/>
      <c r="I282" s="19"/>
    </row>
    <row r="283" ht="56.25" customHeight="1">
      <c r="A283" s="21" t="s">
        <v>2726</v>
      </c>
      <c r="B283" s="19" t="str">
        <f>image("https://storage.googleapis.com/acdb/photos/BromideNpcNmlHip03_Remake_1_0.png")</f>
        <v/>
      </c>
      <c r="C283" s="21" t="s">
        <v>795</v>
      </c>
      <c r="D283" s="21" t="s">
        <v>51</v>
      </c>
      <c r="E283" s="21">
        <v>10.0</v>
      </c>
      <c r="F283" s="21" t="s">
        <v>2289</v>
      </c>
      <c r="G283" s="19"/>
      <c r="H283" s="19"/>
      <c r="I283" s="19"/>
    </row>
    <row r="284" ht="56.25" customHeight="1">
      <c r="A284" s="21" t="s">
        <v>2726</v>
      </c>
      <c r="B284" s="19" t="str">
        <f>image("https://storage.googleapis.com/acdb/photos/BromideNpcNmlHip03_Remake_2_0.png")</f>
        <v/>
      </c>
      <c r="C284" s="21" t="s">
        <v>954</v>
      </c>
      <c r="D284" s="21" t="s">
        <v>51</v>
      </c>
      <c r="E284" s="21">
        <v>10.0</v>
      </c>
      <c r="F284" s="21" t="s">
        <v>2289</v>
      </c>
      <c r="G284" s="19"/>
      <c r="H284" s="19"/>
      <c r="I284" s="19"/>
    </row>
    <row r="285" ht="56.25" customHeight="1">
      <c r="A285" s="21" t="s">
        <v>2726</v>
      </c>
      <c r="B285" s="19" t="str">
        <f>image("https://storage.googleapis.com/acdb/photos/BromideNpcNmlHip03_Remake_3_0.png")</f>
        <v/>
      </c>
      <c r="C285" s="21" t="s">
        <v>82</v>
      </c>
      <c r="D285" s="21" t="s">
        <v>51</v>
      </c>
      <c r="E285" s="21">
        <v>10.0</v>
      </c>
      <c r="F285" s="21" t="s">
        <v>2289</v>
      </c>
      <c r="G285" s="19"/>
      <c r="H285" s="19"/>
      <c r="I285" s="19"/>
    </row>
    <row r="286" ht="56.25" customHeight="1">
      <c r="A286" s="21" t="s">
        <v>2726</v>
      </c>
      <c r="B286" s="19" t="str">
        <f>image("https://storage.googleapis.com/acdb/photos/BromideNpcNmlHip03_Remake_4_0.png")</f>
        <v/>
      </c>
      <c r="C286" s="21" t="s">
        <v>833</v>
      </c>
      <c r="D286" s="21" t="s">
        <v>51</v>
      </c>
      <c r="E286" s="21">
        <v>10.0</v>
      </c>
      <c r="F286" s="21" t="s">
        <v>2289</v>
      </c>
      <c r="G286" s="19"/>
      <c r="H286" s="19"/>
      <c r="I286" s="19"/>
    </row>
    <row r="287" ht="56.25" customHeight="1">
      <c r="A287" s="21" t="s">
        <v>2726</v>
      </c>
      <c r="B287" s="19" t="str">
        <f>image("https://storage.googleapis.com/acdb/photos/BromideNpcNmlHip03_Remake_5_0.png")</f>
        <v/>
      </c>
      <c r="C287" s="21" t="s">
        <v>258</v>
      </c>
      <c r="D287" s="21" t="s">
        <v>51</v>
      </c>
      <c r="E287" s="21">
        <v>10.0</v>
      </c>
      <c r="F287" s="21" t="s">
        <v>2289</v>
      </c>
      <c r="G287" s="19"/>
      <c r="H287" s="19"/>
      <c r="I287" s="19"/>
    </row>
    <row r="288" ht="56.25" customHeight="1">
      <c r="A288" s="21" t="s">
        <v>2726</v>
      </c>
      <c r="B288" s="19" t="str">
        <f>image("https://storage.googleapis.com/acdb/photos/BromideNpcNmlHip03_Remake_6_0.png")</f>
        <v/>
      </c>
      <c r="C288" s="21" t="s">
        <v>182</v>
      </c>
      <c r="D288" s="21" t="s">
        <v>51</v>
      </c>
      <c r="E288" s="21">
        <v>10.0</v>
      </c>
      <c r="F288" s="21" t="s">
        <v>2289</v>
      </c>
      <c r="G288" s="19"/>
      <c r="H288" s="19"/>
      <c r="I288" s="19"/>
    </row>
    <row r="289" ht="56.25" customHeight="1">
      <c r="A289" s="21" t="s">
        <v>2726</v>
      </c>
      <c r="B289" s="19" t="str">
        <f>image("https://storage.googleapis.com/acdb/photos/BromideNpcNmlHip03_Remake_7_0.png")</f>
        <v/>
      </c>
      <c r="C289" s="21" t="s">
        <v>187</v>
      </c>
      <c r="D289" s="21" t="s">
        <v>51</v>
      </c>
      <c r="E289" s="21">
        <v>10.0</v>
      </c>
      <c r="F289" s="21" t="s">
        <v>2289</v>
      </c>
      <c r="G289" s="19"/>
      <c r="H289" s="19"/>
      <c r="I289" s="19"/>
    </row>
    <row r="290" ht="56.25" customHeight="1">
      <c r="A290" s="21" t="s">
        <v>2736</v>
      </c>
      <c r="B290" s="19" t="str">
        <f>image("https://storage.googleapis.com/acdb/photos/BromideNpcNmlMus15_Remake_0_0.png")</f>
        <v/>
      </c>
      <c r="C290" s="21" t="s">
        <v>219</v>
      </c>
      <c r="D290" s="21" t="s">
        <v>51</v>
      </c>
      <c r="E290" s="21">
        <v>10.0</v>
      </c>
      <c r="F290" s="21" t="s">
        <v>2289</v>
      </c>
      <c r="G290" s="19"/>
      <c r="H290" s="19"/>
      <c r="I290" s="19"/>
    </row>
    <row r="291" ht="56.25" customHeight="1">
      <c r="A291" s="21" t="s">
        <v>2736</v>
      </c>
      <c r="B291" s="19" t="str">
        <f>image("https://storage.googleapis.com/acdb/photos/BromideNpcNmlMus15_Remake_1_0.png")</f>
        <v/>
      </c>
      <c r="C291" s="21" t="s">
        <v>795</v>
      </c>
      <c r="D291" s="21" t="s">
        <v>51</v>
      </c>
      <c r="E291" s="21">
        <v>10.0</v>
      </c>
      <c r="F291" s="21" t="s">
        <v>2289</v>
      </c>
      <c r="G291" s="19"/>
      <c r="H291" s="19"/>
      <c r="I291" s="19"/>
    </row>
    <row r="292" ht="56.25" customHeight="1">
      <c r="A292" s="21" t="s">
        <v>2736</v>
      </c>
      <c r="B292" s="19" t="str">
        <f>image("https://storage.googleapis.com/acdb/photos/BromideNpcNmlMus15_Remake_2_0.png")</f>
        <v/>
      </c>
      <c r="C292" s="21" t="s">
        <v>954</v>
      </c>
      <c r="D292" s="21" t="s">
        <v>51</v>
      </c>
      <c r="E292" s="21">
        <v>10.0</v>
      </c>
      <c r="F292" s="21" t="s">
        <v>2289</v>
      </c>
      <c r="G292" s="19"/>
      <c r="H292" s="19"/>
      <c r="I292" s="19"/>
    </row>
    <row r="293" ht="56.25" customHeight="1">
      <c r="A293" s="21" t="s">
        <v>2736</v>
      </c>
      <c r="B293" s="19" t="str">
        <f>image("https://storage.googleapis.com/acdb/photos/BromideNpcNmlMus15_Remake_3_0.png")</f>
        <v/>
      </c>
      <c r="C293" s="21" t="s">
        <v>82</v>
      </c>
      <c r="D293" s="21" t="s">
        <v>51</v>
      </c>
      <c r="E293" s="21">
        <v>10.0</v>
      </c>
      <c r="F293" s="21" t="s">
        <v>2289</v>
      </c>
      <c r="G293" s="19"/>
      <c r="H293" s="19"/>
      <c r="I293" s="19"/>
    </row>
    <row r="294" ht="56.25" customHeight="1">
      <c r="A294" s="21" t="s">
        <v>2736</v>
      </c>
      <c r="B294" s="19" t="str">
        <f>image("https://storage.googleapis.com/acdb/photos/BromideNpcNmlMus15_Remake_4_0.png")</f>
        <v/>
      </c>
      <c r="C294" s="21" t="s">
        <v>833</v>
      </c>
      <c r="D294" s="21" t="s">
        <v>51</v>
      </c>
      <c r="E294" s="21">
        <v>10.0</v>
      </c>
      <c r="F294" s="21" t="s">
        <v>2289</v>
      </c>
      <c r="G294" s="19"/>
      <c r="H294" s="19"/>
      <c r="I294" s="19"/>
    </row>
    <row r="295" ht="56.25" customHeight="1">
      <c r="A295" s="21" t="s">
        <v>2736</v>
      </c>
      <c r="B295" s="19" t="str">
        <f>image("https://storage.googleapis.com/acdb/photos/BromideNpcNmlMus15_Remake_5_0.png")</f>
        <v/>
      </c>
      <c r="C295" s="21" t="s">
        <v>258</v>
      </c>
      <c r="D295" s="21" t="s">
        <v>51</v>
      </c>
      <c r="E295" s="21">
        <v>10.0</v>
      </c>
      <c r="F295" s="21" t="s">
        <v>2289</v>
      </c>
      <c r="G295" s="19"/>
      <c r="H295" s="19"/>
      <c r="I295" s="19"/>
    </row>
    <row r="296" ht="56.25" customHeight="1">
      <c r="A296" s="21" t="s">
        <v>2736</v>
      </c>
      <c r="B296" s="19" t="str">
        <f>image("https://storage.googleapis.com/acdb/photos/BromideNpcNmlMus15_Remake_6_0.png")</f>
        <v/>
      </c>
      <c r="C296" s="21" t="s">
        <v>182</v>
      </c>
      <c r="D296" s="21" t="s">
        <v>51</v>
      </c>
      <c r="E296" s="21">
        <v>10.0</v>
      </c>
      <c r="F296" s="21" t="s">
        <v>2289</v>
      </c>
      <c r="G296" s="19"/>
      <c r="H296" s="19"/>
      <c r="I296" s="19"/>
    </row>
    <row r="297" ht="56.25" customHeight="1">
      <c r="A297" s="21" t="s">
        <v>2736</v>
      </c>
      <c r="B297" s="19" t="str">
        <f>image("https://storage.googleapis.com/acdb/photos/BromideNpcNmlMus15_Remake_7_0.png")</f>
        <v/>
      </c>
      <c r="C297" s="21" t="s">
        <v>187</v>
      </c>
      <c r="D297" s="21" t="s">
        <v>51</v>
      </c>
      <c r="E297" s="21">
        <v>10.0</v>
      </c>
      <c r="F297" s="21" t="s">
        <v>2289</v>
      </c>
      <c r="G297" s="19"/>
      <c r="H297" s="19"/>
      <c r="I297" s="19"/>
    </row>
    <row r="298" ht="56.25" customHeight="1">
      <c r="A298" s="21" t="s">
        <v>2754</v>
      </c>
      <c r="B298" s="19" t="str">
        <f>image("https://storage.googleapis.com/acdb/photos/BromideNpcNmlTig06_Remake_0_0.png")</f>
        <v/>
      </c>
      <c r="C298" s="21" t="s">
        <v>219</v>
      </c>
      <c r="D298" s="21" t="s">
        <v>51</v>
      </c>
      <c r="E298" s="21">
        <v>10.0</v>
      </c>
      <c r="F298" s="21" t="s">
        <v>2289</v>
      </c>
      <c r="G298" s="19"/>
      <c r="H298" s="19"/>
      <c r="I298" s="19"/>
    </row>
    <row r="299" ht="56.25" customHeight="1">
      <c r="A299" s="21" t="s">
        <v>2754</v>
      </c>
      <c r="B299" s="19" t="str">
        <f>image("https://storage.googleapis.com/acdb/photos/BromideNpcNmlTig06_Remake_1_0.png")</f>
        <v/>
      </c>
      <c r="C299" s="21" t="s">
        <v>795</v>
      </c>
      <c r="D299" s="21" t="s">
        <v>51</v>
      </c>
      <c r="E299" s="21">
        <v>10.0</v>
      </c>
      <c r="F299" s="21" t="s">
        <v>2289</v>
      </c>
      <c r="G299" s="19"/>
      <c r="H299" s="19"/>
      <c r="I299" s="19"/>
    </row>
    <row r="300" ht="56.25" customHeight="1">
      <c r="A300" s="21" t="s">
        <v>2754</v>
      </c>
      <c r="B300" s="19" t="str">
        <f>image("https://storage.googleapis.com/acdb/photos/BromideNpcNmlTig06_Remake_2_0.png")</f>
        <v/>
      </c>
      <c r="C300" s="21" t="s">
        <v>954</v>
      </c>
      <c r="D300" s="21" t="s">
        <v>51</v>
      </c>
      <c r="E300" s="21">
        <v>10.0</v>
      </c>
      <c r="F300" s="21" t="s">
        <v>2289</v>
      </c>
      <c r="G300" s="19"/>
      <c r="H300" s="19"/>
      <c r="I300" s="19"/>
    </row>
    <row r="301" ht="56.25" customHeight="1">
      <c r="A301" s="21" t="s">
        <v>2754</v>
      </c>
      <c r="B301" s="19" t="str">
        <f>image("https://storage.googleapis.com/acdb/photos/BromideNpcNmlTig06_Remake_3_0.png")</f>
        <v/>
      </c>
      <c r="C301" s="21" t="s">
        <v>82</v>
      </c>
      <c r="D301" s="21" t="s">
        <v>51</v>
      </c>
      <c r="E301" s="21">
        <v>10.0</v>
      </c>
      <c r="F301" s="21" t="s">
        <v>2289</v>
      </c>
      <c r="G301" s="19"/>
      <c r="H301" s="19"/>
      <c r="I301" s="19"/>
    </row>
    <row r="302" ht="56.25" customHeight="1">
      <c r="A302" s="21" t="s">
        <v>2754</v>
      </c>
      <c r="B302" s="19" t="str">
        <f>image("https://storage.googleapis.com/acdb/photos/BromideNpcNmlTig06_Remake_4_0.png")</f>
        <v/>
      </c>
      <c r="C302" s="21" t="s">
        <v>833</v>
      </c>
      <c r="D302" s="21" t="s">
        <v>51</v>
      </c>
      <c r="E302" s="21">
        <v>10.0</v>
      </c>
      <c r="F302" s="21" t="s">
        <v>2289</v>
      </c>
      <c r="G302" s="19"/>
      <c r="H302" s="19"/>
      <c r="I302" s="19"/>
    </row>
    <row r="303" ht="56.25" customHeight="1">
      <c r="A303" s="21" t="s">
        <v>2754</v>
      </c>
      <c r="B303" s="19" t="str">
        <f>image("https://storage.googleapis.com/acdb/photos/BromideNpcNmlTig06_Remake_5_0.png")</f>
        <v/>
      </c>
      <c r="C303" s="21" t="s">
        <v>258</v>
      </c>
      <c r="D303" s="21" t="s">
        <v>51</v>
      </c>
      <c r="E303" s="21">
        <v>10.0</v>
      </c>
      <c r="F303" s="21" t="s">
        <v>2289</v>
      </c>
      <c r="G303" s="19"/>
      <c r="H303" s="19"/>
      <c r="I303" s="19"/>
    </row>
    <row r="304" ht="56.25" customHeight="1">
      <c r="A304" s="21" t="s">
        <v>2754</v>
      </c>
      <c r="B304" s="19" t="str">
        <f>image("https://storage.googleapis.com/acdb/photos/BromideNpcNmlTig06_Remake_6_0.png")</f>
        <v/>
      </c>
      <c r="C304" s="21" t="s">
        <v>182</v>
      </c>
      <c r="D304" s="21" t="s">
        <v>51</v>
      </c>
      <c r="E304" s="21">
        <v>10.0</v>
      </c>
      <c r="F304" s="21" t="s">
        <v>2289</v>
      </c>
      <c r="G304" s="19"/>
      <c r="H304" s="19"/>
      <c r="I304" s="19"/>
    </row>
    <row r="305" ht="56.25" customHeight="1">
      <c r="A305" s="21" t="s">
        <v>2754</v>
      </c>
      <c r="B305" s="19" t="str">
        <f>image("https://storage.googleapis.com/acdb/photos/BromideNpcNmlTig06_Remake_7_0.png")</f>
        <v/>
      </c>
      <c r="C305" s="21" t="s">
        <v>187</v>
      </c>
      <c r="D305" s="21" t="s">
        <v>51</v>
      </c>
      <c r="E305" s="21">
        <v>10.0</v>
      </c>
      <c r="F305" s="21" t="s">
        <v>2289</v>
      </c>
      <c r="G305" s="19"/>
      <c r="H305" s="19"/>
      <c r="I305" s="19"/>
    </row>
    <row r="306" ht="56.25" customHeight="1">
      <c r="A306" s="21" t="s">
        <v>2768</v>
      </c>
      <c r="B306" s="19" t="str">
        <f>image("https://storage.googleapis.com/acdb/photos/BromideNpcNmlHip04_Remake_0_0.png")</f>
        <v/>
      </c>
      <c r="C306" s="21" t="s">
        <v>219</v>
      </c>
      <c r="D306" s="21" t="s">
        <v>51</v>
      </c>
      <c r="E306" s="21">
        <v>10.0</v>
      </c>
      <c r="F306" s="21" t="s">
        <v>2289</v>
      </c>
      <c r="G306" s="19"/>
      <c r="H306" s="19"/>
      <c r="I306" s="19"/>
    </row>
    <row r="307" ht="56.25" customHeight="1">
      <c r="A307" s="21" t="s">
        <v>2768</v>
      </c>
      <c r="B307" s="19" t="str">
        <f>image("https://storage.googleapis.com/acdb/photos/BromideNpcNmlHip04_Remake_1_0.png")</f>
        <v/>
      </c>
      <c r="C307" s="21" t="s">
        <v>795</v>
      </c>
      <c r="D307" s="21" t="s">
        <v>51</v>
      </c>
      <c r="E307" s="21">
        <v>10.0</v>
      </c>
      <c r="F307" s="21" t="s">
        <v>2289</v>
      </c>
      <c r="G307" s="19"/>
      <c r="H307" s="19"/>
      <c r="I307" s="19"/>
    </row>
    <row r="308" ht="56.25" customHeight="1">
      <c r="A308" s="21" t="s">
        <v>2768</v>
      </c>
      <c r="B308" s="19" t="str">
        <f>image("https://storage.googleapis.com/acdb/photos/BromideNpcNmlHip04_Remake_2_0.png")</f>
        <v/>
      </c>
      <c r="C308" s="21" t="s">
        <v>954</v>
      </c>
      <c r="D308" s="21" t="s">
        <v>51</v>
      </c>
      <c r="E308" s="21">
        <v>10.0</v>
      </c>
      <c r="F308" s="21" t="s">
        <v>2289</v>
      </c>
      <c r="G308" s="19"/>
      <c r="H308" s="19"/>
      <c r="I308" s="19"/>
    </row>
    <row r="309" ht="56.25" customHeight="1">
      <c r="A309" s="21" t="s">
        <v>2768</v>
      </c>
      <c r="B309" s="19" t="str">
        <f>image("https://storage.googleapis.com/acdb/photos/BromideNpcNmlHip04_Remake_3_0.png")</f>
        <v/>
      </c>
      <c r="C309" s="21" t="s">
        <v>82</v>
      </c>
      <c r="D309" s="21" t="s">
        <v>51</v>
      </c>
      <c r="E309" s="21">
        <v>10.0</v>
      </c>
      <c r="F309" s="21" t="s">
        <v>2289</v>
      </c>
      <c r="G309" s="19"/>
      <c r="H309" s="19"/>
      <c r="I309" s="19"/>
    </row>
    <row r="310" ht="56.25" customHeight="1">
      <c r="A310" s="21" t="s">
        <v>2768</v>
      </c>
      <c r="B310" s="19" t="str">
        <f>image("https://storage.googleapis.com/acdb/photos/BromideNpcNmlHip04_Remake_4_0.png")</f>
        <v/>
      </c>
      <c r="C310" s="21" t="s">
        <v>833</v>
      </c>
      <c r="D310" s="21" t="s">
        <v>51</v>
      </c>
      <c r="E310" s="21">
        <v>10.0</v>
      </c>
      <c r="F310" s="21" t="s">
        <v>2289</v>
      </c>
      <c r="G310" s="19"/>
      <c r="H310" s="19"/>
      <c r="I310" s="19"/>
    </row>
    <row r="311" ht="56.25" customHeight="1">
      <c r="A311" s="21" t="s">
        <v>2768</v>
      </c>
      <c r="B311" s="19" t="str">
        <f>image("https://storage.googleapis.com/acdb/photos/BromideNpcNmlHip04_Remake_5_0.png")</f>
        <v/>
      </c>
      <c r="C311" s="21" t="s">
        <v>258</v>
      </c>
      <c r="D311" s="21" t="s">
        <v>51</v>
      </c>
      <c r="E311" s="21">
        <v>10.0</v>
      </c>
      <c r="F311" s="21" t="s">
        <v>2289</v>
      </c>
      <c r="G311" s="19"/>
      <c r="H311" s="19"/>
      <c r="I311" s="19"/>
    </row>
    <row r="312" ht="56.25" customHeight="1">
      <c r="A312" s="21" t="s">
        <v>2768</v>
      </c>
      <c r="B312" s="19" t="str">
        <f>image("https://storage.googleapis.com/acdb/photos/BromideNpcNmlHip04_Remake_6_0.png")</f>
        <v/>
      </c>
      <c r="C312" s="21" t="s">
        <v>182</v>
      </c>
      <c r="D312" s="21" t="s">
        <v>51</v>
      </c>
      <c r="E312" s="21">
        <v>10.0</v>
      </c>
      <c r="F312" s="21" t="s">
        <v>2289</v>
      </c>
      <c r="G312" s="19"/>
      <c r="H312" s="19"/>
      <c r="I312" s="19"/>
    </row>
    <row r="313" ht="56.25" customHeight="1">
      <c r="A313" s="21" t="s">
        <v>2768</v>
      </c>
      <c r="B313" s="19" t="str">
        <f>image("https://storage.googleapis.com/acdb/photos/BromideNpcNmlHip04_Remake_7_0.png")</f>
        <v/>
      </c>
      <c r="C313" s="21" t="s">
        <v>187</v>
      </c>
      <c r="D313" s="21" t="s">
        <v>51</v>
      </c>
      <c r="E313" s="21">
        <v>10.0</v>
      </c>
      <c r="F313" s="21" t="s">
        <v>2289</v>
      </c>
      <c r="G313" s="19"/>
      <c r="H313" s="19"/>
      <c r="I313" s="19"/>
    </row>
    <row r="314" ht="56.25" customHeight="1">
      <c r="A314" s="21" t="s">
        <v>2777</v>
      </c>
      <c r="B314" s="19" t="str">
        <f>image("https://storage.googleapis.com/acdb/photos/BromideNpcNmlElp02_Remake_0_0.png")</f>
        <v/>
      </c>
      <c r="C314" s="21" t="s">
        <v>219</v>
      </c>
      <c r="D314" s="21" t="s">
        <v>51</v>
      </c>
      <c r="E314" s="21">
        <v>10.0</v>
      </c>
      <c r="F314" s="21" t="s">
        <v>2289</v>
      </c>
      <c r="G314" s="19"/>
      <c r="H314" s="19"/>
      <c r="I314" s="19"/>
    </row>
    <row r="315" ht="56.25" customHeight="1">
      <c r="A315" s="21" t="s">
        <v>2777</v>
      </c>
      <c r="B315" s="19" t="str">
        <f>image("https://storage.googleapis.com/acdb/photos/BromideNpcNmlElp02_Remake_1_0.png")</f>
        <v/>
      </c>
      <c r="C315" s="21" t="s">
        <v>795</v>
      </c>
      <c r="D315" s="21" t="s">
        <v>51</v>
      </c>
      <c r="E315" s="21">
        <v>10.0</v>
      </c>
      <c r="F315" s="21" t="s">
        <v>2289</v>
      </c>
      <c r="G315" s="19"/>
      <c r="H315" s="19"/>
      <c r="I315" s="19"/>
    </row>
    <row r="316" ht="56.25" customHeight="1">
      <c r="A316" s="21" t="s">
        <v>2777</v>
      </c>
      <c r="B316" s="19" t="str">
        <f>image("https://storage.googleapis.com/acdb/photos/BromideNpcNmlElp02_Remake_2_0.png")</f>
        <v/>
      </c>
      <c r="C316" s="21" t="s">
        <v>954</v>
      </c>
      <c r="D316" s="21" t="s">
        <v>51</v>
      </c>
      <c r="E316" s="21">
        <v>10.0</v>
      </c>
      <c r="F316" s="21" t="s">
        <v>2289</v>
      </c>
      <c r="G316" s="19"/>
      <c r="H316" s="19"/>
      <c r="I316" s="19"/>
    </row>
    <row r="317" ht="56.25" customHeight="1">
      <c r="A317" s="21" t="s">
        <v>2777</v>
      </c>
      <c r="B317" s="19" t="str">
        <f>image("https://storage.googleapis.com/acdb/photos/BromideNpcNmlElp02_Remake_3_0.png")</f>
        <v/>
      </c>
      <c r="C317" s="21" t="s">
        <v>82</v>
      </c>
      <c r="D317" s="21" t="s">
        <v>51</v>
      </c>
      <c r="E317" s="21">
        <v>10.0</v>
      </c>
      <c r="F317" s="21" t="s">
        <v>2289</v>
      </c>
      <c r="G317" s="19"/>
      <c r="H317" s="19"/>
      <c r="I317" s="19"/>
    </row>
    <row r="318" ht="56.25" customHeight="1">
      <c r="A318" s="21" t="s">
        <v>2777</v>
      </c>
      <c r="B318" s="19" t="str">
        <f>image("https://storage.googleapis.com/acdb/photos/BromideNpcNmlElp02_Remake_4_0.png")</f>
        <v/>
      </c>
      <c r="C318" s="21" t="s">
        <v>833</v>
      </c>
      <c r="D318" s="21" t="s">
        <v>51</v>
      </c>
      <c r="E318" s="21">
        <v>10.0</v>
      </c>
      <c r="F318" s="21" t="s">
        <v>2289</v>
      </c>
      <c r="G318" s="19"/>
      <c r="H318" s="19"/>
      <c r="I318" s="19"/>
    </row>
    <row r="319" ht="56.25" customHeight="1">
      <c r="A319" s="21" t="s">
        <v>2777</v>
      </c>
      <c r="B319" s="19" t="str">
        <f>image("https://storage.googleapis.com/acdb/photos/BromideNpcNmlElp02_Remake_5_0.png")</f>
        <v/>
      </c>
      <c r="C319" s="21" t="s">
        <v>258</v>
      </c>
      <c r="D319" s="21" t="s">
        <v>51</v>
      </c>
      <c r="E319" s="21">
        <v>10.0</v>
      </c>
      <c r="F319" s="21" t="s">
        <v>2289</v>
      </c>
      <c r="G319" s="19"/>
      <c r="H319" s="19"/>
      <c r="I319" s="19"/>
    </row>
    <row r="320" ht="56.25" customHeight="1">
      <c r="A320" s="21" t="s">
        <v>2777</v>
      </c>
      <c r="B320" s="19" t="str">
        <f>image("https://storage.googleapis.com/acdb/photos/BromideNpcNmlElp02_Remake_6_0.png")</f>
        <v/>
      </c>
      <c r="C320" s="21" t="s">
        <v>182</v>
      </c>
      <c r="D320" s="21" t="s">
        <v>51</v>
      </c>
      <c r="E320" s="21">
        <v>10.0</v>
      </c>
      <c r="F320" s="21" t="s">
        <v>2289</v>
      </c>
      <c r="G320" s="19"/>
      <c r="H320" s="19"/>
      <c r="I320" s="19"/>
    </row>
    <row r="321" ht="56.25" customHeight="1">
      <c r="A321" s="21" t="s">
        <v>2777</v>
      </c>
      <c r="B321" s="19" t="str">
        <f>image("https://storage.googleapis.com/acdb/photos/BromideNpcNmlElp02_Remake_7_0.png")</f>
        <v/>
      </c>
      <c r="C321" s="21" t="s">
        <v>187</v>
      </c>
      <c r="D321" s="21" t="s">
        <v>51</v>
      </c>
      <c r="E321" s="21">
        <v>10.0</v>
      </c>
      <c r="F321" s="21" t="s">
        <v>2289</v>
      </c>
      <c r="G321" s="19"/>
      <c r="H321" s="19"/>
      <c r="I321" s="19"/>
    </row>
    <row r="322" ht="56.25" customHeight="1">
      <c r="A322" s="21" t="s">
        <v>2787</v>
      </c>
      <c r="B322" s="19" t="str">
        <f>image("https://storage.googleapis.com/acdb/photos/BromideNpcNmlDuk00_Remake_0_0.png")</f>
        <v/>
      </c>
      <c r="C322" s="21" t="s">
        <v>219</v>
      </c>
      <c r="D322" s="21" t="s">
        <v>51</v>
      </c>
      <c r="E322" s="21">
        <v>10.0</v>
      </c>
      <c r="F322" s="21" t="s">
        <v>2289</v>
      </c>
      <c r="G322" s="19"/>
      <c r="H322" s="19"/>
      <c r="I322" s="19"/>
    </row>
    <row r="323" ht="56.25" customHeight="1">
      <c r="A323" s="21" t="s">
        <v>2787</v>
      </c>
      <c r="B323" s="19" t="str">
        <f>image("https://storage.googleapis.com/acdb/photos/BromideNpcNmlDuk00_Remake_1_0.png")</f>
        <v/>
      </c>
      <c r="C323" s="21" t="s">
        <v>795</v>
      </c>
      <c r="D323" s="21" t="s">
        <v>51</v>
      </c>
      <c r="E323" s="21">
        <v>10.0</v>
      </c>
      <c r="F323" s="21" t="s">
        <v>2289</v>
      </c>
      <c r="G323" s="19"/>
      <c r="H323" s="19"/>
      <c r="I323" s="19"/>
    </row>
    <row r="324" ht="56.25" customHeight="1">
      <c r="A324" s="21" t="s">
        <v>2787</v>
      </c>
      <c r="B324" s="19" t="str">
        <f>image("https://storage.googleapis.com/acdb/photos/BromideNpcNmlDuk00_Remake_2_0.png")</f>
        <v/>
      </c>
      <c r="C324" s="21" t="s">
        <v>954</v>
      </c>
      <c r="D324" s="21" t="s">
        <v>51</v>
      </c>
      <c r="E324" s="21">
        <v>10.0</v>
      </c>
      <c r="F324" s="21" t="s">
        <v>2289</v>
      </c>
      <c r="G324" s="19"/>
      <c r="H324" s="19"/>
      <c r="I324" s="19"/>
    </row>
    <row r="325" ht="56.25" customHeight="1">
      <c r="A325" s="21" t="s">
        <v>2787</v>
      </c>
      <c r="B325" s="19" t="str">
        <f>image("https://storage.googleapis.com/acdb/photos/BromideNpcNmlDuk00_Remake_3_0.png")</f>
        <v/>
      </c>
      <c r="C325" s="21" t="s">
        <v>82</v>
      </c>
      <c r="D325" s="21" t="s">
        <v>51</v>
      </c>
      <c r="E325" s="21">
        <v>10.0</v>
      </c>
      <c r="F325" s="21" t="s">
        <v>2289</v>
      </c>
      <c r="G325" s="19"/>
      <c r="H325" s="19"/>
      <c r="I325" s="19"/>
    </row>
    <row r="326" ht="56.25" customHeight="1">
      <c r="A326" s="21" t="s">
        <v>2787</v>
      </c>
      <c r="B326" s="19" t="str">
        <f>image("https://storage.googleapis.com/acdb/photos/BromideNpcNmlDuk00_Remake_4_0.png")</f>
        <v/>
      </c>
      <c r="C326" s="21" t="s">
        <v>833</v>
      </c>
      <c r="D326" s="21" t="s">
        <v>51</v>
      </c>
      <c r="E326" s="21">
        <v>10.0</v>
      </c>
      <c r="F326" s="21" t="s">
        <v>2289</v>
      </c>
      <c r="G326" s="19"/>
      <c r="H326" s="19"/>
      <c r="I326" s="19"/>
    </row>
    <row r="327" ht="56.25" customHeight="1">
      <c r="A327" s="21" t="s">
        <v>2787</v>
      </c>
      <c r="B327" s="19" t="str">
        <f>image("https://storage.googleapis.com/acdb/photos/BromideNpcNmlDuk00_Remake_5_0.png")</f>
        <v/>
      </c>
      <c r="C327" s="21" t="s">
        <v>258</v>
      </c>
      <c r="D327" s="21" t="s">
        <v>51</v>
      </c>
      <c r="E327" s="21">
        <v>10.0</v>
      </c>
      <c r="F327" s="21" t="s">
        <v>2289</v>
      </c>
      <c r="G327" s="19"/>
      <c r="H327" s="19"/>
      <c r="I327" s="19"/>
    </row>
    <row r="328" ht="56.25" customHeight="1">
      <c r="A328" s="21" t="s">
        <v>2787</v>
      </c>
      <c r="B328" s="19" t="str">
        <f>image("https://storage.googleapis.com/acdb/photos/BromideNpcNmlDuk00_Remake_6_0.png")</f>
        <v/>
      </c>
      <c r="C328" s="21" t="s">
        <v>182</v>
      </c>
      <c r="D328" s="21" t="s">
        <v>51</v>
      </c>
      <c r="E328" s="21">
        <v>10.0</v>
      </c>
      <c r="F328" s="21" t="s">
        <v>2289</v>
      </c>
      <c r="G328" s="19"/>
      <c r="H328" s="19"/>
      <c r="I328" s="19"/>
    </row>
    <row r="329" ht="56.25" customHeight="1">
      <c r="A329" s="21" t="s">
        <v>2787</v>
      </c>
      <c r="B329" s="19" t="str">
        <f>image("https://storage.googleapis.com/acdb/photos/BromideNpcNmlDuk00_Remake_7_0.png")</f>
        <v/>
      </c>
      <c r="C329" s="21" t="s">
        <v>187</v>
      </c>
      <c r="D329" s="21" t="s">
        <v>51</v>
      </c>
      <c r="E329" s="21">
        <v>10.0</v>
      </c>
      <c r="F329" s="21" t="s">
        <v>2289</v>
      </c>
      <c r="G329" s="19"/>
      <c r="H329" s="19"/>
      <c r="I329" s="19"/>
    </row>
    <row r="330" ht="56.25" customHeight="1">
      <c r="A330" s="21" t="s">
        <v>2805</v>
      </c>
      <c r="B330" s="19" t="str">
        <f>image("https://storage.googleapis.com/acdb/photos/BromideNpcNmlGoa02_Remake_0_0.png")</f>
        <v/>
      </c>
      <c r="C330" s="21" t="s">
        <v>219</v>
      </c>
      <c r="D330" s="21" t="s">
        <v>51</v>
      </c>
      <c r="E330" s="21">
        <v>10.0</v>
      </c>
      <c r="F330" s="21" t="s">
        <v>2289</v>
      </c>
      <c r="G330" s="19"/>
      <c r="H330" s="19"/>
      <c r="I330" s="19"/>
    </row>
    <row r="331" ht="56.25" customHeight="1">
      <c r="A331" s="21" t="s">
        <v>2805</v>
      </c>
      <c r="B331" s="19" t="str">
        <f>image("https://storage.googleapis.com/acdb/photos/BromideNpcNmlGoa02_Remake_1_0.png")</f>
        <v/>
      </c>
      <c r="C331" s="21" t="s">
        <v>795</v>
      </c>
      <c r="D331" s="21" t="s">
        <v>51</v>
      </c>
      <c r="E331" s="21">
        <v>10.0</v>
      </c>
      <c r="F331" s="21" t="s">
        <v>2289</v>
      </c>
      <c r="G331" s="19"/>
      <c r="H331" s="19"/>
      <c r="I331" s="19"/>
    </row>
    <row r="332" ht="56.25" customHeight="1">
      <c r="A332" s="21" t="s">
        <v>2805</v>
      </c>
      <c r="B332" s="19" t="str">
        <f>image("https://storage.googleapis.com/acdb/photos/BromideNpcNmlGoa02_Remake_2_0.png")</f>
        <v/>
      </c>
      <c r="C332" s="21" t="s">
        <v>954</v>
      </c>
      <c r="D332" s="21" t="s">
        <v>51</v>
      </c>
      <c r="E332" s="21">
        <v>10.0</v>
      </c>
      <c r="F332" s="21" t="s">
        <v>2289</v>
      </c>
      <c r="G332" s="19"/>
      <c r="H332" s="19"/>
      <c r="I332" s="19"/>
    </row>
    <row r="333" ht="56.25" customHeight="1">
      <c r="A333" s="21" t="s">
        <v>2805</v>
      </c>
      <c r="B333" s="19" t="str">
        <f>image("https://storage.googleapis.com/acdb/photos/BromideNpcNmlGoa02_Remake_3_0.png")</f>
        <v/>
      </c>
      <c r="C333" s="21" t="s">
        <v>82</v>
      </c>
      <c r="D333" s="21" t="s">
        <v>51</v>
      </c>
      <c r="E333" s="21">
        <v>10.0</v>
      </c>
      <c r="F333" s="21" t="s">
        <v>2289</v>
      </c>
      <c r="G333" s="19"/>
      <c r="H333" s="19"/>
      <c r="I333" s="19"/>
    </row>
    <row r="334" ht="56.25" customHeight="1">
      <c r="A334" s="21" t="s">
        <v>2805</v>
      </c>
      <c r="B334" s="19" t="str">
        <f>image("https://storage.googleapis.com/acdb/photos/BromideNpcNmlGoa02_Remake_4_0.png")</f>
        <v/>
      </c>
      <c r="C334" s="21" t="s">
        <v>833</v>
      </c>
      <c r="D334" s="21" t="s">
        <v>51</v>
      </c>
      <c r="E334" s="21">
        <v>10.0</v>
      </c>
      <c r="F334" s="21" t="s">
        <v>2289</v>
      </c>
      <c r="G334" s="19"/>
      <c r="H334" s="19"/>
      <c r="I334" s="19"/>
    </row>
    <row r="335" ht="56.25" customHeight="1">
      <c r="A335" s="21" t="s">
        <v>2805</v>
      </c>
      <c r="B335" s="19" t="str">
        <f>image("https://storage.googleapis.com/acdb/photos/BromideNpcNmlGoa02_Remake_5_0.png")</f>
        <v/>
      </c>
      <c r="C335" s="21" t="s">
        <v>258</v>
      </c>
      <c r="D335" s="21" t="s">
        <v>51</v>
      </c>
      <c r="E335" s="21">
        <v>10.0</v>
      </c>
      <c r="F335" s="21" t="s">
        <v>2289</v>
      </c>
      <c r="G335" s="19"/>
      <c r="H335" s="19"/>
      <c r="I335" s="19"/>
    </row>
    <row r="336" ht="56.25" customHeight="1">
      <c r="A336" s="21" t="s">
        <v>2805</v>
      </c>
      <c r="B336" s="19" t="str">
        <f>image("https://storage.googleapis.com/acdb/photos/BromideNpcNmlGoa02_Remake_6_0.png")</f>
        <v/>
      </c>
      <c r="C336" s="21" t="s">
        <v>182</v>
      </c>
      <c r="D336" s="21" t="s">
        <v>51</v>
      </c>
      <c r="E336" s="21">
        <v>10.0</v>
      </c>
      <c r="F336" s="21" t="s">
        <v>2289</v>
      </c>
      <c r="G336" s="19"/>
      <c r="H336" s="19"/>
      <c r="I336" s="19"/>
    </row>
    <row r="337" ht="56.25" customHeight="1">
      <c r="A337" s="21" t="s">
        <v>2805</v>
      </c>
      <c r="B337" s="19" t="str">
        <f>image("https://storage.googleapis.com/acdb/photos/BromideNpcNmlGoa02_Remake_7_0.png")</f>
        <v/>
      </c>
      <c r="C337" s="21" t="s">
        <v>187</v>
      </c>
      <c r="D337" s="21" t="s">
        <v>51</v>
      </c>
      <c r="E337" s="21">
        <v>10.0</v>
      </c>
      <c r="F337" s="21" t="s">
        <v>2289</v>
      </c>
      <c r="G337" s="19"/>
      <c r="H337" s="19"/>
      <c r="I337" s="19"/>
    </row>
    <row r="338" ht="56.25" customHeight="1">
      <c r="A338" s="21" t="s">
        <v>2820</v>
      </c>
      <c r="B338" s="19" t="str">
        <f>image("https://storage.googleapis.com/acdb/photos/BromideNpcNmlDog03_Remake_0_0.png")</f>
        <v/>
      </c>
      <c r="C338" s="21" t="s">
        <v>219</v>
      </c>
      <c r="D338" s="21" t="s">
        <v>51</v>
      </c>
      <c r="E338" s="21">
        <v>10.0</v>
      </c>
      <c r="F338" s="21" t="s">
        <v>2289</v>
      </c>
      <c r="G338" s="19"/>
      <c r="H338" s="19"/>
      <c r="I338" s="19"/>
    </row>
    <row r="339" ht="56.25" customHeight="1">
      <c r="A339" s="21" t="s">
        <v>2820</v>
      </c>
      <c r="B339" s="19" t="str">
        <f>image("https://storage.googleapis.com/acdb/photos/BromideNpcNmlDog03_Remake_1_0.png")</f>
        <v/>
      </c>
      <c r="C339" s="21" t="s">
        <v>795</v>
      </c>
      <c r="D339" s="21" t="s">
        <v>51</v>
      </c>
      <c r="E339" s="21">
        <v>10.0</v>
      </c>
      <c r="F339" s="21" t="s">
        <v>2289</v>
      </c>
      <c r="G339" s="19"/>
      <c r="H339" s="19"/>
      <c r="I339" s="19"/>
    </row>
    <row r="340" ht="56.25" customHeight="1">
      <c r="A340" s="21" t="s">
        <v>2820</v>
      </c>
      <c r="B340" s="19" t="str">
        <f>image("https://storage.googleapis.com/acdb/photos/BromideNpcNmlDog03_Remake_2_0.png")</f>
        <v/>
      </c>
      <c r="C340" s="21" t="s">
        <v>954</v>
      </c>
      <c r="D340" s="21" t="s">
        <v>51</v>
      </c>
      <c r="E340" s="21">
        <v>10.0</v>
      </c>
      <c r="F340" s="21" t="s">
        <v>2289</v>
      </c>
      <c r="G340" s="19"/>
      <c r="H340" s="19"/>
      <c r="I340" s="19"/>
    </row>
    <row r="341" ht="56.25" customHeight="1">
      <c r="A341" s="21" t="s">
        <v>2820</v>
      </c>
      <c r="B341" s="19" t="str">
        <f>image("https://storage.googleapis.com/acdb/photos/BromideNpcNmlDog03_Remake_3_0.png")</f>
        <v/>
      </c>
      <c r="C341" s="21" t="s">
        <v>82</v>
      </c>
      <c r="D341" s="21" t="s">
        <v>51</v>
      </c>
      <c r="E341" s="21">
        <v>10.0</v>
      </c>
      <c r="F341" s="21" t="s">
        <v>2289</v>
      </c>
      <c r="G341" s="19"/>
      <c r="H341" s="19"/>
      <c r="I341" s="19"/>
    </row>
    <row r="342" ht="56.25" customHeight="1">
      <c r="A342" s="21" t="s">
        <v>2820</v>
      </c>
      <c r="B342" s="19" t="str">
        <f>image("https://storage.googleapis.com/acdb/photos/BromideNpcNmlDog03_Remake_4_0.png")</f>
        <v/>
      </c>
      <c r="C342" s="21" t="s">
        <v>833</v>
      </c>
      <c r="D342" s="21" t="s">
        <v>51</v>
      </c>
      <c r="E342" s="21">
        <v>10.0</v>
      </c>
      <c r="F342" s="21" t="s">
        <v>2289</v>
      </c>
      <c r="G342" s="19"/>
      <c r="H342" s="19"/>
      <c r="I342" s="19"/>
    </row>
    <row r="343" ht="56.25" customHeight="1">
      <c r="A343" s="21" t="s">
        <v>2820</v>
      </c>
      <c r="B343" s="19" t="str">
        <f>image("https://storage.googleapis.com/acdb/photos/BromideNpcNmlDog03_Remake_5_0.png")</f>
        <v/>
      </c>
      <c r="C343" s="21" t="s">
        <v>258</v>
      </c>
      <c r="D343" s="21" t="s">
        <v>51</v>
      </c>
      <c r="E343" s="21">
        <v>10.0</v>
      </c>
      <c r="F343" s="21" t="s">
        <v>2289</v>
      </c>
      <c r="G343" s="19"/>
      <c r="H343" s="19"/>
      <c r="I343" s="19"/>
    </row>
    <row r="344" ht="56.25" customHeight="1">
      <c r="A344" s="21" t="s">
        <v>2820</v>
      </c>
      <c r="B344" s="19" t="str">
        <f>image("https://storage.googleapis.com/acdb/photos/BromideNpcNmlDog03_Remake_6_0.png")</f>
        <v/>
      </c>
      <c r="C344" s="21" t="s">
        <v>182</v>
      </c>
      <c r="D344" s="21" t="s">
        <v>51</v>
      </c>
      <c r="E344" s="21">
        <v>10.0</v>
      </c>
      <c r="F344" s="21" t="s">
        <v>2289</v>
      </c>
      <c r="G344" s="19"/>
      <c r="H344" s="19"/>
      <c r="I344" s="19"/>
    </row>
    <row r="345" ht="56.25" customHeight="1">
      <c r="A345" s="21" t="s">
        <v>2820</v>
      </c>
      <c r="B345" s="19" t="str">
        <f>image("https://storage.googleapis.com/acdb/photos/BromideNpcNmlDog03_Remake_7_0.png")</f>
        <v/>
      </c>
      <c r="C345" s="21" t="s">
        <v>187</v>
      </c>
      <c r="D345" s="21" t="s">
        <v>51</v>
      </c>
      <c r="E345" s="21">
        <v>10.0</v>
      </c>
      <c r="F345" s="21" t="s">
        <v>2289</v>
      </c>
      <c r="G345" s="19"/>
      <c r="H345" s="19"/>
      <c r="I345" s="19"/>
    </row>
    <row r="346" ht="56.25" customHeight="1">
      <c r="A346" s="21" t="s">
        <v>2835</v>
      </c>
      <c r="B346" s="19" t="str">
        <f>image("https://storage.googleapis.com/acdb/photos/BromideNpcNmlHip05_Remake_0_0.png")</f>
        <v/>
      </c>
      <c r="C346" s="21" t="s">
        <v>219</v>
      </c>
      <c r="D346" s="21" t="s">
        <v>51</v>
      </c>
      <c r="E346" s="21">
        <v>10.0</v>
      </c>
      <c r="F346" s="21" t="s">
        <v>2289</v>
      </c>
      <c r="G346" s="19"/>
      <c r="H346" s="19"/>
      <c r="I346" s="19"/>
    </row>
    <row r="347" ht="56.25" customHeight="1">
      <c r="A347" s="21" t="s">
        <v>2835</v>
      </c>
      <c r="B347" s="19" t="str">
        <f>image("https://storage.googleapis.com/acdb/photos/BromideNpcNmlHip05_Remake_1_0.png")</f>
        <v/>
      </c>
      <c r="C347" s="21" t="s">
        <v>795</v>
      </c>
      <c r="D347" s="21" t="s">
        <v>51</v>
      </c>
      <c r="E347" s="21">
        <v>10.0</v>
      </c>
      <c r="F347" s="21" t="s">
        <v>2289</v>
      </c>
      <c r="G347" s="19"/>
      <c r="H347" s="19"/>
      <c r="I347" s="19"/>
    </row>
    <row r="348" ht="56.25" customHeight="1">
      <c r="A348" s="21" t="s">
        <v>2835</v>
      </c>
      <c r="B348" s="19" t="str">
        <f>image("https://storage.googleapis.com/acdb/photos/BromideNpcNmlHip05_Remake_2_0.png")</f>
        <v/>
      </c>
      <c r="C348" s="21" t="s">
        <v>954</v>
      </c>
      <c r="D348" s="21" t="s">
        <v>51</v>
      </c>
      <c r="E348" s="21">
        <v>10.0</v>
      </c>
      <c r="F348" s="21" t="s">
        <v>2289</v>
      </c>
      <c r="G348" s="19"/>
      <c r="H348" s="19"/>
      <c r="I348" s="19"/>
    </row>
    <row r="349" ht="56.25" customHeight="1">
      <c r="A349" s="21" t="s">
        <v>2835</v>
      </c>
      <c r="B349" s="19" t="str">
        <f>image("https://storage.googleapis.com/acdb/photos/BromideNpcNmlHip05_Remake_3_0.png")</f>
        <v/>
      </c>
      <c r="C349" s="21" t="s">
        <v>82</v>
      </c>
      <c r="D349" s="21" t="s">
        <v>51</v>
      </c>
      <c r="E349" s="21">
        <v>10.0</v>
      </c>
      <c r="F349" s="21" t="s">
        <v>2289</v>
      </c>
      <c r="G349" s="19"/>
      <c r="H349" s="19"/>
      <c r="I349" s="19"/>
    </row>
    <row r="350" ht="56.25" customHeight="1">
      <c r="A350" s="21" t="s">
        <v>2835</v>
      </c>
      <c r="B350" s="19" t="str">
        <f>image("https://storage.googleapis.com/acdb/photos/BromideNpcNmlHip05_Remake_4_0.png")</f>
        <v/>
      </c>
      <c r="C350" s="21" t="s">
        <v>833</v>
      </c>
      <c r="D350" s="21" t="s">
        <v>51</v>
      </c>
      <c r="E350" s="21">
        <v>10.0</v>
      </c>
      <c r="F350" s="21" t="s">
        <v>2289</v>
      </c>
      <c r="G350" s="19"/>
      <c r="H350" s="19"/>
      <c r="I350" s="19"/>
    </row>
    <row r="351" ht="56.25" customHeight="1">
      <c r="A351" s="21" t="s">
        <v>2835</v>
      </c>
      <c r="B351" s="19" t="str">
        <f>image("https://storage.googleapis.com/acdb/photos/BromideNpcNmlHip05_Remake_5_0.png")</f>
        <v/>
      </c>
      <c r="C351" s="21" t="s">
        <v>258</v>
      </c>
      <c r="D351" s="21" t="s">
        <v>51</v>
      </c>
      <c r="E351" s="21">
        <v>10.0</v>
      </c>
      <c r="F351" s="21" t="s">
        <v>2289</v>
      </c>
      <c r="G351" s="19"/>
      <c r="H351" s="19"/>
      <c r="I351" s="19"/>
    </row>
    <row r="352" ht="56.25" customHeight="1">
      <c r="A352" s="21" t="s">
        <v>2835</v>
      </c>
      <c r="B352" s="19" t="str">
        <f>image("https://storage.googleapis.com/acdb/photos/BromideNpcNmlHip05_Remake_6_0.png")</f>
        <v/>
      </c>
      <c r="C352" s="21" t="s">
        <v>182</v>
      </c>
      <c r="D352" s="21" t="s">
        <v>51</v>
      </c>
      <c r="E352" s="21">
        <v>10.0</v>
      </c>
      <c r="F352" s="21" t="s">
        <v>2289</v>
      </c>
      <c r="G352" s="19"/>
      <c r="H352" s="19"/>
      <c r="I352" s="19"/>
    </row>
    <row r="353" ht="56.25" customHeight="1">
      <c r="A353" s="21" t="s">
        <v>2835</v>
      </c>
      <c r="B353" s="19" t="str">
        <f>image("https://storage.googleapis.com/acdb/photos/BromideNpcNmlHip05_Remake_7_0.png")</f>
        <v/>
      </c>
      <c r="C353" s="21" t="s">
        <v>187</v>
      </c>
      <c r="D353" s="21" t="s">
        <v>51</v>
      </c>
      <c r="E353" s="21">
        <v>10.0</v>
      </c>
      <c r="F353" s="21" t="s">
        <v>2289</v>
      </c>
      <c r="G353" s="19"/>
      <c r="H353" s="19"/>
      <c r="I353" s="19"/>
    </row>
    <row r="354" ht="56.25" customHeight="1">
      <c r="A354" s="21" t="s">
        <v>2852</v>
      </c>
      <c r="B354" s="19" t="str">
        <f>image("https://storage.googleapis.com/acdb/photos/BromideNpcNmlSqu01_Remake_0_0.png")</f>
        <v/>
      </c>
      <c r="C354" s="21" t="s">
        <v>219</v>
      </c>
      <c r="D354" s="21" t="s">
        <v>51</v>
      </c>
      <c r="E354" s="21">
        <v>10.0</v>
      </c>
      <c r="F354" s="21" t="s">
        <v>2289</v>
      </c>
      <c r="G354" s="19"/>
      <c r="H354" s="19"/>
      <c r="I354" s="19"/>
    </row>
    <row r="355" ht="56.25" customHeight="1">
      <c r="A355" s="21" t="s">
        <v>2852</v>
      </c>
      <c r="B355" s="19" t="str">
        <f>image("https://storage.googleapis.com/acdb/photos/BromideNpcNmlSqu01_Remake_1_0.png")</f>
        <v/>
      </c>
      <c r="C355" s="21" t="s">
        <v>795</v>
      </c>
      <c r="D355" s="21" t="s">
        <v>51</v>
      </c>
      <c r="E355" s="21">
        <v>10.0</v>
      </c>
      <c r="F355" s="21" t="s">
        <v>2289</v>
      </c>
      <c r="G355" s="19"/>
      <c r="H355" s="19"/>
      <c r="I355" s="19"/>
    </row>
    <row r="356" ht="56.25" customHeight="1">
      <c r="A356" s="21" t="s">
        <v>2852</v>
      </c>
      <c r="B356" s="19" t="str">
        <f>image("https://storage.googleapis.com/acdb/photos/BromideNpcNmlSqu01_Remake_2_0.png")</f>
        <v/>
      </c>
      <c r="C356" s="21" t="s">
        <v>954</v>
      </c>
      <c r="D356" s="21" t="s">
        <v>51</v>
      </c>
      <c r="E356" s="21">
        <v>10.0</v>
      </c>
      <c r="F356" s="21" t="s">
        <v>2289</v>
      </c>
      <c r="G356" s="19"/>
      <c r="H356" s="19"/>
      <c r="I356" s="19"/>
    </row>
    <row r="357" ht="56.25" customHeight="1">
      <c r="A357" s="21" t="s">
        <v>2852</v>
      </c>
      <c r="B357" s="19" t="str">
        <f>image("https://storage.googleapis.com/acdb/photos/BromideNpcNmlSqu01_Remake_3_0.png")</f>
        <v/>
      </c>
      <c r="C357" s="21" t="s">
        <v>82</v>
      </c>
      <c r="D357" s="21" t="s">
        <v>51</v>
      </c>
      <c r="E357" s="21">
        <v>10.0</v>
      </c>
      <c r="F357" s="21" t="s">
        <v>2289</v>
      </c>
      <c r="G357" s="19"/>
      <c r="H357" s="19"/>
      <c r="I357" s="19"/>
    </row>
    <row r="358" ht="56.25" customHeight="1">
      <c r="A358" s="21" t="s">
        <v>2852</v>
      </c>
      <c r="B358" s="19" t="str">
        <f>image("https://storage.googleapis.com/acdb/photos/BromideNpcNmlSqu01_Remake_4_0.png")</f>
        <v/>
      </c>
      <c r="C358" s="21" t="s">
        <v>833</v>
      </c>
      <c r="D358" s="21" t="s">
        <v>51</v>
      </c>
      <c r="E358" s="21">
        <v>10.0</v>
      </c>
      <c r="F358" s="21" t="s">
        <v>2289</v>
      </c>
      <c r="G358" s="19"/>
      <c r="H358" s="19"/>
      <c r="I358" s="19"/>
    </row>
    <row r="359" ht="56.25" customHeight="1">
      <c r="A359" s="21" t="s">
        <v>2852</v>
      </c>
      <c r="B359" s="19" t="str">
        <f>image("https://storage.googleapis.com/acdb/photos/BromideNpcNmlSqu01_Remake_5_0.png")</f>
        <v/>
      </c>
      <c r="C359" s="21" t="s">
        <v>258</v>
      </c>
      <c r="D359" s="21" t="s">
        <v>51</v>
      </c>
      <c r="E359" s="21">
        <v>10.0</v>
      </c>
      <c r="F359" s="21" t="s">
        <v>2289</v>
      </c>
      <c r="G359" s="19"/>
      <c r="H359" s="19"/>
      <c r="I359" s="19"/>
    </row>
    <row r="360" ht="56.25" customHeight="1">
      <c r="A360" s="21" t="s">
        <v>2852</v>
      </c>
      <c r="B360" s="19" t="str">
        <f>image("https://storage.googleapis.com/acdb/photos/BromideNpcNmlSqu01_Remake_6_0.png")</f>
        <v/>
      </c>
      <c r="C360" s="21" t="s">
        <v>182</v>
      </c>
      <c r="D360" s="21" t="s">
        <v>51</v>
      </c>
      <c r="E360" s="21">
        <v>10.0</v>
      </c>
      <c r="F360" s="21" t="s">
        <v>2289</v>
      </c>
      <c r="G360" s="19"/>
      <c r="H360" s="19"/>
      <c r="I360" s="19"/>
    </row>
    <row r="361" ht="56.25" customHeight="1">
      <c r="A361" s="21" t="s">
        <v>2852</v>
      </c>
      <c r="B361" s="19" t="str">
        <f>image("https://storage.googleapis.com/acdb/photos/BromideNpcNmlSqu01_Remake_7_0.png")</f>
        <v/>
      </c>
      <c r="C361" s="21" t="s">
        <v>187</v>
      </c>
      <c r="D361" s="21" t="s">
        <v>51</v>
      </c>
      <c r="E361" s="21">
        <v>10.0</v>
      </c>
      <c r="F361" s="21" t="s">
        <v>2289</v>
      </c>
      <c r="G361" s="19"/>
      <c r="H361" s="19"/>
      <c r="I361" s="19"/>
    </row>
    <row r="362" ht="56.25" customHeight="1">
      <c r="A362" s="21" t="s">
        <v>2871</v>
      </c>
      <c r="B362" s="19" t="str">
        <f>image("https://storage.googleapis.com/acdb/photos/BromideNpcNmlOst08_Remake_0_0.png")</f>
        <v/>
      </c>
      <c r="C362" s="21" t="s">
        <v>219</v>
      </c>
      <c r="D362" s="21" t="s">
        <v>51</v>
      </c>
      <c r="E362" s="21">
        <v>10.0</v>
      </c>
      <c r="F362" s="21" t="s">
        <v>2289</v>
      </c>
      <c r="G362" s="19"/>
      <c r="H362" s="19"/>
      <c r="I362" s="19"/>
    </row>
    <row r="363" ht="56.25" customHeight="1">
      <c r="A363" s="21" t="s">
        <v>2871</v>
      </c>
      <c r="B363" s="19" t="str">
        <f>image("https://storage.googleapis.com/acdb/photos/BromideNpcNmlOst08_Remake_1_0.png")</f>
        <v/>
      </c>
      <c r="C363" s="21" t="s">
        <v>795</v>
      </c>
      <c r="D363" s="21" t="s">
        <v>51</v>
      </c>
      <c r="E363" s="21">
        <v>10.0</v>
      </c>
      <c r="F363" s="21" t="s">
        <v>2289</v>
      </c>
      <c r="G363" s="19"/>
      <c r="H363" s="19"/>
      <c r="I363" s="19"/>
    </row>
    <row r="364" ht="56.25" customHeight="1">
      <c r="A364" s="21" t="s">
        <v>2871</v>
      </c>
      <c r="B364" s="19" t="str">
        <f>image("https://storage.googleapis.com/acdb/photos/BromideNpcNmlOst08_Remake_2_0.png")</f>
        <v/>
      </c>
      <c r="C364" s="21" t="s">
        <v>954</v>
      </c>
      <c r="D364" s="21" t="s">
        <v>51</v>
      </c>
      <c r="E364" s="21">
        <v>10.0</v>
      </c>
      <c r="F364" s="21" t="s">
        <v>2289</v>
      </c>
      <c r="G364" s="19"/>
      <c r="H364" s="19"/>
      <c r="I364" s="19"/>
    </row>
    <row r="365" ht="56.25" customHeight="1">
      <c r="A365" s="21" t="s">
        <v>2871</v>
      </c>
      <c r="B365" s="19" t="str">
        <f>image("https://storage.googleapis.com/acdb/photos/BromideNpcNmlOst08_Remake_3_0.png")</f>
        <v/>
      </c>
      <c r="C365" s="21" t="s">
        <v>82</v>
      </c>
      <c r="D365" s="21" t="s">
        <v>51</v>
      </c>
      <c r="E365" s="21">
        <v>10.0</v>
      </c>
      <c r="F365" s="21" t="s">
        <v>2289</v>
      </c>
      <c r="G365" s="19"/>
      <c r="H365" s="19"/>
      <c r="I365" s="19"/>
    </row>
    <row r="366" ht="56.25" customHeight="1">
      <c r="A366" s="21" t="s">
        <v>2871</v>
      </c>
      <c r="B366" s="19" t="str">
        <f>image("https://storage.googleapis.com/acdb/photos/BromideNpcNmlOst08_Remake_4_0.png")</f>
        <v/>
      </c>
      <c r="C366" s="21" t="s">
        <v>833</v>
      </c>
      <c r="D366" s="21" t="s">
        <v>51</v>
      </c>
      <c r="E366" s="21">
        <v>10.0</v>
      </c>
      <c r="F366" s="21" t="s">
        <v>2289</v>
      </c>
      <c r="G366" s="19"/>
      <c r="H366" s="19"/>
      <c r="I366" s="19"/>
    </row>
    <row r="367" ht="56.25" customHeight="1">
      <c r="A367" s="21" t="s">
        <v>2871</v>
      </c>
      <c r="B367" s="19" t="str">
        <f>image("https://storage.googleapis.com/acdb/photos/BromideNpcNmlOst08_Remake_5_0.png")</f>
        <v/>
      </c>
      <c r="C367" s="21" t="s">
        <v>258</v>
      </c>
      <c r="D367" s="21" t="s">
        <v>51</v>
      </c>
      <c r="E367" s="21">
        <v>10.0</v>
      </c>
      <c r="F367" s="21" t="s">
        <v>2289</v>
      </c>
      <c r="G367" s="19"/>
      <c r="H367" s="19"/>
      <c r="I367" s="19"/>
    </row>
    <row r="368" ht="56.25" customHeight="1">
      <c r="A368" s="21" t="s">
        <v>2871</v>
      </c>
      <c r="B368" s="19" t="str">
        <f>image("https://storage.googleapis.com/acdb/photos/BromideNpcNmlOst08_Remake_6_0.png")</f>
        <v/>
      </c>
      <c r="C368" s="21" t="s">
        <v>182</v>
      </c>
      <c r="D368" s="21" t="s">
        <v>51</v>
      </c>
      <c r="E368" s="21">
        <v>10.0</v>
      </c>
      <c r="F368" s="21" t="s">
        <v>2289</v>
      </c>
      <c r="G368" s="19"/>
      <c r="H368" s="19"/>
      <c r="I368" s="19"/>
    </row>
    <row r="369" ht="56.25" customHeight="1">
      <c r="A369" s="21" t="s">
        <v>2871</v>
      </c>
      <c r="B369" s="19" t="str">
        <f>image("https://storage.googleapis.com/acdb/photos/BromideNpcNmlOst08_Remake_7_0.png")</f>
        <v/>
      </c>
      <c r="C369" s="21" t="s">
        <v>187</v>
      </c>
      <c r="D369" s="21" t="s">
        <v>51</v>
      </c>
      <c r="E369" s="21">
        <v>10.0</v>
      </c>
      <c r="F369" s="21" t="s">
        <v>2289</v>
      </c>
      <c r="G369" s="19"/>
      <c r="H369" s="19"/>
      <c r="I369" s="19"/>
    </row>
    <row r="370" ht="56.25" customHeight="1">
      <c r="A370" s="21" t="s">
        <v>2884</v>
      </c>
      <c r="B370" s="19" t="str">
        <f>image("https://storage.googleapis.com/acdb/photos/BromideNpcNmlCbr00_Remake_0_0.png")</f>
        <v/>
      </c>
      <c r="C370" s="21" t="s">
        <v>219</v>
      </c>
      <c r="D370" s="21" t="s">
        <v>51</v>
      </c>
      <c r="E370" s="21">
        <v>10.0</v>
      </c>
      <c r="F370" s="21" t="s">
        <v>2289</v>
      </c>
      <c r="G370" s="19"/>
      <c r="H370" s="19"/>
      <c r="I370" s="19"/>
    </row>
    <row r="371" ht="56.25" customHeight="1">
      <c r="A371" s="21" t="s">
        <v>2884</v>
      </c>
      <c r="B371" s="19" t="str">
        <f>image("https://storage.googleapis.com/acdb/photos/BromideNpcNmlCbr00_Remake_1_0.png")</f>
        <v/>
      </c>
      <c r="C371" s="21" t="s">
        <v>795</v>
      </c>
      <c r="D371" s="21" t="s">
        <v>51</v>
      </c>
      <c r="E371" s="21">
        <v>10.0</v>
      </c>
      <c r="F371" s="21" t="s">
        <v>2289</v>
      </c>
      <c r="G371" s="19"/>
      <c r="H371" s="19"/>
      <c r="I371" s="19"/>
    </row>
    <row r="372" ht="56.25" customHeight="1">
      <c r="A372" s="21" t="s">
        <v>2884</v>
      </c>
      <c r="B372" s="19" t="str">
        <f>image("https://storage.googleapis.com/acdb/photos/BromideNpcNmlCbr00_Remake_2_0.png")</f>
        <v/>
      </c>
      <c r="C372" s="21" t="s">
        <v>954</v>
      </c>
      <c r="D372" s="21" t="s">
        <v>51</v>
      </c>
      <c r="E372" s="21">
        <v>10.0</v>
      </c>
      <c r="F372" s="21" t="s">
        <v>2289</v>
      </c>
      <c r="G372" s="19"/>
      <c r="H372" s="19"/>
      <c r="I372" s="19"/>
    </row>
    <row r="373" ht="56.25" customHeight="1">
      <c r="A373" s="21" t="s">
        <v>2884</v>
      </c>
      <c r="B373" s="19" t="str">
        <f>image("https://storage.googleapis.com/acdb/photos/BromideNpcNmlCbr00_Remake_3_0.png")</f>
        <v/>
      </c>
      <c r="C373" s="21" t="s">
        <v>82</v>
      </c>
      <c r="D373" s="21" t="s">
        <v>51</v>
      </c>
      <c r="E373" s="21">
        <v>10.0</v>
      </c>
      <c r="F373" s="21" t="s">
        <v>2289</v>
      </c>
      <c r="G373" s="19"/>
      <c r="H373" s="19"/>
      <c r="I373" s="19"/>
    </row>
    <row r="374" ht="56.25" customHeight="1">
      <c r="A374" s="21" t="s">
        <v>2884</v>
      </c>
      <c r="B374" s="19" t="str">
        <f>image("https://storage.googleapis.com/acdb/photos/BromideNpcNmlCbr00_Remake_4_0.png")</f>
        <v/>
      </c>
      <c r="C374" s="21" t="s">
        <v>833</v>
      </c>
      <c r="D374" s="21" t="s">
        <v>51</v>
      </c>
      <c r="E374" s="21">
        <v>10.0</v>
      </c>
      <c r="F374" s="21" t="s">
        <v>2289</v>
      </c>
      <c r="G374" s="19"/>
      <c r="H374" s="19"/>
      <c r="I374" s="19"/>
    </row>
    <row r="375" ht="56.25" customHeight="1">
      <c r="A375" s="21" t="s">
        <v>2884</v>
      </c>
      <c r="B375" s="19" t="str">
        <f>image("https://storage.googleapis.com/acdb/photos/BromideNpcNmlCbr00_Remake_5_0.png")</f>
        <v/>
      </c>
      <c r="C375" s="21" t="s">
        <v>258</v>
      </c>
      <c r="D375" s="21" t="s">
        <v>51</v>
      </c>
      <c r="E375" s="21">
        <v>10.0</v>
      </c>
      <c r="F375" s="21" t="s">
        <v>2289</v>
      </c>
      <c r="G375" s="19"/>
      <c r="H375" s="19"/>
      <c r="I375" s="19"/>
    </row>
    <row r="376" ht="56.25" customHeight="1">
      <c r="A376" s="21" t="s">
        <v>2884</v>
      </c>
      <c r="B376" s="19" t="str">
        <f>image("https://storage.googleapis.com/acdb/photos/BromideNpcNmlCbr00_Remake_6_0.png")</f>
        <v/>
      </c>
      <c r="C376" s="21" t="s">
        <v>182</v>
      </c>
      <c r="D376" s="21" t="s">
        <v>51</v>
      </c>
      <c r="E376" s="21">
        <v>10.0</v>
      </c>
      <c r="F376" s="21" t="s">
        <v>2289</v>
      </c>
      <c r="G376" s="19"/>
      <c r="H376" s="19"/>
      <c r="I376" s="19"/>
    </row>
    <row r="377" ht="56.25" customHeight="1">
      <c r="A377" s="21" t="s">
        <v>2884</v>
      </c>
      <c r="B377" s="19" t="str">
        <f>image("https://storage.googleapis.com/acdb/photos/BromideNpcNmlCbr00_Remake_7_0.png")</f>
        <v/>
      </c>
      <c r="C377" s="21" t="s">
        <v>187</v>
      </c>
      <c r="D377" s="21" t="s">
        <v>51</v>
      </c>
      <c r="E377" s="21">
        <v>10.0</v>
      </c>
      <c r="F377" s="21" t="s">
        <v>2289</v>
      </c>
      <c r="G377" s="19"/>
      <c r="H377" s="19"/>
      <c r="I377" s="19"/>
    </row>
    <row r="378" ht="56.25" customHeight="1">
      <c r="A378" s="21" t="s">
        <v>2893</v>
      </c>
      <c r="B378" s="19" t="str">
        <f>image("https://storage.googleapis.com/acdb/photos/BromideNpcNmlCat00_Remake_0_0.png")</f>
        <v/>
      </c>
      <c r="C378" s="21" t="s">
        <v>219</v>
      </c>
      <c r="D378" s="21" t="s">
        <v>51</v>
      </c>
      <c r="E378" s="21">
        <v>10.0</v>
      </c>
      <c r="F378" s="21" t="s">
        <v>2289</v>
      </c>
      <c r="G378" s="19"/>
      <c r="H378" s="19"/>
      <c r="I378" s="19"/>
    </row>
    <row r="379" ht="56.25" customHeight="1">
      <c r="A379" s="21" t="s">
        <v>2893</v>
      </c>
      <c r="B379" s="19" t="str">
        <f>image("https://storage.googleapis.com/acdb/photos/BromideNpcNmlCat00_Remake_1_0.png")</f>
        <v/>
      </c>
      <c r="C379" s="21" t="s">
        <v>795</v>
      </c>
      <c r="D379" s="21" t="s">
        <v>51</v>
      </c>
      <c r="E379" s="21">
        <v>10.0</v>
      </c>
      <c r="F379" s="21" t="s">
        <v>2289</v>
      </c>
      <c r="G379" s="19"/>
      <c r="H379" s="19"/>
      <c r="I379" s="19"/>
    </row>
    <row r="380" ht="56.25" customHeight="1">
      <c r="A380" s="21" t="s">
        <v>2893</v>
      </c>
      <c r="B380" s="19" t="str">
        <f>image("https://storage.googleapis.com/acdb/photos/BromideNpcNmlCat00_Remake_2_0.png")</f>
        <v/>
      </c>
      <c r="C380" s="21" t="s">
        <v>954</v>
      </c>
      <c r="D380" s="21" t="s">
        <v>51</v>
      </c>
      <c r="E380" s="21">
        <v>10.0</v>
      </c>
      <c r="F380" s="21" t="s">
        <v>2289</v>
      </c>
      <c r="G380" s="19"/>
      <c r="H380" s="19"/>
      <c r="I380" s="19"/>
    </row>
    <row r="381" ht="56.25" customHeight="1">
      <c r="A381" s="21" t="s">
        <v>2893</v>
      </c>
      <c r="B381" s="19" t="str">
        <f>image("https://storage.googleapis.com/acdb/photos/BromideNpcNmlCat00_Remake_3_0.png")</f>
        <v/>
      </c>
      <c r="C381" s="21" t="s">
        <v>82</v>
      </c>
      <c r="D381" s="21" t="s">
        <v>51</v>
      </c>
      <c r="E381" s="21">
        <v>10.0</v>
      </c>
      <c r="F381" s="21" t="s">
        <v>2289</v>
      </c>
      <c r="G381" s="19"/>
      <c r="H381" s="19"/>
      <c r="I381" s="19"/>
    </row>
    <row r="382" ht="56.25" customHeight="1">
      <c r="A382" s="21" t="s">
        <v>2893</v>
      </c>
      <c r="B382" s="19" t="str">
        <f>image("https://storage.googleapis.com/acdb/photos/BromideNpcNmlCat00_Remake_4_0.png")</f>
        <v/>
      </c>
      <c r="C382" s="21" t="s">
        <v>833</v>
      </c>
      <c r="D382" s="21" t="s">
        <v>51</v>
      </c>
      <c r="E382" s="21">
        <v>10.0</v>
      </c>
      <c r="F382" s="21" t="s">
        <v>2289</v>
      </c>
      <c r="G382" s="19"/>
      <c r="H382" s="19"/>
      <c r="I382" s="19"/>
    </row>
    <row r="383" ht="56.25" customHeight="1">
      <c r="A383" s="21" t="s">
        <v>2893</v>
      </c>
      <c r="B383" s="19" t="str">
        <f>image("https://storage.googleapis.com/acdb/photos/BromideNpcNmlCat00_Remake_5_0.png")</f>
        <v/>
      </c>
      <c r="C383" s="21" t="s">
        <v>258</v>
      </c>
      <c r="D383" s="21" t="s">
        <v>51</v>
      </c>
      <c r="E383" s="21">
        <v>10.0</v>
      </c>
      <c r="F383" s="21" t="s">
        <v>2289</v>
      </c>
      <c r="G383" s="19"/>
      <c r="H383" s="19"/>
      <c r="I383" s="19"/>
    </row>
    <row r="384" ht="56.25" customHeight="1">
      <c r="A384" s="21" t="s">
        <v>2893</v>
      </c>
      <c r="B384" s="19" t="str">
        <f>image("https://storage.googleapis.com/acdb/photos/BromideNpcNmlCat00_Remake_6_0.png")</f>
        <v/>
      </c>
      <c r="C384" s="21" t="s">
        <v>182</v>
      </c>
      <c r="D384" s="21" t="s">
        <v>51</v>
      </c>
      <c r="E384" s="21">
        <v>10.0</v>
      </c>
      <c r="F384" s="21" t="s">
        <v>2289</v>
      </c>
      <c r="G384" s="19"/>
      <c r="H384" s="19"/>
      <c r="I384" s="19"/>
    </row>
    <row r="385" ht="56.25" customHeight="1">
      <c r="A385" s="21" t="s">
        <v>2893</v>
      </c>
      <c r="B385" s="19" t="str">
        <f>image("https://storage.googleapis.com/acdb/photos/BromideNpcNmlCat00_Remake_7_0.png")</f>
        <v/>
      </c>
      <c r="C385" s="21" t="s">
        <v>187</v>
      </c>
      <c r="D385" s="21" t="s">
        <v>51</v>
      </c>
      <c r="E385" s="21">
        <v>10.0</v>
      </c>
      <c r="F385" s="21" t="s">
        <v>2289</v>
      </c>
      <c r="G385" s="19"/>
      <c r="H385" s="19"/>
      <c r="I385" s="19"/>
    </row>
    <row r="386" ht="56.25" customHeight="1">
      <c r="A386" s="21" t="s">
        <v>2923</v>
      </c>
      <c r="B386" s="19" t="str">
        <f>image("https://storage.googleapis.com/acdb/photos/BromideNpcNmlRbt17_Remake_0_0.png")</f>
        <v/>
      </c>
      <c r="C386" s="21" t="s">
        <v>219</v>
      </c>
      <c r="D386" s="21" t="s">
        <v>51</v>
      </c>
      <c r="E386" s="21">
        <v>10.0</v>
      </c>
      <c r="F386" s="21" t="s">
        <v>2289</v>
      </c>
      <c r="G386" s="19"/>
      <c r="H386" s="19"/>
      <c r="I386" s="19"/>
    </row>
    <row r="387" ht="56.25" customHeight="1">
      <c r="A387" s="21" t="s">
        <v>2923</v>
      </c>
      <c r="B387" s="19" t="str">
        <f>image("https://storage.googleapis.com/acdb/photos/BromideNpcNmlRbt17_Remake_1_0.png")</f>
        <v/>
      </c>
      <c r="C387" s="21" t="s">
        <v>795</v>
      </c>
      <c r="D387" s="21" t="s">
        <v>51</v>
      </c>
      <c r="E387" s="21">
        <v>10.0</v>
      </c>
      <c r="F387" s="21" t="s">
        <v>2289</v>
      </c>
      <c r="G387" s="19"/>
      <c r="H387" s="19"/>
      <c r="I387" s="19"/>
    </row>
    <row r="388" ht="56.25" customHeight="1">
      <c r="A388" s="21" t="s">
        <v>2923</v>
      </c>
      <c r="B388" s="19" t="str">
        <f>image("https://storage.googleapis.com/acdb/photos/BromideNpcNmlRbt17_Remake_2_0.png")</f>
        <v/>
      </c>
      <c r="C388" s="21" t="s">
        <v>954</v>
      </c>
      <c r="D388" s="21" t="s">
        <v>51</v>
      </c>
      <c r="E388" s="21">
        <v>10.0</v>
      </c>
      <c r="F388" s="21" t="s">
        <v>2289</v>
      </c>
      <c r="G388" s="19"/>
      <c r="H388" s="19"/>
      <c r="I388" s="19"/>
    </row>
    <row r="389" ht="56.25" customHeight="1">
      <c r="A389" s="21" t="s">
        <v>2923</v>
      </c>
      <c r="B389" s="19" t="str">
        <f>image("https://storage.googleapis.com/acdb/photos/BromideNpcNmlRbt17_Remake_3_0.png")</f>
        <v/>
      </c>
      <c r="C389" s="21" t="s">
        <v>82</v>
      </c>
      <c r="D389" s="21" t="s">
        <v>51</v>
      </c>
      <c r="E389" s="21">
        <v>10.0</v>
      </c>
      <c r="F389" s="21" t="s">
        <v>2289</v>
      </c>
      <c r="G389" s="19"/>
      <c r="H389" s="19"/>
      <c r="I389" s="19"/>
    </row>
    <row r="390" ht="56.25" customHeight="1">
      <c r="A390" s="21" t="s">
        <v>2923</v>
      </c>
      <c r="B390" s="19" t="str">
        <f>image("https://storage.googleapis.com/acdb/photos/BromideNpcNmlRbt17_Remake_4_0.png")</f>
        <v/>
      </c>
      <c r="C390" s="21" t="s">
        <v>833</v>
      </c>
      <c r="D390" s="21" t="s">
        <v>51</v>
      </c>
      <c r="E390" s="21">
        <v>10.0</v>
      </c>
      <c r="F390" s="21" t="s">
        <v>2289</v>
      </c>
      <c r="G390" s="19"/>
      <c r="H390" s="19"/>
      <c r="I390" s="19"/>
    </row>
    <row r="391" ht="56.25" customHeight="1">
      <c r="A391" s="21" t="s">
        <v>2923</v>
      </c>
      <c r="B391" s="19" t="str">
        <f>image("https://storage.googleapis.com/acdb/photos/BromideNpcNmlRbt17_Remake_5_0.png")</f>
        <v/>
      </c>
      <c r="C391" s="21" t="s">
        <v>258</v>
      </c>
      <c r="D391" s="21" t="s">
        <v>51</v>
      </c>
      <c r="E391" s="21">
        <v>10.0</v>
      </c>
      <c r="F391" s="21" t="s">
        <v>2289</v>
      </c>
      <c r="G391" s="19"/>
      <c r="H391" s="19"/>
      <c r="I391" s="19"/>
    </row>
    <row r="392" ht="56.25" customHeight="1">
      <c r="A392" s="21" t="s">
        <v>2923</v>
      </c>
      <c r="B392" s="19" t="str">
        <f>image("https://storage.googleapis.com/acdb/photos/BromideNpcNmlRbt17_Remake_6_0.png")</f>
        <v/>
      </c>
      <c r="C392" s="21" t="s">
        <v>182</v>
      </c>
      <c r="D392" s="21" t="s">
        <v>51</v>
      </c>
      <c r="E392" s="21">
        <v>10.0</v>
      </c>
      <c r="F392" s="21" t="s">
        <v>2289</v>
      </c>
      <c r="G392" s="19"/>
      <c r="H392" s="19"/>
      <c r="I392" s="19"/>
    </row>
    <row r="393" ht="56.25" customHeight="1">
      <c r="A393" s="21" t="s">
        <v>2923</v>
      </c>
      <c r="B393" s="19" t="str">
        <f>image("https://storage.googleapis.com/acdb/photos/BromideNpcNmlRbt17_Remake_7_0.png")</f>
        <v/>
      </c>
      <c r="C393" s="21" t="s">
        <v>187</v>
      </c>
      <c r="D393" s="21" t="s">
        <v>51</v>
      </c>
      <c r="E393" s="21">
        <v>10.0</v>
      </c>
      <c r="F393" s="21" t="s">
        <v>2289</v>
      </c>
      <c r="G393" s="19"/>
      <c r="H393" s="19"/>
      <c r="I393" s="19"/>
    </row>
    <row r="394" ht="56.25" customHeight="1">
      <c r="A394" s="21" t="s">
        <v>2941</v>
      </c>
      <c r="B394" s="19" t="str">
        <f>image("https://storage.googleapis.com/acdb/photos/BromideNpcNmlDog04_Remake_0_0.png")</f>
        <v/>
      </c>
      <c r="C394" s="21" t="s">
        <v>219</v>
      </c>
      <c r="D394" s="21" t="s">
        <v>51</v>
      </c>
      <c r="E394" s="21">
        <v>10.0</v>
      </c>
      <c r="F394" s="21" t="s">
        <v>2289</v>
      </c>
      <c r="G394" s="19"/>
      <c r="H394" s="19"/>
      <c r="I394" s="19"/>
    </row>
    <row r="395" ht="56.25" customHeight="1">
      <c r="A395" s="21" t="s">
        <v>2941</v>
      </c>
      <c r="B395" s="19" t="str">
        <f>image("https://storage.googleapis.com/acdb/photos/BromideNpcNmlDog04_Remake_1_0.png")</f>
        <v/>
      </c>
      <c r="C395" s="21" t="s">
        <v>795</v>
      </c>
      <c r="D395" s="21" t="s">
        <v>51</v>
      </c>
      <c r="E395" s="21">
        <v>10.0</v>
      </c>
      <c r="F395" s="21" t="s">
        <v>2289</v>
      </c>
      <c r="G395" s="19"/>
      <c r="H395" s="19"/>
      <c r="I395" s="19"/>
    </row>
    <row r="396" ht="56.25" customHeight="1">
      <c r="A396" s="21" t="s">
        <v>2941</v>
      </c>
      <c r="B396" s="19" t="str">
        <f>image("https://storage.googleapis.com/acdb/photos/BromideNpcNmlDog04_Remake_2_0.png")</f>
        <v/>
      </c>
      <c r="C396" s="21" t="s">
        <v>954</v>
      </c>
      <c r="D396" s="21" t="s">
        <v>51</v>
      </c>
      <c r="E396" s="21">
        <v>10.0</v>
      </c>
      <c r="F396" s="21" t="s">
        <v>2289</v>
      </c>
      <c r="G396" s="19"/>
      <c r="H396" s="19"/>
      <c r="I396" s="19"/>
    </row>
    <row r="397" ht="56.25" customHeight="1">
      <c r="A397" s="21" t="s">
        <v>2941</v>
      </c>
      <c r="B397" s="19" t="str">
        <f>image("https://storage.googleapis.com/acdb/photos/BromideNpcNmlDog04_Remake_3_0.png")</f>
        <v/>
      </c>
      <c r="C397" s="21" t="s">
        <v>82</v>
      </c>
      <c r="D397" s="21" t="s">
        <v>51</v>
      </c>
      <c r="E397" s="21">
        <v>10.0</v>
      </c>
      <c r="F397" s="21" t="s">
        <v>2289</v>
      </c>
      <c r="G397" s="19"/>
      <c r="H397" s="19"/>
      <c r="I397" s="19"/>
    </row>
    <row r="398" ht="56.25" customHeight="1">
      <c r="A398" s="21" t="s">
        <v>2941</v>
      </c>
      <c r="B398" s="19" t="str">
        <f>image("https://storage.googleapis.com/acdb/photos/BromideNpcNmlDog04_Remake_4_0.png")</f>
        <v/>
      </c>
      <c r="C398" s="21" t="s">
        <v>833</v>
      </c>
      <c r="D398" s="21" t="s">
        <v>51</v>
      </c>
      <c r="E398" s="21">
        <v>10.0</v>
      </c>
      <c r="F398" s="21" t="s">
        <v>2289</v>
      </c>
      <c r="G398" s="19"/>
      <c r="H398" s="19"/>
      <c r="I398" s="19"/>
    </row>
    <row r="399" ht="56.25" customHeight="1">
      <c r="A399" s="21" t="s">
        <v>2941</v>
      </c>
      <c r="B399" s="19" t="str">
        <f>image("https://storage.googleapis.com/acdb/photos/BromideNpcNmlDog04_Remake_5_0.png")</f>
        <v/>
      </c>
      <c r="C399" s="21" t="s">
        <v>258</v>
      </c>
      <c r="D399" s="21" t="s">
        <v>51</v>
      </c>
      <c r="E399" s="21">
        <v>10.0</v>
      </c>
      <c r="F399" s="21" t="s">
        <v>2289</v>
      </c>
      <c r="G399" s="19"/>
      <c r="H399" s="19"/>
      <c r="I399" s="19"/>
    </row>
    <row r="400" ht="56.25" customHeight="1">
      <c r="A400" s="21" t="s">
        <v>2941</v>
      </c>
      <c r="B400" s="19" t="str">
        <f>image("https://storage.googleapis.com/acdb/photos/BromideNpcNmlDog04_Remake_6_0.png")</f>
        <v/>
      </c>
      <c r="C400" s="21" t="s">
        <v>182</v>
      </c>
      <c r="D400" s="21" t="s">
        <v>51</v>
      </c>
      <c r="E400" s="21">
        <v>10.0</v>
      </c>
      <c r="F400" s="21" t="s">
        <v>2289</v>
      </c>
      <c r="G400" s="19"/>
      <c r="H400" s="19"/>
      <c r="I400" s="19"/>
    </row>
    <row r="401" ht="56.25" customHeight="1">
      <c r="A401" s="21" t="s">
        <v>2941</v>
      </c>
      <c r="B401" s="19" t="str">
        <f>image("https://storage.googleapis.com/acdb/photos/BromideNpcNmlDog04_Remake_7_0.png")</f>
        <v/>
      </c>
      <c r="C401" s="21" t="s">
        <v>187</v>
      </c>
      <c r="D401" s="21" t="s">
        <v>51</v>
      </c>
      <c r="E401" s="21">
        <v>10.0</v>
      </c>
      <c r="F401" s="21" t="s">
        <v>2289</v>
      </c>
      <c r="G401" s="19"/>
      <c r="H401" s="19"/>
      <c r="I401" s="19"/>
    </row>
    <row r="402" ht="56.25" customHeight="1">
      <c r="A402" s="21" t="s">
        <v>2955</v>
      </c>
      <c r="B402" s="19" t="str">
        <f>image("https://storage.googleapis.com/acdb/photos/BromideNpcNmlPgn10_Remake_0_0.png")</f>
        <v/>
      </c>
      <c r="C402" s="21" t="s">
        <v>219</v>
      </c>
      <c r="D402" s="21" t="s">
        <v>51</v>
      </c>
      <c r="E402" s="21">
        <v>10.0</v>
      </c>
      <c r="F402" s="21" t="s">
        <v>2289</v>
      </c>
      <c r="G402" s="19"/>
      <c r="H402" s="19"/>
      <c r="I402" s="19"/>
    </row>
    <row r="403" ht="56.25" customHeight="1">
      <c r="A403" s="21" t="s">
        <v>2955</v>
      </c>
      <c r="B403" s="19" t="str">
        <f>image("https://storage.googleapis.com/acdb/photos/BromideNpcNmlPgn10_Remake_1_0.png")</f>
        <v/>
      </c>
      <c r="C403" s="21" t="s">
        <v>795</v>
      </c>
      <c r="D403" s="21" t="s">
        <v>51</v>
      </c>
      <c r="E403" s="21">
        <v>10.0</v>
      </c>
      <c r="F403" s="21" t="s">
        <v>2289</v>
      </c>
      <c r="G403" s="19"/>
      <c r="H403" s="19"/>
      <c r="I403" s="19"/>
    </row>
    <row r="404" ht="56.25" customHeight="1">
      <c r="A404" s="21" t="s">
        <v>2955</v>
      </c>
      <c r="B404" s="19" t="str">
        <f>image("https://storage.googleapis.com/acdb/photos/BromideNpcNmlPgn10_Remake_2_0.png")</f>
        <v/>
      </c>
      <c r="C404" s="21" t="s">
        <v>954</v>
      </c>
      <c r="D404" s="21" t="s">
        <v>51</v>
      </c>
      <c r="E404" s="21">
        <v>10.0</v>
      </c>
      <c r="F404" s="21" t="s">
        <v>2289</v>
      </c>
      <c r="G404" s="19"/>
      <c r="H404" s="19"/>
      <c r="I404" s="19"/>
    </row>
    <row r="405" ht="56.25" customHeight="1">
      <c r="A405" s="21" t="s">
        <v>2955</v>
      </c>
      <c r="B405" s="19" t="str">
        <f>image("https://storage.googleapis.com/acdb/photos/BromideNpcNmlPgn10_Remake_3_0.png")</f>
        <v/>
      </c>
      <c r="C405" s="21" t="s">
        <v>82</v>
      </c>
      <c r="D405" s="21" t="s">
        <v>51</v>
      </c>
      <c r="E405" s="21">
        <v>10.0</v>
      </c>
      <c r="F405" s="21" t="s">
        <v>2289</v>
      </c>
      <c r="G405" s="19"/>
      <c r="H405" s="19"/>
      <c r="I405" s="19"/>
    </row>
    <row r="406" ht="56.25" customHeight="1">
      <c r="A406" s="21" t="s">
        <v>2955</v>
      </c>
      <c r="B406" s="19" t="str">
        <f>image("https://storage.googleapis.com/acdb/photos/BromideNpcNmlPgn10_Remake_4_0.png")</f>
        <v/>
      </c>
      <c r="C406" s="21" t="s">
        <v>833</v>
      </c>
      <c r="D406" s="21" t="s">
        <v>51</v>
      </c>
      <c r="E406" s="21">
        <v>10.0</v>
      </c>
      <c r="F406" s="21" t="s">
        <v>2289</v>
      </c>
      <c r="G406" s="19"/>
      <c r="H406" s="19"/>
      <c r="I406" s="19"/>
    </row>
    <row r="407" ht="56.25" customHeight="1">
      <c r="A407" s="21" t="s">
        <v>2955</v>
      </c>
      <c r="B407" s="19" t="str">
        <f>image("https://storage.googleapis.com/acdb/photos/BromideNpcNmlPgn10_Remake_5_0.png")</f>
        <v/>
      </c>
      <c r="C407" s="21" t="s">
        <v>258</v>
      </c>
      <c r="D407" s="21" t="s">
        <v>51</v>
      </c>
      <c r="E407" s="21">
        <v>10.0</v>
      </c>
      <c r="F407" s="21" t="s">
        <v>2289</v>
      </c>
      <c r="G407" s="19"/>
      <c r="H407" s="19"/>
      <c r="I407" s="19"/>
    </row>
    <row r="408" ht="56.25" customHeight="1">
      <c r="A408" s="21" t="s">
        <v>2955</v>
      </c>
      <c r="B408" s="19" t="str">
        <f>image("https://storage.googleapis.com/acdb/photos/BromideNpcNmlPgn10_Remake_6_0.png")</f>
        <v/>
      </c>
      <c r="C408" s="21" t="s">
        <v>182</v>
      </c>
      <c r="D408" s="21" t="s">
        <v>51</v>
      </c>
      <c r="E408" s="21">
        <v>10.0</v>
      </c>
      <c r="F408" s="21" t="s">
        <v>2289</v>
      </c>
      <c r="G408" s="19"/>
      <c r="H408" s="19"/>
      <c r="I408" s="19"/>
    </row>
    <row r="409" ht="56.25" customHeight="1">
      <c r="A409" s="21" t="s">
        <v>2955</v>
      </c>
      <c r="B409" s="19" t="str">
        <f>image("https://storage.googleapis.com/acdb/photos/BromideNpcNmlPgn10_Remake_7_0.png")</f>
        <v/>
      </c>
      <c r="C409" s="21" t="s">
        <v>187</v>
      </c>
      <c r="D409" s="21" t="s">
        <v>51</v>
      </c>
      <c r="E409" s="21">
        <v>10.0</v>
      </c>
      <c r="F409" s="21" t="s">
        <v>2289</v>
      </c>
      <c r="G409" s="19"/>
      <c r="H409" s="19"/>
      <c r="I409" s="19"/>
    </row>
    <row r="410" ht="56.25" customHeight="1">
      <c r="A410" s="21" t="s">
        <v>2972</v>
      </c>
      <c r="B410" s="19" t="str">
        <f>image("https://storage.googleapis.com/acdb/photos/BromideNpcNmlGor02_Remake_0_0.png")</f>
        <v/>
      </c>
      <c r="C410" s="21" t="s">
        <v>219</v>
      </c>
      <c r="D410" s="21" t="s">
        <v>51</v>
      </c>
      <c r="E410" s="21">
        <v>10.0</v>
      </c>
      <c r="F410" s="21" t="s">
        <v>2289</v>
      </c>
      <c r="G410" s="19"/>
      <c r="H410" s="19"/>
      <c r="I410" s="19"/>
    </row>
    <row r="411" ht="56.25" customHeight="1">
      <c r="A411" s="21" t="s">
        <v>2972</v>
      </c>
      <c r="B411" s="19" t="str">
        <f>image("https://storage.googleapis.com/acdb/photos/BromideNpcNmlGor02_Remake_1_0.png")</f>
        <v/>
      </c>
      <c r="C411" s="21" t="s">
        <v>795</v>
      </c>
      <c r="D411" s="21" t="s">
        <v>51</v>
      </c>
      <c r="E411" s="21">
        <v>10.0</v>
      </c>
      <c r="F411" s="21" t="s">
        <v>2289</v>
      </c>
      <c r="G411" s="19"/>
      <c r="H411" s="19"/>
      <c r="I411" s="19"/>
    </row>
    <row r="412" ht="56.25" customHeight="1">
      <c r="A412" s="21" t="s">
        <v>2972</v>
      </c>
      <c r="B412" s="19" t="str">
        <f>image("https://storage.googleapis.com/acdb/photos/BromideNpcNmlGor02_Remake_2_0.png")</f>
        <v/>
      </c>
      <c r="C412" s="21" t="s">
        <v>954</v>
      </c>
      <c r="D412" s="21" t="s">
        <v>51</v>
      </c>
      <c r="E412" s="21">
        <v>10.0</v>
      </c>
      <c r="F412" s="21" t="s">
        <v>2289</v>
      </c>
      <c r="G412" s="19"/>
      <c r="H412" s="19"/>
      <c r="I412" s="19"/>
    </row>
    <row r="413" ht="56.25" customHeight="1">
      <c r="A413" s="21" t="s">
        <v>2972</v>
      </c>
      <c r="B413" s="19" t="str">
        <f>image("https://storage.googleapis.com/acdb/photos/BromideNpcNmlGor02_Remake_3_0.png")</f>
        <v/>
      </c>
      <c r="C413" s="21" t="s">
        <v>82</v>
      </c>
      <c r="D413" s="21" t="s">
        <v>51</v>
      </c>
      <c r="E413" s="21">
        <v>10.0</v>
      </c>
      <c r="F413" s="21" t="s">
        <v>2289</v>
      </c>
      <c r="G413" s="19"/>
      <c r="H413" s="19"/>
      <c r="I413" s="19"/>
    </row>
    <row r="414" ht="56.25" customHeight="1">
      <c r="A414" s="21" t="s">
        <v>2972</v>
      </c>
      <c r="B414" s="19" t="str">
        <f>image("https://storage.googleapis.com/acdb/photos/BromideNpcNmlGor02_Remake_4_0.png")</f>
        <v/>
      </c>
      <c r="C414" s="21" t="s">
        <v>833</v>
      </c>
      <c r="D414" s="21" t="s">
        <v>51</v>
      </c>
      <c r="E414" s="21">
        <v>10.0</v>
      </c>
      <c r="F414" s="21" t="s">
        <v>2289</v>
      </c>
      <c r="G414" s="19"/>
      <c r="H414" s="19"/>
      <c r="I414" s="19"/>
    </row>
    <row r="415" ht="56.25" customHeight="1">
      <c r="A415" s="21" t="s">
        <v>2972</v>
      </c>
      <c r="B415" s="19" t="str">
        <f>image("https://storage.googleapis.com/acdb/photos/BromideNpcNmlGor02_Remake_5_0.png")</f>
        <v/>
      </c>
      <c r="C415" s="21" t="s">
        <v>258</v>
      </c>
      <c r="D415" s="21" t="s">
        <v>51</v>
      </c>
      <c r="E415" s="21">
        <v>10.0</v>
      </c>
      <c r="F415" s="21" t="s">
        <v>2289</v>
      </c>
      <c r="G415" s="19"/>
      <c r="H415" s="19"/>
      <c r="I415" s="19"/>
    </row>
    <row r="416" ht="56.25" customHeight="1">
      <c r="A416" s="21" t="s">
        <v>2972</v>
      </c>
      <c r="B416" s="19" t="str">
        <f>image("https://storage.googleapis.com/acdb/photos/BromideNpcNmlGor02_Remake_6_0.png")</f>
        <v/>
      </c>
      <c r="C416" s="21" t="s">
        <v>182</v>
      </c>
      <c r="D416" s="21" t="s">
        <v>51</v>
      </c>
      <c r="E416" s="21">
        <v>10.0</v>
      </c>
      <c r="F416" s="21" t="s">
        <v>2289</v>
      </c>
      <c r="G416" s="19"/>
      <c r="H416" s="19"/>
      <c r="I416" s="19"/>
    </row>
    <row r="417" ht="56.25" customHeight="1">
      <c r="A417" s="21" t="s">
        <v>2972</v>
      </c>
      <c r="B417" s="19" t="str">
        <f>image("https://storage.googleapis.com/acdb/photos/BromideNpcNmlGor02_Remake_7_0.png")</f>
        <v/>
      </c>
      <c r="C417" s="21" t="s">
        <v>187</v>
      </c>
      <c r="D417" s="21" t="s">
        <v>51</v>
      </c>
      <c r="E417" s="21">
        <v>10.0</v>
      </c>
      <c r="F417" s="21" t="s">
        <v>2289</v>
      </c>
      <c r="G417" s="19"/>
      <c r="H417" s="19"/>
      <c r="I417" s="19"/>
    </row>
    <row r="418" ht="56.25" customHeight="1">
      <c r="A418" s="21" t="s">
        <v>2989</v>
      </c>
      <c r="B418" s="19" t="str">
        <f>image("https://storage.googleapis.com/acdb/photos/BromideNpcNmlCrd02_Remake_0_0.png")</f>
        <v/>
      </c>
      <c r="C418" s="21" t="s">
        <v>219</v>
      </c>
      <c r="D418" s="21" t="s">
        <v>51</v>
      </c>
      <c r="E418" s="21">
        <v>10.0</v>
      </c>
      <c r="F418" s="21" t="s">
        <v>2289</v>
      </c>
      <c r="G418" s="19"/>
      <c r="H418" s="19"/>
      <c r="I418" s="19"/>
    </row>
    <row r="419" ht="56.25" customHeight="1">
      <c r="A419" s="21" t="s">
        <v>2989</v>
      </c>
      <c r="B419" s="19" t="str">
        <f>image("https://storage.googleapis.com/acdb/photos/BromideNpcNmlCrd02_Remake_1_0.png")</f>
        <v/>
      </c>
      <c r="C419" s="21" t="s">
        <v>795</v>
      </c>
      <c r="D419" s="21" t="s">
        <v>51</v>
      </c>
      <c r="E419" s="21">
        <v>10.0</v>
      </c>
      <c r="F419" s="21" t="s">
        <v>2289</v>
      </c>
      <c r="G419" s="19"/>
      <c r="H419" s="19"/>
      <c r="I419" s="19"/>
    </row>
    <row r="420" ht="56.25" customHeight="1">
      <c r="A420" s="21" t="s">
        <v>2989</v>
      </c>
      <c r="B420" s="19" t="str">
        <f>image("https://storage.googleapis.com/acdb/photos/BromideNpcNmlCrd02_Remake_2_0.png")</f>
        <v/>
      </c>
      <c r="C420" s="21" t="s">
        <v>954</v>
      </c>
      <c r="D420" s="21" t="s">
        <v>51</v>
      </c>
      <c r="E420" s="21">
        <v>10.0</v>
      </c>
      <c r="F420" s="21" t="s">
        <v>2289</v>
      </c>
      <c r="G420" s="19"/>
      <c r="H420" s="19"/>
      <c r="I420" s="19"/>
    </row>
    <row r="421" ht="56.25" customHeight="1">
      <c r="A421" s="21" t="s">
        <v>2989</v>
      </c>
      <c r="B421" s="19" t="str">
        <f>image("https://storage.googleapis.com/acdb/photos/BromideNpcNmlCrd02_Remake_3_0.png")</f>
        <v/>
      </c>
      <c r="C421" s="21" t="s">
        <v>82</v>
      </c>
      <c r="D421" s="21" t="s">
        <v>51</v>
      </c>
      <c r="E421" s="21">
        <v>10.0</v>
      </c>
      <c r="F421" s="21" t="s">
        <v>2289</v>
      </c>
      <c r="G421" s="19"/>
      <c r="H421" s="19"/>
      <c r="I421" s="19"/>
    </row>
    <row r="422" ht="56.25" customHeight="1">
      <c r="A422" s="21" t="s">
        <v>2989</v>
      </c>
      <c r="B422" s="19" t="str">
        <f>image("https://storage.googleapis.com/acdb/photos/BromideNpcNmlCrd02_Remake_4_0.png")</f>
        <v/>
      </c>
      <c r="C422" s="21" t="s">
        <v>833</v>
      </c>
      <c r="D422" s="21" t="s">
        <v>51</v>
      </c>
      <c r="E422" s="21">
        <v>10.0</v>
      </c>
      <c r="F422" s="21" t="s">
        <v>2289</v>
      </c>
      <c r="G422" s="19"/>
      <c r="H422" s="19"/>
      <c r="I422" s="19"/>
    </row>
    <row r="423" ht="56.25" customHeight="1">
      <c r="A423" s="21" t="s">
        <v>2989</v>
      </c>
      <c r="B423" s="19" t="str">
        <f>image("https://storage.googleapis.com/acdb/photos/BromideNpcNmlCrd02_Remake_5_0.png")</f>
        <v/>
      </c>
      <c r="C423" s="21" t="s">
        <v>258</v>
      </c>
      <c r="D423" s="21" t="s">
        <v>51</v>
      </c>
      <c r="E423" s="21">
        <v>10.0</v>
      </c>
      <c r="F423" s="21" t="s">
        <v>2289</v>
      </c>
      <c r="G423" s="19"/>
      <c r="H423" s="19"/>
      <c r="I423" s="19"/>
    </row>
    <row r="424" ht="56.25" customHeight="1">
      <c r="A424" s="21" t="s">
        <v>2989</v>
      </c>
      <c r="B424" s="19" t="str">
        <f>image("https://storage.googleapis.com/acdb/photos/BromideNpcNmlCrd02_Remake_6_0.png")</f>
        <v/>
      </c>
      <c r="C424" s="21" t="s">
        <v>182</v>
      </c>
      <c r="D424" s="21" t="s">
        <v>51</v>
      </c>
      <c r="E424" s="21">
        <v>10.0</v>
      </c>
      <c r="F424" s="21" t="s">
        <v>2289</v>
      </c>
      <c r="G424" s="19"/>
      <c r="H424" s="19"/>
      <c r="I424" s="19"/>
    </row>
    <row r="425" ht="56.25" customHeight="1">
      <c r="A425" s="21" t="s">
        <v>2989</v>
      </c>
      <c r="B425" s="19" t="str">
        <f>image("https://storage.googleapis.com/acdb/photos/BromideNpcNmlCrd02_Remake_7_0.png")</f>
        <v/>
      </c>
      <c r="C425" s="21" t="s">
        <v>187</v>
      </c>
      <c r="D425" s="21" t="s">
        <v>51</v>
      </c>
      <c r="E425" s="21">
        <v>10.0</v>
      </c>
      <c r="F425" s="21" t="s">
        <v>2289</v>
      </c>
      <c r="G425" s="19"/>
      <c r="H425" s="19"/>
      <c r="I425" s="19"/>
    </row>
    <row r="426" ht="56.25" customHeight="1">
      <c r="A426" s="21" t="s">
        <v>3009</v>
      </c>
      <c r="B426" s="19" t="str">
        <f>image("https://storage.googleapis.com/acdb/photos/BromideNpcNmlPig09_Remake_0_0.png")</f>
        <v/>
      </c>
      <c r="C426" s="21" t="s">
        <v>219</v>
      </c>
      <c r="D426" s="21" t="s">
        <v>51</v>
      </c>
      <c r="E426" s="21">
        <v>10.0</v>
      </c>
      <c r="F426" s="21" t="s">
        <v>2289</v>
      </c>
      <c r="G426" s="19"/>
      <c r="H426" s="19"/>
      <c r="I426" s="19"/>
    </row>
    <row r="427" ht="56.25" customHeight="1">
      <c r="A427" s="21" t="s">
        <v>3009</v>
      </c>
      <c r="B427" s="19" t="str">
        <f>image("https://storage.googleapis.com/acdb/photos/BromideNpcNmlPig09_Remake_1_0.png")</f>
        <v/>
      </c>
      <c r="C427" s="21" t="s">
        <v>795</v>
      </c>
      <c r="D427" s="21" t="s">
        <v>51</v>
      </c>
      <c r="E427" s="21">
        <v>10.0</v>
      </c>
      <c r="F427" s="21" t="s">
        <v>2289</v>
      </c>
      <c r="G427" s="19"/>
      <c r="H427" s="19"/>
      <c r="I427" s="19"/>
    </row>
    <row r="428" ht="56.25" customHeight="1">
      <c r="A428" s="21" t="s">
        <v>3009</v>
      </c>
      <c r="B428" s="19" t="str">
        <f>image("https://storage.googleapis.com/acdb/photos/BromideNpcNmlPig09_Remake_2_0.png")</f>
        <v/>
      </c>
      <c r="C428" s="21" t="s">
        <v>954</v>
      </c>
      <c r="D428" s="21" t="s">
        <v>51</v>
      </c>
      <c r="E428" s="21">
        <v>10.0</v>
      </c>
      <c r="F428" s="21" t="s">
        <v>2289</v>
      </c>
      <c r="G428" s="19"/>
      <c r="H428" s="19"/>
      <c r="I428" s="19"/>
    </row>
    <row r="429" ht="56.25" customHeight="1">
      <c r="A429" s="21" t="s">
        <v>3009</v>
      </c>
      <c r="B429" s="19" t="str">
        <f>image("https://storage.googleapis.com/acdb/photos/BromideNpcNmlPig09_Remake_3_0.png")</f>
        <v/>
      </c>
      <c r="C429" s="21" t="s">
        <v>82</v>
      </c>
      <c r="D429" s="21" t="s">
        <v>51</v>
      </c>
      <c r="E429" s="21">
        <v>10.0</v>
      </c>
      <c r="F429" s="21" t="s">
        <v>2289</v>
      </c>
      <c r="G429" s="19"/>
      <c r="H429" s="19"/>
      <c r="I429" s="19"/>
    </row>
    <row r="430" ht="56.25" customHeight="1">
      <c r="A430" s="21" t="s">
        <v>3009</v>
      </c>
      <c r="B430" s="19" t="str">
        <f>image("https://storage.googleapis.com/acdb/photos/BromideNpcNmlPig09_Remake_4_0.png")</f>
        <v/>
      </c>
      <c r="C430" s="21" t="s">
        <v>833</v>
      </c>
      <c r="D430" s="21" t="s">
        <v>51</v>
      </c>
      <c r="E430" s="21">
        <v>10.0</v>
      </c>
      <c r="F430" s="21" t="s">
        <v>2289</v>
      </c>
      <c r="G430" s="19"/>
      <c r="H430" s="19"/>
      <c r="I430" s="19"/>
    </row>
    <row r="431" ht="56.25" customHeight="1">
      <c r="A431" s="21" t="s">
        <v>3009</v>
      </c>
      <c r="B431" s="19" t="str">
        <f>image("https://storage.googleapis.com/acdb/photos/BromideNpcNmlPig09_Remake_5_0.png")</f>
        <v/>
      </c>
      <c r="C431" s="21" t="s">
        <v>258</v>
      </c>
      <c r="D431" s="21" t="s">
        <v>51</v>
      </c>
      <c r="E431" s="21">
        <v>10.0</v>
      </c>
      <c r="F431" s="21" t="s">
        <v>2289</v>
      </c>
      <c r="G431" s="19"/>
      <c r="H431" s="19"/>
      <c r="I431" s="19"/>
    </row>
    <row r="432" ht="56.25" customHeight="1">
      <c r="A432" s="21" t="s">
        <v>3009</v>
      </c>
      <c r="B432" s="19" t="str">
        <f>image("https://storage.googleapis.com/acdb/photos/BromideNpcNmlPig09_Remake_6_0.png")</f>
        <v/>
      </c>
      <c r="C432" s="21" t="s">
        <v>182</v>
      </c>
      <c r="D432" s="21" t="s">
        <v>51</v>
      </c>
      <c r="E432" s="21">
        <v>10.0</v>
      </c>
      <c r="F432" s="21" t="s">
        <v>2289</v>
      </c>
      <c r="G432" s="19"/>
      <c r="H432" s="19"/>
      <c r="I432" s="19"/>
    </row>
    <row r="433" ht="56.25" customHeight="1">
      <c r="A433" s="21" t="s">
        <v>3009</v>
      </c>
      <c r="B433" s="19" t="str">
        <f>image("https://storage.googleapis.com/acdb/photos/BromideNpcNmlPig09_Remake_7_0.png")</f>
        <v/>
      </c>
      <c r="C433" s="21" t="s">
        <v>187</v>
      </c>
      <c r="D433" s="21" t="s">
        <v>51</v>
      </c>
      <c r="E433" s="21">
        <v>10.0</v>
      </c>
      <c r="F433" s="21" t="s">
        <v>2289</v>
      </c>
      <c r="G433" s="19"/>
      <c r="H433" s="19"/>
      <c r="I433" s="19"/>
    </row>
    <row r="434" ht="56.25" customHeight="1">
      <c r="A434" s="21" t="s">
        <v>3026</v>
      </c>
      <c r="B434" s="19" t="str">
        <f>image("https://storage.googleapis.com/acdb/photos/BromideNpcNmlGor05_Remake_0_0.png")</f>
        <v/>
      </c>
      <c r="C434" s="21" t="s">
        <v>219</v>
      </c>
      <c r="D434" s="21" t="s">
        <v>51</v>
      </c>
      <c r="E434" s="21">
        <v>10.0</v>
      </c>
      <c r="F434" s="21" t="s">
        <v>2289</v>
      </c>
      <c r="G434" s="19"/>
      <c r="H434" s="19"/>
      <c r="I434" s="19"/>
    </row>
    <row r="435" ht="56.25" customHeight="1">
      <c r="A435" s="21" t="s">
        <v>3026</v>
      </c>
      <c r="B435" s="19" t="str">
        <f>image("https://storage.googleapis.com/acdb/photos/BromideNpcNmlGor05_Remake_1_0.png")</f>
        <v/>
      </c>
      <c r="C435" s="21" t="s">
        <v>795</v>
      </c>
      <c r="D435" s="21" t="s">
        <v>51</v>
      </c>
      <c r="E435" s="21">
        <v>10.0</v>
      </c>
      <c r="F435" s="21" t="s">
        <v>2289</v>
      </c>
      <c r="G435" s="19"/>
      <c r="H435" s="19"/>
      <c r="I435" s="19"/>
    </row>
    <row r="436" ht="56.25" customHeight="1">
      <c r="A436" s="21" t="s">
        <v>3026</v>
      </c>
      <c r="B436" s="19" t="str">
        <f>image("https://storage.googleapis.com/acdb/photos/BromideNpcNmlGor05_Remake_2_0.png")</f>
        <v/>
      </c>
      <c r="C436" s="21" t="s">
        <v>954</v>
      </c>
      <c r="D436" s="21" t="s">
        <v>51</v>
      </c>
      <c r="E436" s="21">
        <v>10.0</v>
      </c>
      <c r="F436" s="21" t="s">
        <v>2289</v>
      </c>
      <c r="G436" s="19"/>
      <c r="H436" s="19"/>
      <c r="I436" s="19"/>
    </row>
    <row r="437" ht="56.25" customHeight="1">
      <c r="A437" s="21" t="s">
        <v>3026</v>
      </c>
      <c r="B437" s="19" t="str">
        <f>image("https://storage.googleapis.com/acdb/photos/BromideNpcNmlGor05_Remake_3_0.png")</f>
        <v/>
      </c>
      <c r="C437" s="21" t="s">
        <v>82</v>
      </c>
      <c r="D437" s="21" t="s">
        <v>51</v>
      </c>
      <c r="E437" s="21">
        <v>10.0</v>
      </c>
      <c r="F437" s="21" t="s">
        <v>2289</v>
      </c>
      <c r="G437" s="19"/>
      <c r="H437" s="19"/>
      <c r="I437" s="19"/>
    </row>
    <row r="438" ht="56.25" customHeight="1">
      <c r="A438" s="21" t="s">
        <v>3026</v>
      </c>
      <c r="B438" s="19" t="str">
        <f>image("https://storage.googleapis.com/acdb/photos/BromideNpcNmlGor05_Remake_4_0.png")</f>
        <v/>
      </c>
      <c r="C438" s="21" t="s">
        <v>833</v>
      </c>
      <c r="D438" s="21" t="s">
        <v>51</v>
      </c>
      <c r="E438" s="21">
        <v>10.0</v>
      </c>
      <c r="F438" s="21" t="s">
        <v>2289</v>
      </c>
      <c r="G438" s="19"/>
      <c r="H438" s="19"/>
      <c r="I438" s="19"/>
    </row>
    <row r="439" ht="56.25" customHeight="1">
      <c r="A439" s="21" t="s">
        <v>3026</v>
      </c>
      <c r="B439" s="19" t="str">
        <f>image("https://storage.googleapis.com/acdb/photos/BromideNpcNmlGor05_Remake_5_0.png")</f>
        <v/>
      </c>
      <c r="C439" s="21" t="s">
        <v>258</v>
      </c>
      <c r="D439" s="21" t="s">
        <v>51</v>
      </c>
      <c r="E439" s="21">
        <v>10.0</v>
      </c>
      <c r="F439" s="21" t="s">
        <v>2289</v>
      </c>
      <c r="G439" s="19"/>
      <c r="H439" s="19"/>
      <c r="I439" s="19"/>
    </row>
    <row r="440" ht="56.25" customHeight="1">
      <c r="A440" s="21" t="s">
        <v>3026</v>
      </c>
      <c r="B440" s="19" t="str">
        <f>image("https://storage.googleapis.com/acdb/photos/BromideNpcNmlGor05_Remake_6_0.png")</f>
        <v/>
      </c>
      <c r="C440" s="21" t="s">
        <v>182</v>
      </c>
      <c r="D440" s="21" t="s">
        <v>51</v>
      </c>
      <c r="E440" s="21">
        <v>10.0</v>
      </c>
      <c r="F440" s="21" t="s">
        <v>2289</v>
      </c>
      <c r="G440" s="19"/>
      <c r="H440" s="19"/>
      <c r="I440" s="19"/>
    </row>
    <row r="441" ht="56.25" customHeight="1">
      <c r="A441" s="21" t="s">
        <v>3026</v>
      </c>
      <c r="B441" s="19" t="str">
        <f>image("https://storage.googleapis.com/acdb/photos/BromideNpcNmlGor05_Remake_7_0.png")</f>
        <v/>
      </c>
      <c r="C441" s="21" t="s">
        <v>187</v>
      </c>
      <c r="D441" s="21" t="s">
        <v>51</v>
      </c>
      <c r="E441" s="21">
        <v>10.0</v>
      </c>
      <c r="F441" s="21" t="s">
        <v>2289</v>
      </c>
      <c r="G441" s="19"/>
      <c r="H441" s="19"/>
      <c r="I441" s="19"/>
    </row>
    <row r="442" ht="56.25" customHeight="1">
      <c r="A442" s="21" t="s">
        <v>3041</v>
      </c>
      <c r="B442" s="19" t="str">
        <f>image("https://storage.googleapis.com/acdb/photos/BromideNpcNmlMus03_Remake_0_0.png")</f>
        <v/>
      </c>
      <c r="C442" s="21" t="s">
        <v>219</v>
      </c>
      <c r="D442" s="21" t="s">
        <v>51</v>
      </c>
      <c r="E442" s="21">
        <v>10.0</v>
      </c>
      <c r="F442" s="21" t="s">
        <v>2289</v>
      </c>
      <c r="G442" s="19"/>
      <c r="H442" s="19"/>
      <c r="I442" s="19"/>
    </row>
    <row r="443" ht="56.25" customHeight="1">
      <c r="A443" s="21" t="s">
        <v>3041</v>
      </c>
      <c r="B443" s="19" t="str">
        <f>image("https://storage.googleapis.com/acdb/photos/BromideNpcNmlMus03_Remake_1_0.png")</f>
        <v/>
      </c>
      <c r="C443" s="21" t="s">
        <v>795</v>
      </c>
      <c r="D443" s="21" t="s">
        <v>51</v>
      </c>
      <c r="E443" s="21">
        <v>10.0</v>
      </c>
      <c r="F443" s="21" t="s">
        <v>2289</v>
      </c>
      <c r="G443" s="19"/>
      <c r="H443" s="19"/>
      <c r="I443" s="19"/>
    </row>
    <row r="444" ht="56.25" customHeight="1">
      <c r="A444" s="21" t="s">
        <v>3041</v>
      </c>
      <c r="B444" s="19" t="str">
        <f>image("https://storage.googleapis.com/acdb/photos/BromideNpcNmlMus03_Remake_2_0.png")</f>
        <v/>
      </c>
      <c r="C444" s="21" t="s">
        <v>954</v>
      </c>
      <c r="D444" s="21" t="s">
        <v>51</v>
      </c>
      <c r="E444" s="21">
        <v>10.0</v>
      </c>
      <c r="F444" s="21" t="s">
        <v>2289</v>
      </c>
      <c r="G444" s="19"/>
      <c r="H444" s="19"/>
      <c r="I444" s="19"/>
    </row>
    <row r="445" ht="56.25" customHeight="1">
      <c r="A445" s="21" t="s">
        <v>3041</v>
      </c>
      <c r="B445" s="19" t="str">
        <f>image("https://storage.googleapis.com/acdb/photos/BromideNpcNmlMus03_Remake_3_0.png")</f>
        <v/>
      </c>
      <c r="C445" s="21" t="s">
        <v>82</v>
      </c>
      <c r="D445" s="21" t="s">
        <v>51</v>
      </c>
      <c r="E445" s="21">
        <v>10.0</v>
      </c>
      <c r="F445" s="21" t="s">
        <v>2289</v>
      </c>
      <c r="G445" s="19"/>
      <c r="H445" s="19"/>
      <c r="I445" s="19"/>
    </row>
    <row r="446" ht="56.25" customHeight="1">
      <c r="A446" s="21" t="s">
        <v>3041</v>
      </c>
      <c r="B446" s="19" t="str">
        <f>image("https://storage.googleapis.com/acdb/photos/BromideNpcNmlMus03_Remake_4_0.png")</f>
        <v/>
      </c>
      <c r="C446" s="21" t="s">
        <v>833</v>
      </c>
      <c r="D446" s="21" t="s">
        <v>51</v>
      </c>
      <c r="E446" s="21">
        <v>10.0</v>
      </c>
      <c r="F446" s="21" t="s">
        <v>2289</v>
      </c>
      <c r="G446" s="19"/>
      <c r="H446" s="19"/>
      <c r="I446" s="19"/>
    </row>
    <row r="447" ht="56.25" customHeight="1">
      <c r="A447" s="21" t="s">
        <v>3041</v>
      </c>
      <c r="B447" s="19" t="str">
        <f>image("https://storage.googleapis.com/acdb/photos/BromideNpcNmlMus03_Remake_5_0.png")</f>
        <v/>
      </c>
      <c r="C447" s="21" t="s">
        <v>258</v>
      </c>
      <c r="D447" s="21" t="s">
        <v>51</v>
      </c>
      <c r="E447" s="21">
        <v>10.0</v>
      </c>
      <c r="F447" s="21" t="s">
        <v>2289</v>
      </c>
      <c r="G447" s="19"/>
      <c r="H447" s="19"/>
      <c r="I447" s="19"/>
    </row>
    <row r="448" ht="56.25" customHeight="1">
      <c r="A448" s="21" t="s">
        <v>3041</v>
      </c>
      <c r="B448" s="19" t="str">
        <f>image("https://storage.googleapis.com/acdb/photos/BromideNpcNmlMus03_Remake_6_0.png")</f>
        <v/>
      </c>
      <c r="C448" s="21" t="s">
        <v>182</v>
      </c>
      <c r="D448" s="21" t="s">
        <v>51</v>
      </c>
      <c r="E448" s="21">
        <v>10.0</v>
      </c>
      <c r="F448" s="21" t="s">
        <v>2289</v>
      </c>
      <c r="G448" s="19"/>
      <c r="H448" s="19"/>
      <c r="I448" s="19"/>
    </row>
    <row r="449" ht="56.25" customHeight="1">
      <c r="A449" s="21" t="s">
        <v>3041</v>
      </c>
      <c r="B449" s="19" t="str">
        <f>image("https://storage.googleapis.com/acdb/photos/BromideNpcNmlMus03_Remake_7_0.png")</f>
        <v/>
      </c>
      <c r="C449" s="21" t="s">
        <v>187</v>
      </c>
      <c r="D449" s="21" t="s">
        <v>51</v>
      </c>
      <c r="E449" s="21">
        <v>10.0</v>
      </c>
      <c r="F449" s="21" t="s">
        <v>2289</v>
      </c>
      <c r="G449" s="19"/>
      <c r="H449" s="19"/>
      <c r="I449" s="19"/>
    </row>
    <row r="450" ht="56.25" customHeight="1">
      <c r="A450" s="21" t="s">
        <v>3059</v>
      </c>
      <c r="B450" s="19" t="str">
        <f>image("https://storage.googleapis.com/acdb/photos/BromideNpcNmlMus12_Remake_0_0.png")</f>
        <v/>
      </c>
      <c r="C450" s="21" t="s">
        <v>219</v>
      </c>
      <c r="D450" s="21" t="s">
        <v>51</v>
      </c>
      <c r="E450" s="21">
        <v>10.0</v>
      </c>
      <c r="F450" s="21" t="s">
        <v>2289</v>
      </c>
      <c r="G450" s="19"/>
      <c r="H450" s="19"/>
      <c r="I450" s="19"/>
    </row>
    <row r="451" ht="56.25" customHeight="1">
      <c r="A451" s="21" t="s">
        <v>3059</v>
      </c>
      <c r="B451" s="19" t="str">
        <f>image("https://storage.googleapis.com/acdb/photos/BromideNpcNmlMus12_Remake_1_0.png")</f>
        <v/>
      </c>
      <c r="C451" s="21" t="s">
        <v>795</v>
      </c>
      <c r="D451" s="21" t="s">
        <v>51</v>
      </c>
      <c r="E451" s="21">
        <v>10.0</v>
      </c>
      <c r="F451" s="21" t="s">
        <v>2289</v>
      </c>
      <c r="G451" s="19"/>
      <c r="H451" s="19"/>
      <c r="I451" s="19"/>
    </row>
    <row r="452" ht="56.25" customHeight="1">
      <c r="A452" s="21" t="s">
        <v>3059</v>
      </c>
      <c r="B452" s="19" t="str">
        <f>image("https://storage.googleapis.com/acdb/photos/BromideNpcNmlMus12_Remake_2_0.png")</f>
        <v/>
      </c>
      <c r="C452" s="21" t="s">
        <v>954</v>
      </c>
      <c r="D452" s="21" t="s">
        <v>51</v>
      </c>
      <c r="E452" s="21">
        <v>10.0</v>
      </c>
      <c r="F452" s="21" t="s">
        <v>2289</v>
      </c>
      <c r="G452" s="19"/>
      <c r="H452" s="19"/>
      <c r="I452" s="19"/>
    </row>
    <row r="453" ht="56.25" customHeight="1">
      <c r="A453" s="21" t="s">
        <v>3059</v>
      </c>
      <c r="B453" s="19" t="str">
        <f>image("https://storage.googleapis.com/acdb/photos/BromideNpcNmlMus12_Remake_3_0.png")</f>
        <v/>
      </c>
      <c r="C453" s="21" t="s">
        <v>82</v>
      </c>
      <c r="D453" s="21" t="s">
        <v>51</v>
      </c>
      <c r="E453" s="21">
        <v>10.0</v>
      </c>
      <c r="F453" s="21" t="s">
        <v>2289</v>
      </c>
      <c r="G453" s="19"/>
      <c r="H453" s="19"/>
      <c r="I453" s="19"/>
    </row>
    <row r="454" ht="56.25" customHeight="1">
      <c r="A454" s="21" t="s">
        <v>3059</v>
      </c>
      <c r="B454" s="19" t="str">
        <f>image("https://storage.googleapis.com/acdb/photos/BromideNpcNmlMus12_Remake_4_0.png")</f>
        <v/>
      </c>
      <c r="C454" s="21" t="s">
        <v>833</v>
      </c>
      <c r="D454" s="21" t="s">
        <v>51</v>
      </c>
      <c r="E454" s="21">
        <v>10.0</v>
      </c>
      <c r="F454" s="21" t="s">
        <v>2289</v>
      </c>
      <c r="G454" s="19"/>
      <c r="H454" s="19"/>
      <c r="I454" s="19"/>
    </row>
    <row r="455" ht="56.25" customHeight="1">
      <c r="A455" s="21" t="s">
        <v>3059</v>
      </c>
      <c r="B455" s="19" t="str">
        <f>image("https://storage.googleapis.com/acdb/photos/BromideNpcNmlMus12_Remake_5_0.png")</f>
        <v/>
      </c>
      <c r="C455" s="21" t="s">
        <v>258</v>
      </c>
      <c r="D455" s="21" t="s">
        <v>51</v>
      </c>
      <c r="E455" s="21">
        <v>10.0</v>
      </c>
      <c r="F455" s="21" t="s">
        <v>2289</v>
      </c>
      <c r="G455" s="19"/>
      <c r="H455" s="19"/>
      <c r="I455" s="19"/>
    </row>
    <row r="456" ht="56.25" customHeight="1">
      <c r="A456" s="21" t="s">
        <v>3059</v>
      </c>
      <c r="B456" s="19" t="str">
        <f>image("https://storage.googleapis.com/acdb/photos/BromideNpcNmlMus12_Remake_6_0.png")</f>
        <v/>
      </c>
      <c r="C456" s="21" t="s">
        <v>182</v>
      </c>
      <c r="D456" s="21" t="s">
        <v>51</v>
      </c>
      <c r="E456" s="21">
        <v>10.0</v>
      </c>
      <c r="F456" s="21" t="s">
        <v>2289</v>
      </c>
      <c r="G456" s="19"/>
      <c r="H456" s="19"/>
      <c r="I456" s="19"/>
    </row>
    <row r="457" ht="56.25" customHeight="1">
      <c r="A457" s="21" t="s">
        <v>3059</v>
      </c>
      <c r="B457" s="19" t="str">
        <f>image("https://storage.googleapis.com/acdb/photos/BromideNpcNmlMus12_Remake_7_0.png")</f>
        <v/>
      </c>
      <c r="C457" s="21" t="s">
        <v>187</v>
      </c>
      <c r="D457" s="21" t="s">
        <v>51</v>
      </c>
      <c r="E457" s="21">
        <v>10.0</v>
      </c>
      <c r="F457" s="21" t="s">
        <v>2289</v>
      </c>
      <c r="G457" s="19"/>
      <c r="H457" s="19"/>
      <c r="I457" s="19"/>
    </row>
    <row r="458" ht="56.25" customHeight="1">
      <c r="A458" s="21" t="s">
        <v>3068</v>
      </c>
      <c r="B458" s="19" t="str">
        <f>image("https://storage.googleapis.com/acdb/photos/BromideNpcNmlChn12_Remake_0_0.png")</f>
        <v/>
      </c>
      <c r="C458" s="21" t="s">
        <v>219</v>
      </c>
      <c r="D458" s="21" t="s">
        <v>51</v>
      </c>
      <c r="E458" s="21">
        <v>10.0</v>
      </c>
      <c r="F458" s="21" t="s">
        <v>2289</v>
      </c>
      <c r="G458" s="19"/>
      <c r="H458" s="19"/>
      <c r="I458" s="19"/>
    </row>
    <row r="459" ht="56.25" customHeight="1">
      <c r="A459" s="21" t="s">
        <v>3068</v>
      </c>
      <c r="B459" s="19" t="str">
        <f>image("https://storage.googleapis.com/acdb/photos/BromideNpcNmlChn12_Remake_1_0.png")</f>
        <v/>
      </c>
      <c r="C459" s="21" t="s">
        <v>795</v>
      </c>
      <c r="D459" s="21" t="s">
        <v>51</v>
      </c>
      <c r="E459" s="21">
        <v>10.0</v>
      </c>
      <c r="F459" s="21" t="s">
        <v>2289</v>
      </c>
      <c r="G459" s="19"/>
      <c r="H459" s="19"/>
      <c r="I459" s="19"/>
    </row>
    <row r="460" ht="56.25" customHeight="1">
      <c r="A460" s="21" t="s">
        <v>3068</v>
      </c>
      <c r="B460" s="19" t="str">
        <f>image("https://storage.googleapis.com/acdb/photos/BromideNpcNmlChn12_Remake_2_0.png")</f>
        <v/>
      </c>
      <c r="C460" s="21" t="s">
        <v>954</v>
      </c>
      <c r="D460" s="21" t="s">
        <v>51</v>
      </c>
      <c r="E460" s="21">
        <v>10.0</v>
      </c>
      <c r="F460" s="21" t="s">
        <v>2289</v>
      </c>
      <c r="G460" s="19"/>
      <c r="H460" s="19"/>
      <c r="I460" s="19"/>
    </row>
    <row r="461" ht="56.25" customHeight="1">
      <c r="A461" s="21" t="s">
        <v>3068</v>
      </c>
      <c r="B461" s="19" t="str">
        <f>image("https://storage.googleapis.com/acdb/photos/BromideNpcNmlChn12_Remake_3_0.png")</f>
        <v/>
      </c>
      <c r="C461" s="21" t="s">
        <v>82</v>
      </c>
      <c r="D461" s="21" t="s">
        <v>51</v>
      </c>
      <c r="E461" s="21">
        <v>10.0</v>
      </c>
      <c r="F461" s="21" t="s">
        <v>2289</v>
      </c>
      <c r="G461" s="19"/>
      <c r="H461" s="19"/>
      <c r="I461" s="19"/>
    </row>
    <row r="462" ht="56.25" customHeight="1">
      <c r="A462" s="21" t="s">
        <v>3068</v>
      </c>
      <c r="B462" s="19" t="str">
        <f>image("https://storage.googleapis.com/acdb/photos/BromideNpcNmlChn12_Remake_4_0.png")</f>
        <v/>
      </c>
      <c r="C462" s="21" t="s">
        <v>833</v>
      </c>
      <c r="D462" s="21" t="s">
        <v>51</v>
      </c>
      <c r="E462" s="21">
        <v>10.0</v>
      </c>
      <c r="F462" s="21" t="s">
        <v>2289</v>
      </c>
      <c r="G462" s="19"/>
      <c r="H462" s="19"/>
      <c r="I462" s="19"/>
    </row>
    <row r="463" ht="56.25" customHeight="1">
      <c r="A463" s="21" t="s">
        <v>3068</v>
      </c>
      <c r="B463" s="19" t="str">
        <f>image("https://storage.googleapis.com/acdb/photos/BromideNpcNmlChn12_Remake_5_0.png")</f>
        <v/>
      </c>
      <c r="C463" s="21" t="s">
        <v>258</v>
      </c>
      <c r="D463" s="21" t="s">
        <v>51</v>
      </c>
      <c r="E463" s="21">
        <v>10.0</v>
      </c>
      <c r="F463" s="21" t="s">
        <v>2289</v>
      </c>
      <c r="G463" s="19"/>
      <c r="H463" s="19"/>
      <c r="I463" s="19"/>
    </row>
    <row r="464" ht="56.25" customHeight="1">
      <c r="A464" s="21" t="s">
        <v>3068</v>
      </c>
      <c r="B464" s="19" t="str">
        <f>image("https://storage.googleapis.com/acdb/photos/BromideNpcNmlChn12_Remake_6_0.png")</f>
        <v/>
      </c>
      <c r="C464" s="21" t="s">
        <v>182</v>
      </c>
      <c r="D464" s="21" t="s">
        <v>51</v>
      </c>
      <c r="E464" s="21">
        <v>10.0</v>
      </c>
      <c r="F464" s="21" t="s">
        <v>2289</v>
      </c>
      <c r="G464" s="19"/>
      <c r="H464" s="19"/>
      <c r="I464" s="19"/>
    </row>
    <row r="465" ht="56.25" customHeight="1">
      <c r="A465" s="21" t="s">
        <v>3068</v>
      </c>
      <c r="B465" s="19" t="str">
        <f>image("https://storage.googleapis.com/acdb/photos/BromideNpcNmlChn12_Remake_7_0.png")</f>
        <v/>
      </c>
      <c r="C465" s="21" t="s">
        <v>187</v>
      </c>
      <c r="D465" s="21" t="s">
        <v>51</v>
      </c>
      <c r="E465" s="21">
        <v>10.0</v>
      </c>
      <c r="F465" s="21" t="s">
        <v>2289</v>
      </c>
      <c r="G465" s="19"/>
      <c r="H465" s="19"/>
      <c r="I465" s="19"/>
    </row>
    <row r="466" ht="56.25" customHeight="1">
      <c r="A466" s="21" t="s">
        <v>3076</v>
      </c>
      <c r="B466" s="19" t="str">
        <f>image("https://storage.googleapis.com/acdb/photos/BromideNpcNmlDer03_Remake_0_0.png")</f>
        <v/>
      </c>
      <c r="C466" s="21" t="s">
        <v>219</v>
      </c>
      <c r="D466" s="21" t="s">
        <v>51</v>
      </c>
      <c r="E466" s="21">
        <v>10.0</v>
      </c>
      <c r="F466" s="21" t="s">
        <v>2289</v>
      </c>
      <c r="G466" s="19"/>
      <c r="H466" s="19"/>
      <c r="I466" s="19"/>
    </row>
    <row r="467" ht="56.25" customHeight="1">
      <c r="A467" s="21" t="s">
        <v>3076</v>
      </c>
      <c r="B467" s="19" t="str">
        <f>image("https://storage.googleapis.com/acdb/photos/BromideNpcNmlDer03_Remake_1_0.png")</f>
        <v/>
      </c>
      <c r="C467" s="21" t="s">
        <v>795</v>
      </c>
      <c r="D467" s="21" t="s">
        <v>51</v>
      </c>
      <c r="E467" s="21">
        <v>10.0</v>
      </c>
      <c r="F467" s="21" t="s">
        <v>2289</v>
      </c>
      <c r="G467" s="19"/>
      <c r="H467" s="19"/>
      <c r="I467" s="19"/>
    </row>
    <row r="468" ht="56.25" customHeight="1">
      <c r="A468" s="21" t="s">
        <v>3076</v>
      </c>
      <c r="B468" s="19" t="str">
        <f>image("https://storage.googleapis.com/acdb/photos/BromideNpcNmlDer03_Remake_2_0.png")</f>
        <v/>
      </c>
      <c r="C468" s="21" t="s">
        <v>954</v>
      </c>
      <c r="D468" s="21" t="s">
        <v>51</v>
      </c>
      <c r="E468" s="21">
        <v>10.0</v>
      </c>
      <c r="F468" s="21" t="s">
        <v>2289</v>
      </c>
      <c r="G468" s="19"/>
      <c r="H468" s="19"/>
      <c r="I468" s="19"/>
    </row>
    <row r="469" ht="56.25" customHeight="1">
      <c r="A469" s="21" t="s">
        <v>3076</v>
      </c>
      <c r="B469" s="19" t="str">
        <f>image("https://storage.googleapis.com/acdb/photos/BromideNpcNmlDer03_Remake_3_0.png")</f>
        <v/>
      </c>
      <c r="C469" s="21" t="s">
        <v>82</v>
      </c>
      <c r="D469" s="21" t="s">
        <v>51</v>
      </c>
      <c r="E469" s="21">
        <v>10.0</v>
      </c>
      <c r="F469" s="21" t="s">
        <v>2289</v>
      </c>
      <c r="G469" s="19"/>
      <c r="H469" s="19"/>
      <c r="I469" s="19"/>
    </row>
    <row r="470" ht="56.25" customHeight="1">
      <c r="A470" s="21" t="s">
        <v>3076</v>
      </c>
      <c r="B470" s="19" t="str">
        <f>image("https://storage.googleapis.com/acdb/photos/BromideNpcNmlDer03_Remake_4_0.png")</f>
        <v/>
      </c>
      <c r="C470" s="21" t="s">
        <v>833</v>
      </c>
      <c r="D470" s="21" t="s">
        <v>51</v>
      </c>
      <c r="E470" s="21">
        <v>10.0</v>
      </c>
      <c r="F470" s="21" t="s">
        <v>2289</v>
      </c>
      <c r="G470" s="19"/>
      <c r="H470" s="19"/>
      <c r="I470" s="19"/>
    </row>
    <row r="471" ht="56.25" customHeight="1">
      <c r="A471" s="21" t="s">
        <v>3076</v>
      </c>
      <c r="B471" s="19" t="str">
        <f>image("https://storage.googleapis.com/acdb/photos/BromideNpcNmlDer03_Remake_5_0.png")</f>
        <v/>
      </c>
      <c r="C471" s="21" t="s">
        <v>258</v>
      </c>
      <c r="D471" s="21" t="s">
        <v>51</v>
      </c>
      <c r="E471" s="21">
        <v>10.0</v>
      </c>
      <c r="F471" s="21" t="s">
        <v>2289</v>
      </c>
      <c r="G471" s="19"/>
      <c r="H471" s="19"/>
      <c r="I471" s="19"/>
    </row>
    <row r="472" ht="56.25" customHeight="1">
      <c r="A472" s="21" t="s">
        <v>3076</v>
      </c>
      <c r="B472" s="19" t="str">
        <f>image("https://storage.googleapis.com/acdb/photos/BromideNpcNmlDer03_Remake_6_0.png")</f>
        <v/>
      </c>
      <c r="C472" s="21" t="s">
        <v>182</v>
      </c>
      <c r="D472" s="21" t="s">
        <v>51</v>
      </c>
      <c r="E472" s="21">
        <v>10.0</v>
      </c>
      <c r="F472" s="21" t="s">
        <v>2289</v>
      </c>
      <c r="G472" s="19"/>
      <c r="H472" s="19"/>
      <c r="I472" s="19"/>
    </row>
    <row r="473" ht="56.25" customHeight="1">
      <c r="A473" s="21" t="s">
        <v>3076</v>
      </c>
      <c r="B473" s="19" t="str">
        <f>image("https://storage.googleapis.com/acdb/photos/BromideNpcNmlDer03_Remake_7_0.png")</f>
        <v/>
      </c>
      <c r="C473" s="21" t="s">
        <v>187</v>
      </c>
      <c r="D473" s="21" t="s">
        <v>51</v>
      </c>
      <c r="E473" s="21">
        <v>10.0</v>
      </c>
      <c r="F473" s="21" t="s">
        <v>2289</v>
      </c>
      <c r="G473" s="19"/>
      <c r="H473" s="19"/>
      <c r="I473" s="19"/>
    </row>
    <row r="474" ht="56.25" customHeight="1">
      <c r="A474" s="21" t="s">
        <v>3084</v>
      </c>
      <c r="B474" s="19" t="str">
        <f>image("https://storage.googleapis.com/acdb/photos/BromideNpcNmlHip02_Remake_0_0.png")</f>
        <v/>
      </c>
      <c r="C474" s="21" t="s">
        <v>219</v>
      </c>
      <c r="D474" s="21" t="s">
        <v>51</v>
      </c>
      <c r="E474" s="21">
        <v>10.0</v>
      </c>
      <c r="F474" s="21" t="s">
        <v>2289</v>
      </c>
      <c r="G474" s="19"/>
      <c r="H474" s="19"/>
      <c r="I474" s="19"/>
    </row>
    <row r="475" ht="56.25" customHeight="1">
      <c r="A475" s="21" t="s">
        <v>3084</v>
      </c>
      <c r="B475" s="19" t="str">
        <f>image("https://storage.googleapis.com/acdb/photos/BromideNpcNmlHip02_Remake_1_0.png")</f>
        <v/>
      </c>
      <c r="C475" s="21" t="s">
        <v>795</v>
      </c>
      <c r="D475" s="21" t="s">
        <v>51</v>
      </c>
      <c r="E475" s="21">
        <v>10.0</v>
      </c>
      <c r="F475" s="21" t="s">
        <v>2289</v>
      </c>
      <c r="G475" s="19"/>
      <c r="H475" s="19"/>
      <c r="I475" s="19"/>
    </row>
    <row r="476" ht="56.25" customHeight="1">
      <c r="A476" s="21" t="s">
        <v>3084</v>
      </c>
      <c r="B476" s="19" t="str">
        <f>image("https://storage.googleapis.com/acdb/photos/BromideNpcNmlHip02_Remake_2_0.png")</f>
        <v/>
      </c>
      <c r="C476" s="21" t="s">
        <v>954</v>
      </c>
      <c r="D476" s="21" t="s">
        <v>51</v>
      </c>
      <c r="E476" s="21">
        <v>10.0</v>
      </c>
      <c r="F476" s="21" t="s">
        <v>2289</v>
      </c>
      <c r="G476" s="19"/>
      <c r="H476" s="19"/>
      <c r="I476" s="19"/>
    </row>
    <row r="477" ht="56.25" customHeight="1">
      <c r="A477" s="21" t="s">
        <v>3084</v>
      </c>
      <c r="B477" s="19" t="str">
        <f>image("https://storage.googleapis.com/acdb/photos/BromideNpcNmlHip02_Remake_3_0.png")</f>
        <v/>
      </c>
      <c r="C477" s="21" t="s">
        <v>82</v>
      </c>
      <c r="D477" s="21" t="s">
        <v>51</v>
      </c>
      <c r="E477" s="21">
        <v>10.0</v>
      </c>
      <c r="F477" s="21" t="s">
        <v>2289</v>
      </c>
      <c r="G477" s="19"/>
      <c r="H477" s="19"/>
      <c r="I477" s="19"/>
    </row>
    <row r="478" ht="56.25" customHeight="1">
      <c r="A478" s="21" t="s">
        <v>3084</v>
      </c>
      <c r="B478" s="19" t="str">
        <f>image("https://storage.googleapis.com/acdb/photos/BromideNpcNmlHip02_Remake_4_0.png")</f>
        <v/>
      </c>
      <c r="C478" s="21" t="s">
        <v>833</v>
      </c>
      <c r="D478" s="21" t="s">
        <v>51</v>
      </c>
      <c r="E478" s="21">
        <v>10.0</v>
      </c>
      <c r="F478" s="21" t="s">
        <v>2289</v>
      </c>
      <c r="G478" s="19"/>
      <c r="H478" s="19"/>
      <c r="I478" s="19"/>
    </row>
    <row r="479" ht="56.25" customHeight="1">
      <c r="A479" s="21" t="s">
        <v>3084</v>
      </c>
      <c r="B479" s="19" t="str">
        <f>image("https://storage.googleapis.com/acdb/photos/BromideNpcNmlHip02_Remake_5_0.png")</f>
        <v/>
      </c>
      <c r="C479" s="21" t="s">
        <v>258</v>
      </c>
      <c r="D479" s="21" t="s">
        <v>51</v>
      </c>
      <c r="E479" s="21">
        <v>10.0</v>
      </c>
      <c r="F479" s="21" t="s">
        <v>2289</v>
      </c>
      <c r="G479" s="19"/>
      <c r="H479" s="19"/>
      <c r="I479" s="19"/>
    </row>
    <row r="480" ht="56.25" customHeight="1">
      <c r="A480" s="21" t="s">
        <v>3084</v>
      </c>
      <c r="B480" s="19" t="str">
        <f>image("https://storage.googleapis.com/acdb/photos/BromideNpcNmlHip02_Remake_6_0.png")</f>
        <v/>
      </c>
      <c r="C480" s="21" t="s">
        <v>182</v>
      </c>
      <c r="D480" s="21" t="s">
        <v>51</v>
      </c>
      <c r="E480" s="21">
        <v>10.0</v>
      </c>
      <c r="F480" s="21" t="s">
        <v>2289</v>
      </c>
      <c r="G480" s="19"/>
      <c r="H480" s="19"/>
      <c r="I480" s="19"/>
    </row>
    <row r="481" ht="56.25" customHeight="1">
      <c r="A481" s="21" t="s">
        <v>3084</v>
      </c>
      <c r="B481" s="19" t="str">
        <f>image("https://storage.googleapis.com/acdb/photos/BromideNpcNmlHip02_Remake_7_0.png")</f>
        <v/>
      </c>
      <c r="C481" s="21" t="s">
        <v>187</v>
      </c>
      <c r="D481" s="21" t="s">
        <v>51</v>
      </c>
      <c r="E481" s="21">
        <v>10.0</v>
      </c>
      <c r="F481" s="21" t="s">
        <v>2289</v>
      </c>
      <c r="G481" s="19"/>
      <c r="H481" s="19"/>
      <c r="I481" s="19"/>
    </row>
    <row r="482" ht="56.25" customHeight="1">
      <c r="A482" s="21" t="s">
        <v>3090</v>
      </c>
      <c r="B482" s="19" t="str">
        <f>image("https://storage.googleapis.com/acdb/photos/BromideNpcNmlHrs00_Remake_0_0.png")</f>
        <v/>
      </c>
      <c r="C482" s="21" t="s">
        <v>219</v>
      </c>
      <c r="D482" s="21" t="s">
        <v>51</v>
      </c>
      <c r="E482" s="21">
        <v>10.0</v>
      </c>
      <c r="F482" s="21" t="s">
        <v>2289</v>
      </c>
      <c r="G482" s="19"/>
      <c r="H482" s="19"/>
      <c r="I482" s="19"/>
    </row>
    <row r="483" ht="56.25" customHeight="1">
      <c r="A483" s="21" t="s">
        <v>3090</v>
      </c>
      <c r="B483" s="19" t="str">
        <f>image("https://storage.googleapis.com/acdb/photos/BromideNpcNmlHrs00_Remake_1_0.png")</f>
        <v/>
      </c>
      <c r="C483" s="21" t="s">
        <v>795</v>
      </c>
      <c r="D483" s="21" t="s">
        <v>51</v>
      </c>
      <c r="E483" s="21">
        <v>10.0</v>
      </c>
      <c r="F483" s="21" t="s">
        <v>2289</v>
      </c>
      <c r="G483" s="19"/>
      <c r="H483" s="19"/>
      <c r="I483" s="19"/>
    </row>
    <row r="484" ht="56.25" customHeight="1">
      <c r="A484" s="21" t="s">
        <v>3090</v>
      </c>
      <c r="B484" s="19" t="str">
        <f>image("https://storage.googleapis.com/acdb/photos/BromideNpcNmlHrs00_Remake_2_0.png")</f>
        <v/>
      </c>
      <c r="C484" s="21" t="s">
        <v>954</v>
      </c>
      <c r="D484" s="21" t="s">
        <v>51</v>
      </c>
      <c r="E484" s="21">
        <v>10.0</v>
      </c>
      <c r="F484" s="21" t="s">
        <v>2289</v>
      </c>
      <c r="G484" s="19"/>
      <c r="H484" s="19"/>
      <c r="I484" s="19"/>
    </row>
    <row r="485" ht="56.25" customHeight="1">
      <c r="A485" s="21" t="s">
        <v>3090</v>
      </c>
      <c r="B485" s="19" t="str">
        <f>image("https://storage.googleapis.com/acdb/photos/BromideNpcNmlHrs00_Remake_3_0.png")</f>
        <v/>
      </c>
      <c r="C485" s="21" t="s">
        <v>82</v>
      </c>
      <c r="D485" s="21" t="s">
        <v>51</v>
      </c>
      <c r="E485" s="21">
        <v>10.0</v>
      </c>
      <c r="F485" s="21" t="s">
        <v>2289</v>
      </c>
      <c r="G485" s="19"/>
      <c r="H485" s="19"/>
      <c r="I485" s="19"/>
    </row>
    <row r="486" ht="56.25" customHeight="1">
      <c r="A486" s="21" t="s">
        <v>3090</v>
      </c>
      <c r="B486" s="19" t="str">
        <f>image("https://storage.googleapis.com/acdb/photos/BromideNpcNmlHrs00_Remake_4_0.png")</f>
        <v/>
      </c>
      <c r="C486" s="21" t="s">
        <v>833</v>
      </c>
      <c r="D486" s="21" t="s">
        <v>51</v>
      </c>
      <c r="E486" s="21">
        <v>10.0</v>
      </c>
      <c r="F486" s="21" t="s">
        <v>2289</v>
      </c>
      <c r="G486" s="19"/>
      <c r="H486" s="19"/>
      <c r="I486" s="19"/>
    </row>
    <row r="487" ht="56.25" customHeight="1">
      <c r="A487" s="21" t="s">
        <v>3090</v>
      </c>
      <c r="B487" s="19" t="str">
        <f>image("https://storage.googleapis.com/acdb/photos/BromideNpcNmlHrs00_Remake_5_0.png")</f>
        <v/>
      </c>
      <c r="C487" s="21" t="s">
        <v>258</v>
      </c>
      <c r="D487" s="21" t="s">
        <v>51</v>
      </c>
      <c r="E487" s="21">
        <v>10.0</v>
      </c>
      <c r="F487" s="21" t="s">
        <v>2289</v>
      </c>
      <c r="G487" s="19"/>
      <c r="H487" s="19"/>
      <c r="I487" s="19"/>
    </row>
    <row r="488" ht="56.25" customHeight="1">
      <c r="A488" s="21" t="s">
        <v>3090</v>
      </c>
      <c r="B488" s="19" t="str">
        <f>image("https://storage.googleapis.com/acdb/photos/BromideNpcNmlHrs00_Remake_6_0.png")</f>
        <v/>
      </c>
      <c r="C488" s="21" t="s">
        <v>182</v>
      </c>
      <c r="D488" s="21" t="s">
        <v>51</v>
      </c>
      <c r="E488" s="21">
        <v>10.0</v>
      </c>
      <c r="F488" s="21" t="s">
        <v>2289</v>
      </c>
      <c r="G488" s="19"/>
      <c r="H488" s="19"/>
      <c r="I488" s="19"/>
    </row>
    <row r="489" ht="56.25" customHeight="1">
      <c r="A489" s="21" t="s">
        <v>3090</v>
      </c>
      <c r="B489" s="19" t="str">
        <f>image("https://storage.googleapis.com/acdb/photos/BromideNpcNmlHrs00_Remake_7_0.png")</f>
        <v/>
      </c>
      <c r="C489" s="21" t="s">
        <v>187</v>
      </c>
      <c r="D489" s="21" t="s">
        <v>51</v>
      </c>
      <c r="E489" s="21">
        <v>10.0</v>
      </c>
      <c r="F489" s="21" t="s">
        <v>2289</v>
      </c>
      <c r="G489" s="19"/>
      <c r="H489" s="19"/>
      <c r="I489" s="19"/>
    </row>
    <row r="490" ht="56.25" customHeight="1">
      <c r="A490" s="21" t="s">
        <v>3096</v>
      </c>
      <c r="B490" s="19" t="str">
        <f>image("https://storage.googleapis.com/acdb/photos/BromideNpcNmlLon00_Remake_0_0.png")</f>
        <v/>
      </c>
      <c r="C490" s="21" t="s">
        <v>219</v>
      </c>
      <c r="D490" s="21" t="s">
        <v>51</v>
      </c>
      <c r="E490" s="21">
        <v>10.0</v>
      </c>
      <c r="F490" s="21" t="s">
        <v>2289</v>
      </c>
      <c r="G490" s="19"/>
      <c r="H490" s="19"/>
      <c r="I490" s="19"/>
    </row>
    <row r="491" ht="56.25" customHeight="1">
      <c r="A491" s="21" t="s">
        <v>3096</v>
      </c>
      <c r="B491" s="19" t="str">
        <f>image("https://storage.googleapis.com/acdb/photos/BromideNpcNmlLon00_Remake_1_0.png")</f>
        <v/>
      </c>
      <c r="C491" s="21" t="s">
        <v>795</v>
      </c>
      <c r="D491" s="21" t="s">
        <v>51</v>
      </c>
      <c r="E491" s="21">
        <v>10.0</v>
      </c>
      <c r="F491" s="21" t="s">
        <v>2289</v>
      </c>
      <c r="G491" s="19"/>
      <c r="H491" s="19"/>
      <c r="I491" s="19"/>
    </row>
    <row r="492" ht="56.25" customHeight="1">
      <c r="A492" s="21" t="s">
        <v>3096</v>
      </c>
      <c r="B492" s="19" t="str">
        <f>image("https://storage.googleapis.com/acdb/photos/BromideNpcNmlLon00_Remake_2_0.png")</f>
        <v/>
      </c>
      <c r="C492" s="21" t="s">
        <v>954</v>
      </c>
      <c r="D492" s="21" t="s">
        <v>51</v>
      </c>
      <c r="E492" s="21">
        <v>10.0</v>
      </c>
      <c r="F492" s="21" t="s">
        <v>2289</v>
      </c>
      <c r="G492" s="19"/>
      <c r="H492" s="19"/>
      <c r="I492" s="19"/>
    </row>
    <row r="493" ht="56.25" customHeight="1">
      <c r="A493" s="21" t="s">
        <v>3096</v>
      </c>
      <c r="B493" s="19" t="str">
        <f>image("https://storage.googleapis.com/acdb/photos/BromideNpcNmlLon00_Remake_3_0.png")</f>
        <v/>
      </c>
      <c r="C493" s="21" t="s">
        <v>82</v>
      </c>
      <c r="D493" s="21" t="s">
        <v>51</v>
      </c>
      <c r="E493" s="21">
        <v>10.0</v>
      </c>
      <c r="F493" s="21" t="s">
        <v>2289</v>
      </c>
      <c r="G493" s="19"/>
      <c r="H493" s="19"/>
      <c r="I493" s="19"/>
    </row>
    <row r="494" ht="56.25" customHeight="1">
      <c r="A494" s="21" t="s">
        <v>3096</v>
      </c>
      <c r="B494" s="19" t="str">
        <f>image("https://storage.googleapis.com/acdb/photos/BromideNpcNmlLon00_Remake_4_0.png")</f>
        <v/>
      </c>
      <c r="C494" s="21" t="s">
        <v>833</v>
      </c>
      <c r="D494" s="21" t="s">
        <v>51</v>
      </c>
      <c r="E494" s="21">
        <v>10.0</v>
      </c>
      <c r="F494" s="21" t="s">
        <v>2289</v>
      </c>
      <c r="G494" s="19"/>
      <c r="H494" s="19"/>
      <c r="I494" s="19"/>
    </row>
    <row r="495" ht="56.25" customHeight="1">
      <c r="A495" s="21" t="s">
        <v>3096</v>
      </c>
      <c r="B495" s="19" t="str">
        <f>image("https://storage.googleapis.com/acdb/photos/BromideNpcNmlLon00_Remake_5_0.png")</f>
        <v/>
      </c>
      <c r="C495" s="21" t="s">
        <v>258</v>
      </c>
      <c r="D495" s="21" t="s">
        <v>51</v>
      </c>
      <c r="E495" s="21">
        <v>10.0</v>
      </c>
      <c r="F495" s="21" t="s">
        <v>2289</v>
      </c>
      <c r="G495" s="19"/>
      <c r="H495" s="19"/>
      <c r="I495" s="19"/>
    </row>
    <row r="496" ht="56.25" customHeight="1">
      <c r="A496" s="21" t="s">
        <v>3096</v>
      </c>
      <c r="B496" s="19" t="str">
        <f>image("https://storage.googleapis.com/acdb/photos/BromideNpcNmlLon00_Remake_6_0.png")</f>
        <v/>
      </c>
      <c r="C496" s="21" t="s">
        <v>182</v>
      </c>
      <c r="D496" s="21" t="s">
        <v>51</v>
      </c>
      <c r="E496" s="21">
        <v>10.0</v>
      </c>
      <c r="F496" s="21" t="s">
        <v>2289</v>
      </c>
      <c r="G496" s="19"/>
      <c r="H496" s="19"/>
      <c r="I496" s="19"/>
    </row>
    <row r="497" ht="56.25" customHeight="1">
      <c r="A497" s="21" t="s">
        <v>3096</v>
      </c>
      <c r="B497" s="19" t="str">
        <f>image("https://storage.googleapis.com/acdb/photos/BromideNpcNmlLon00_Remake_7_0.png")</f>
        <v/>
      </c>
      <c r="C497" s="21" t="s">
        <v>187</v>
      </c>
      <c r="D497" s="21" t="s">
        <v>51</v>
      </c>
      <c r="E497" s="21">
        <v>10.0</v>
      </c>
      <c r="F497" s="21" t="s">
        <v>2289</v>
      </c>
      <c r="G497" s="19"/>
      <c r="H497" s="19"/>
      <c r="I497" s="19"/>
    </row>
    <row r="498" ht="56.25" customHeight="1">
      <c r="A498" s="21" t="s">
        <v>3103</v>
      </c>
      <c r="B498" s="19" t="str">
        <f>image("https://storage.googleapis.com/acdb/photos/BromideNpcNmlRbt00_Remake_0_0.png")</f>
        <v/>
      </c>
      <c r="C498" s="21" t="s">
        <v>219</v>
      </c>
      <c r="D498" s="21" t="s">
        <v>51</v>
      </c>
      <c r="E498" s="21">
        <v>10.0</v>
      </c>
      <c r="F498" s="21" t="s">
        <v>2289</v>
      </c>
      <c r="G498" s="19"/>
      <c r="H498" s="19"/>
      <c r="I498" s="19"/>
    </row>
    <row r="499" ht="56.25" customHeight="1">
      <c r="A499" s="21" t="s">
        <v>3103</v>
      </c>
      <c r="B499" s="19" t="str">
        <f>image("https://storage.googleapis.com/acdb/photos/BromideNpcNmlRbt00_Remake_1_0.png")</f>
        <v/>
      </c>
      <c r="C499" s="21" t="s">
        <v>795</v>
      </c>
      <c r="D499" s="21" t="s">
        <v>51</v>
      </c>
      <c r="E499" s="21">
        <v>10.0</v>
      </c>
      <c r="F499" s="21" t="s">
        <v>2289</v>
      </c>
      <c r="G499" s="19"/>
      <c r="H499" s="19"/>
      <c r="I499" s="19"/>
    </row>
    <row r="500" ht="56.25" customHeight="1">
      <c r="A500" s="21" t="s">
        <v>3103</v>
      </c>
      <c r="B500" s="19" t="str">
        <f>image("https://storage.googleapis.com/acdb/photos/BromideNpcNmlRbt00_Remake_2_0.png")</f>
        <v/>
      </c>
      <c r="C500" s="21" t="s">
        <v>954</v>
      </c>
      <c r="D500" s="21" t="s">
        <v>51</v>
      </c>
      <c r="E500" s="21">
        <v>10.0</v>
      </c>
      <c r="F500" s="21" t="s">
        <v>2289</v>
      </c>
      <c r="G500" s="19"/>
      <c r="H500" s="19"/>
      <c r="I500" s="19"/>
    </row>
    <row r="501" ht="56.25" customHeight="1">
      <c r="A501" s="21" t="s">
        <v>3103</v>
      </c>
      <c r="B501" s="19" t="str">
        <f>image("https://storage.googleapis.com/acdb/photos/BromideNpcNmlRbt00_Remake_3_0.png")</f>
        <v/>
      </c>
      <c r="C501" s="21" t="s">
        <v>82</v>
      </c>
      <c r="D501" s="21" t="s">
        <v>51</v>
      </c>
      <c r="E501" s="21">
        <v>10.0</v>
      </c>
      <c r="F501" s="21" t="s">
        <v>2289</v>
      </c>
      <c r="G501" s="19"/>
      <c r="H501" s="19"/>
      <c r="I501" s="19"/>
    </row>
    <row r="502" ht="56.25" customHeight="1">
      <c r="A502" s="21" t="s">
        <v>3103</v>
      </c>
      <c r="B502" s="19" t="str">
        <f>image("https://storage.googleapis.com/acdb/photos/BromideNpcNmlRbt00_Remake_4_0.png")</f>
        <v/>
      </c>
      <c r="C502" s="21" t="s">
        <v>833</v>
      </c>
      <c r="D502" s="21" t="s">
        <v>51</v>
      </c>
      <c r="E502" s="21">
        <v>10.0</v>
      </c>
      <c r="F502" s="21" t="s">
        <v>2289</v>
      </c>
      <c r="G502" s="19"/>
      <c r="H502" s="19"/>
      <c r="I502" s="19"/>
    </row>
    <row r="503" ht="56.25" customHeight="1">
      <c r="A503" s="21" t="s">
        <v>3103</v>
      </c>
      <c r="B503" s="19" t="str">
        <f>image("https://storage.googleapis.com/acdb/photos/BromideNpcNmlRbt00_Remake_5_0.png")</f>
        <v/>
      </c>
      <c r="C503" s="21" t="s">
        <v>258</v>
      </c>
      <c r="D503" s="21" t="s">
        <v>51</v>
      </c>
      <c r="E503" s="21">
        <v>10.0</v>
      </c>
      <c r="F503" s="21" t="s">
        <v>2289</v>
      </c>
      <c r="G503" s="19"/>
      <c r="H503" s="19"/>
      <c r="I503" s="19"/>
    </row>
    <row r="504" ht="56.25" customHeight="1">
      <c r="A504" s="21" t="s">
        <v>3103</v>
      </c>
      <c r="B504" s="19" t="str">
        <f>image("https://storage.googleapis.com/acdb/photos/BromideNpcNmlRbt00_Remake_6_0.png")</f>
        <v/>
      </c>
      <c r="C504" s="21" t="s">
        <v>182</v>
      </c>
      <c r="D504" s="21" t="s">
        <v>51</v>
      </c>
      <c r="E504" s="21">
        <v>10.0</v>
      </c>
      <c r="F504" s="21" t="s">
        <v>2289</v>
      </c>
      <c r="G504" s="19"/>
      <c r="H504" s="19"/>
      <c r="I504" s="19"/>
    </row>
    <row r="505" ht="56.25" customHeight="1">
      <c r="A505" s="21" t="s">
        <v>3103</v>
      </c>
      <c r="B505" s="19" t="str">
        <f>image("https://storage.googleapis.com/acdb/photos/BromideNpcNmlRbt00_Remake_7_0.png")</f>
        <v/>
      </c>
      <c r="C505" s="21" t="s">
        <v>187</v>
      </c>
      <c r="D505" s="21" t="s">
        <v>51</v>
      </c>
      <c r="E505" s="21">
        <v>10.0</v>
      </c>
      <c r="F505" s="21" t="s">
        <v>2289</v>
      </c>
      <c r="G505" s="19"/>
      <c r="H505" s="19"/>
      <c r="I505" s="19"/>
    </row>
    <row r="506" ht="56.25" customHeight="1">
      <c r="A506" s="21" t="s">
        <v>3110</v>
      </c>
      <c r="B506" s="19" t="str">
        <f>image("https://storage.googleapis.com/acdb/photos/BromideNpcNmlDog01_Remake_0_0.png")</f>
        <v/>
      </c>
      <c r="C506" s="21" t="s">
        <v>219</v>
      </c>
      <c r="D506" s="21" t="s">
        <v>51</v>
      </c>
      <c r="E506" s="21">
        <v>10.0</v>
      </c>
      <c r="F506" s="21" t="s">
        <v>2289</v>
      </c>
      <c r="G506" s="19"/>
      <c r="H506" s="19"/>
      <c r="I506" s="19"/>
    </row>
    <row r="507" ht="56.25" customHeight="1">
      <c r="A507" s="21" t="s">
        <v>3110</v>
      </c>
      <c r="B507" s="19" t="str">
        <f>image("https://storage.googleapis.com/acdb/photos/BromideNpcNmlDog01_Remake_1_0.png")</f>
        <v/>
      </c>
      <c r="C507" s="21" t="s">
        <v>795</v>
      </c>
      <c r="D507" s="21" t="s">
        <v>51</v>
      </c>
      <c r="E507" s="21">
        <v>10.0</v>
      </c>
      <c r="F507" s="21" t="s">
        <v>2289</v>
      </c>
      <c r="G507" s="19"/>
      <c r="H507" s="19"/>
      <c r="I507" s="19"/>
    </row>
    <row r="508" ht="56.25" customHeight="1">
      <c r="A508" s="21" t="s">
        <v>3110</v>
      </c>
      <c r="B508" s="19" t="str">
        <f>image("https://storage.googleapis.com/acdb/photos/BromideNpcNmlDog01_Remake_2_0.png")</f>
        <v/>
      </c>
      <c r="C508" s="21" t="s">
        <v>954</v>
      </c>
      <c r="D508" s="21" t="s">
        <v>51</v>
      </c>
      <c r="E508" s="21">
        <v>10.0</v>
      </c>
      <c r="F508" s="21" t="s">
        <v>2289</v>
      </c>
      <c r="G508" s="19"/>
      <c r="H508" s="19"/>
      <c r="I508" s="19"/>
    </row>
    <row r="509" ht="56.25" customHeight="1">
      <c r="A509" s="21" t="s">
        <v>3110</v>
      </c>
      <c r="B509" s="19" t="str">
        <f>image("https://storage.googleapis.com/acdb/photos/BromideNpcNmlDog01_Remake_3_0.png")</f>
        <v/>
      </c>
      <c r="C509" s="21" t="s">
        <v>82</v>
      </c>
      <c r="D509" s="21" t="s">
        <v>51</v>
      </c>
      <c r="E509" s="21">
        <v>10.0</v>
      </c>
      <c r="F509" s="21" t="s">
        <v>2289</v>
      </c>
      <c r="G509" s="19"/>
      <c r="H509" s="19"/>
      <c r="I509" s="19"/>
    </row>
    <row r="510" ht="56.25" customHeight="1">
      <c r="A510" s="21" t="s">
        <v>3110</v>
      </c>
      <c r="B510" s="19" t="str">
        <f>image("https://storage.googleapis.com/acdb/photos/BromideNpcNmlDog01_Remake_4_0.png")</f>
        <v/>
      </c>
      <c r="C510" s="21" t="s">
        <v>833</v>
      </c>
      <c r="D510" s="21" t="s">
        <v>51</v>
      </c>
      <c r="E510" s="21">
        <v>10.0</v>
      </c>
      <c r="F510" s="21" t="s">
        <v>2289</v>
      </c>
      <c r="G510" s="19"/>
      <c r="H510" s="19"/>
      <c r="I510" s="19"/>
    </row>
    <row r="511" ht="56.25" customHeight="1">
      <c r="A511" s="21" t="s">
        <v>3110</v>
      </c>
      <c r="B511" s="19" t="str">
        <f>image("https://storage.googleapis.com/acdb/photos/BromideNpcNmlDog01_Remake_5_0.png")</f>
        <v/>
      </c>
      <c r="C511" s="21" t="s">
        <v>258</v>
      </c>
      <c r="D511" s="21" t="s">
        <v>51</v>
      </c>
      <c r="E511" s="21">
        <v>10.0</v>
      </c>
      <c r="F511" s="21" t="s">
        <v>2289</v>
      </c>
      <c r="G511" s="19"/>
      <c r="H511" s="19"/>
      <c r="I511" s="19"/>
    </row>
    <row r="512" ht="56.25" customHeight="1">
      <c r="A512" s="21" t="s">
        <v>3110</v>
      </c>
      <c r="B512" s="19" t="str">
        <f>image("https://storage.googleapis.com/acdb/photos/BromideNpcNmlDog01_Remake_6_0.png")</f>
        <v/>
      </c>
      <c r="C512" s="21" t="s">
        <v>182</v>
      </c>
      <c r="D512" s="21" t="s">
        <v>51</v>
      </c>
      <c r="E512" s="21">
        <v>10.0</v>
      </c>
      <c r="F512" s="21" t="s">
        <v>2289</v>
      </c>
      <c r="G512" s="19"/>
      <c r="H512" s="19"/>
      <c r="I512" s="19"/>
    </row>
    <row r="513" ht="56.25" customHeight="1">
      <c r="A513" s="21" t="s">
        <v>3110</v>
      </c>
      <c r="B513" s="19" t="str">
        <f>image("https://storage.googleapis.com/acdb/photos/BromideNpcNmlDog01_Remake_7_0.png")</f>
        <v/>
      </c>
      <c r="C513" s="21" t="s">
        <v>187</v>
      </c>
      <c r="D513" s="21" t="s">
        <v>51</v>
      </c>
      <c r="E513" s="21">
        <v>10.0</v>
      </c>
      <c r="F513" s="21" t="s">
        <v>2289</v>
      </c>
      <c r="G513" s="19"/>
      <c r="H513" s="19"/>
      <c r="I513" s="19"/>
    </row>
    <row r="514" ht="56.25" customHeight="1">
      <c r="A514" s="21" t="s">
        <v>3117</v>
      </c>
      <c r="B514" s="19" t="str">
        <f>image("https://storage.googleapis.com/acdb/photos/BromideNpcNmlPbr03_Remake_0_0.png")</f>
        <v/>
      </c>
      <c r="C514" s="21" t="s">
        <v>219</v>
      </c>
      <c r="D514" s="21" t="s">
        <v>51</v>
      </c>
      <c r="E514" s="21">
        <v>10.0</v>
      </c>
      <c r="F514" s="21" t="s">
        <v>2289</v>
      </c>
      <c r="G514" s="19"/>
      <c r="H514" s="19"/>
      <c r="I514" s="19"/>
    </row>
    <row r="515" ht="56.25" customHeight="1">
      <c r="A515" s="21" t="s">
        <v>3117</v>
      </c>
      <c r="B515" s="19" t="str">
        <f>image("https://storage.googleapis.com/acdb/photos/BromideNpcNmlPbr03_Remake_1_0.png")</f>
        <v/>
      </c>
      <c r="C515" s="21" t="s">
        <v>795</v>
      </c>
      <c r="D515" s="21" t="s">
        <v>51</v>
      </c>
      <c r="E515" s="21">
        <v>10.0</v>
      </c>
      <c r="F515" s="21" t="s">
        <v>2289</v>
      </c>
      <c r="G515" s="19"/>
      <c r="H515" s="19"/>
      <c r="I515" s="19"/>
    </row>
    <row r="516" ht="56.25" customHeight="1">
      <c r="A516" s="21" t="s">
        <v>3117</v>
      </c>
      <c r="B516" s="19" t="str">
        <f>image("https://storage.googleapis.com/acdb/photos/BromideNpcNmlPbr03_Remake_2_0.png")</f>
        <v/>
      </c>
      <c r="C516" s="21" t="s">
        <v>954</v>
      </c>
      <c r="D516" s="21" t="s">
        <v>51</v>
      </c>
      <c r="E516" s="21">
        <v>10.0</v>
      </c>
      <c r="F516" s="21" t="s">
        <v>2289</v>
      </c>
      <c r="G516" s="19"/>
      <c r="H516" s="19"/>
      <c r="I516" s="19"/>
    </row>
    <row r="517" ht="56.25" customHeight="1">
      <c r="A517" s="21" t="s">
        <v>3117</v>
      </c>
      <c r="B517" s="19" t="str">
        <f>image("https://storage.googleapis.com/acdb/photos/BromideNpcNmlPbr03_Remake_3_0.png")</f>
        <v/>
      </c>
      <c r="C517" s="21" t="s">
        <v>82</v>
      </c>
      <c r="D517" s="21" t="s">
        <v>51</v>
      </c>
      <c r="E517" s="21">
        <v>10.0</v>
      </c>
      <c r="F517" s="21" t="s">
        <v>2289</v>
      </c>
      <c r="G517" s="19"/>
      <c r="H517" s="19"/>
      <c r="I517" s="19"/>
    </row>
    <row r="518" ht="56.25" customHeight="1">
      <c r="A518" s="21" t="s">
        <v>3117</v>
      </c>
      <c r="B518" s="19" t="str">
        <f>image("https://storage.googleapis.com/acdb/photos/BromideNpcNmlPbr03_Remake_4_0.png")</f>
        <v/>
      </c>
      <c r="C518" s="21" t="s">
        <v>833</v>
      </c>
      <c r="D518" s="21" t="s">
        <v>51</v>
      </c>
      <c r="E518" s="21">
        <v>10.0</v>
      </c>
      <c r="F518" s="21" t="s">
        <v>2289</v>
      </c>
      <c r="G518" s="19"/>
      <c r="H518" s="19"/>
      <c r="I518" s="19"/>
    </row>
    <row r="519" ht="56.25" customHeight="1">
      <c r="A519" s="21" t="s">
        <v>3117</v>
      </c>
      <c r="B519" s="19" t="str">
        <f>image("https://storage.googleapis.com/acdb/photos/BromideNpcNmlPbr03_Remake_5_0.png")</f>
        <v/>
      </c>
      <c r="C519" s="21" t="s">
        <v>258</v>
      </c>
      <c r="D519" s="21" t="s">
        <v>51</v>
      </c>
      <c r="E519" s="21">
        <v>10.0</v>
      </c>
      <c r="F519" s="21" t="s">
        <v>2289</v>
      </c>
      <c r="G519" s="19"/>
      <c r="H519" s="19"/>
      <c r="I519" s="19"/>
    </row>
    <row r="520" ht="56.25" customHeight="1">
      <c r="A520" s="21" t="s">
        <v>3117</v>
      </c>
      <c r="B520" s="19" t="str">
        <f>image("https://storage.googleapis.com/acdb/photos/BromideNpcNmlPbr03_Remake_6_0.png")</f>
        <v/>
      </c>
      <c r="C520" s="21" t="s">
        <v>182</v>
      </c>
      <c r="D520" s="21" t="s">
        <v>51</v>
      </c>
      <c r="E520" s="21">
        <v>10.0</v>
      </c>
      <c r="F520" s="21" t="s">
        <v>2289</v>
      </c>
      <c r="G520" s="19"/>
      <c r="H520" s="19"/>
      <c r="I520" s="19"/>
    </row>
    <row r="521" ht="56.25" customHeight="1">
      <c r="A521" s="21" t="s">
        <v>3117</v>
      </c>
      <c r="B521" s="19" t="str">
        <f>image("https://storage.googleapis.com/acdb/photos/BromideNpcNmlPbr03_Remake_7_0.png")</f>
        <v/>
      </c>
      <c r="C521" s="21" t="s">
        <v>187</v>
      </c>
      <c r="D521" s="21" t="s">
        <v>51</v>
      </c>
      <c r="E521" s="21">
        <v>10.0</v>
      </c>
      <c r="F521" s="21" t="s">
        <v>2289</v>
      </c>
      <c r="G521" s="19"/>
      <c r="H521" s="19"/>
      <c r="I521" s="19"/>
    </row>
    <row r="522" ht="56.25" customHeight="1">
      <c r="A522" s="21" t="s">
        <v>3125</v>
      </c>
      <c r="B522" s="19" t="str">
        <f>image("https://storage.googleapis.com/acdb/photos/BromideNpcNmlSqu11_Remake_0_0.png")</f>
        <v/>
      </c>
      <c r="C522" s="21" t="s">
        <v>219</v>
      </c>
      <c r="D522" s="21" t="s">
        <v>51</v>
      </c>
      <c r="E522" s="21">
        <v>10.0</v>
      </c>
      <c r="F522" s="21" t="s">
        <v>2289</v>
      </c>
      <c r="G522" s="19"/>
      <c r="H522" s="19"/>
      <c r="I522" s="19"/>
    </row>
    <row r="523" ht="56.25" customHeight="1">
      <c r="A523" s="21" t="s">
        <v>3125</v>
      </c>
      <c r="B523" s="19" t="str">
        <f>image("https://storage.googleapis.com/acdb/photos/BromideNpcNmlSqu11_Remake_1_0.png")</f>
        <v/>
      </c>
      <c r="C523" s="21" t="s">
        <v>795</v>
      </c>
      <c r="D523" s="21" t="s">
        <v>51</v>
      </c>
      <c r="E523" s="21">
        <v>10.0</v>
      </c>
      <c r="F523" s="21" t="s">
        <v>2289</v>
      </c>
      <c r="G523" s="19"/>
      <c r="H523" s="19"/>
      <c r="I523" s="19"/>
    </row>
    <row r="524" ht="56.25" customHeight="1">
      <c r="A524" s="21" t="s">
        <v>3125</v>
      </c>
      <c r="B524" s="19" t="str">
        <f>image("https://storage.googleapis.com/acdb/photos/BromideNpcNmlSqu11_Remake_2_0.png")</f>
        <v/>
      </c>
      <c r="C524" s="21" t="s">
        <v>954</v>
      </c>
      <c r="D524" s="21" t="s">
        <v>51</v>
      </c>
      <c r="E524" s="21">
        <v>10.0</v>
      </c>
      <c r="F524" s="21" t="s">
        <v>2289</v>
      </c>
      <c r="G524" s="19"/>
      <c r="H524" s="19"/>
      <c r="I524" s="19"/>
    </row>
    <row r="525" ht="56.25" customHeight="1">
      <c r="A525" s="21" t="s">
        <v>3125</v>
      </c>
      <c r="B525" s="19" t="str">
        <f>image("https://storage.googleapis.com/acdb/photos/BromideNpcNmlSqu11_Remake_3_0.png")</f>
        <v/>
      </c>
      <c r="C525" s="21" t="s">
        <v>82</v>
      </c>
      <c r="D525" s="21" t="s">
        <v>51</v>
      </c>
      <c r="E525" s="21">
        <v>10.0</v>
      </c>
      <c r="F525" s="21" t="s">
        <v>2289</v>
      </c>
      <c r="G525" s="19"/>
      <c r="H525" s="19"/>
      <c r="I525" s="19"/>
    </row>
    <row r="526" ht="56.25" customHeight="1">
      <c r="A526" s="21" t="s">
        <v>3125</v>
      </c>
      <c r="B526" s="19" t="str">
        <f>image("https://storage.googleapis.com/acdb/photos/BromideNpcNmlSqu11_Remake_4_0.png")</f>
        <v/>
      </c>
      <c r="C526" s="21" t="s">
        <v>833</v>
      </c>
      <c r="D526" s="21" t="s">
        <v>51</v>
      </c>
      <c r="E526" s="21">
        <v>10.0</v>
      </c>
      <c r="F526" s="21" t="s">
        <v>2289</v>
      </c>
      <c r="G526" s="19"/>
      <c r="H526" s="19"/>
      <c r="I526" s="19"/>
    </row>
    <row r="527" ht="56.25" customHeight="1">
      <c r="A527" s="21" t="s">
        <v>3125</v>
      </c>
      <c r="B527" s="19" t="str">
        <f>image("https://storage.googleapis.com/acdb/photos/BromideNpcNmlSqu11_Remake_5_0.png")</f>
        <v/>
      </c>
      <c r="C527" s="21" t="s">
        <v>258</v>
      </c>
      <c r="D527" s="21" t="s">
        <v>51</v>
      </c>
      <c r="E527" s="21">
        <v>10.0</v>
      </c>
      <c r="F527" s="21" t="s">
        <v>2289</v>
      </c>
      <c r="G527" s="19"/>
      <c r="H527" s="19"/>
      <c r="I527" s="19"/>
    </row>
    <row r="528" ht="56.25" customHeight="1">
      <c r="A528" s="21" t="s">
        <v>3125</v>
      </c>
      <c r="B528" s="19" t="str">
        <f>image("https://storage.googleapis.com/acdb/photos/BromideNpcNmlSqu11_Remake_6_0.png")</f>
        <v/>
      </c>
      <c r="C528" s="21" t="s">
        <v>182</v>
      </c>
      <c r="D528" s="21" t="s">
        <v>51</v>
      </c>
      <c r="E528" s="21">
        <v>10.0</v>
      </c>
      <c r="F528" s="21" t="s">
        <v>2289</v>
      </c>
      <c r="G528" s="19"/>
      <c r="H528" s="19"/>
      <c r="I528" s="19"/>
    </row>
    <row r="529" ht="56.25" customHeight="1">
      <c r="A529" s="21" t="s">
        <v>3125</v>
      </c>
      <c r="B529" s="19" t="str">
        <f>image("https://storage.googleapis.com/acdb/photos/BromideNpcNmlSqu11_Remake_7_0.png")</f>
        <v/>
      </c>
      <c r="C529" s="21" t="s">
        <v>187</v>
      </c>
      <c r="D529" s="21" t="s">
        <v>51</v>
      </c>
      <c r="E529" s="21">
        <v>10.0</v>
      </c>
      <c r="F529" s="21" t="s">
        <v>2289</v>
      </c>
      <c r="G529" s="19"/>
      <c r="H529" s="19"/>
      <c r="I529" s="19"/>
    </row>
    <row r="530" ht="56.25" customHeight="1">
      <c r="A530" s="21" t="s">
        <v>3133</v>
      </c>
      <c r="B530" s="19" t="str">
        <f>image("https://storage.googleapis.com/acdb/photos/BromideNpcNmlFlg03_Remake_0_0.png")</f>
        <v/>
      </c>
      <c r="C530" s="21" t="s">
        <v>219</v>
      </c>
      <c r="D530" s="21" t="s">
        <v>51</v>
      </c>
      <c r="E530" s="21">
        <v>10.0</v>
      </c>
      <c r="F530" s="21" t="s">
        <v>2289</v>
      </c>
      <c r="G530" s="19"/>
      <c r="H530" s="19"/>
      <c r="I530" s="19"/>
    </row>
    <row r="531" ht="56.25" customHeight="1">
      <c r="A531" s="21" t="s">
        <v>3133</v>
      </c>
      <c r="B531" s="19" t="str">
        <f>image("https://storage.googleapis.com/acdb/photos/BromideNpcNmlFlg03_Remake_1_0.png")</f>
        <v/>
      </c>
      <c r="C531" s="21" t="s">
        <v>795</v>
      </c>
      <c r="D531" s="21" t="s">
        <v>51</v>
      </c>
      <c r="E531" s="21">
        <v>10.0</v>
      </c>
      <c r="F531" s="21" t="s">
        <v>2289</v>
      </c>
      <c r="G531" s="19"/>
      <c r="H531" s="19"/>
      <c r="I531" s="19"/>
    </row>
    <row r="532" ht="56.25" customHeight="1">
      <c r="A532" s="21" t="s">
        <v>3133</v>
      </c>
      <c r="B532" s="19" t="str">
        <f>image("https://storage.googleapis.com/acdb/photos/BromideNpcNmlFlg03_Remake_2_0.png")</f>
        <v/>
      </c>
      <c r="C532" s="21" t="s">
        <v>954</v>
      </c>
      <c r="D532" s="21" t="s">
        <v>51</v>
      </c>
      <c r="E532" s="21">
        <v>10.0</v>
      </c>
      <c r="F532" s="21" t="s">
        <v>2289</v>
      </c>
      <c r="G532" s="19"/>
      <c r="H532" s="19"/>
      <c r="I532" s="19"/>
    </row>
    <row r="533" ht="56.25" customHeight="1">
      <c r="A533" s="21" t="s">
        <v>3133</v>
      </c>
      <c r="B533" s="19" t="str">
        <f>image("https://storage.googleapis.com/acdb/photos/BromideNpcNmlFlg03_Remake_3_0.png")</f>
        <v/>
      </c>
      <c r="C533" s="21" t="s">
        <v>82</v>
      </c>
      <c r="D533" s="21" t="s">
        <v>51</v>
      </c>
      <c r="E533" s="21">
        <v>10.0</v>
      </c>
      <c r="F533" s="21" t="s">
        <v>2289</v>
      </c>
      <c r="G533" s="19"/>
      <c r="H533" s="19"/>
      <c r="I533" s="19"/>
    </row>
    <row r="534" ht="56.25" customHeight="1">
      <c r="A534" s="21" t="s">
        <v>3133</v>
      </c>
      <c r="B534" s="19" t="str">
        <f>image("https://storage.googleapis.com/acdb/photos/BromideNpcNmlFlg03_Remake_4_0.png")</f>
        <v/>
      </c>
      <c r="C534" s="21" t="s">
        <v>833</v>
      </c>
      <c r="D534" s="21" t="s">
        <v>51</v>
      </c>
      <c r="E534" s="21">
        <v>10.0</v>
      </c>
      <c r="F534" s="21" t="s">
        <v>2289</v>
      </c>
      <c r="G534" s="19"/>
      <c r="H534" s="19"/>
      <c r="I534" s="19"/>
    </row>
    <row r="535" ht="56.25" customHeight="1">
      <c r="A535" s="21" t="s">
        <v>3133</v>
      </c>
      <c r="B535" s="19" t="str">
        <f>image("https://storage.googleapis.com/acdb/photos/BromideNpcNmlFlg03_Remake_5_0.png")</f>
        <v/>
      </c>
      <c r="C535" s="21" t="s">
        <v>258</v>
      </c>
      <c r="D535" s="21" t="s">
        <v>51</v>
      </c>
      <c r="E535" s="21">
        <v>10.0</v>
      </c>
      <c r="F535" s="21" t="s">
        <v>2289</v>
      </c>
      <c r="G535" s="19"/>
      <c r="H535" s="19"/>
      <c r="I535" s="19"/>
    </row>
    <row r="536" ht="56.25" customHeight="1">
      <c r="A536" s="21" t="s">
        <v>3133</v>
      </c>
      <c r="B536" s="19" t="str">
        <f>image("https://storage.googleapis.com/acdb/photos/BromideNpcNmlFlg03_Remake_6_0.png")</f>
        <v/>
      </c>
      <c r="C536" s="21" t="s">
        <v>182</v>
      </c>
      <c r="D536" s="21" t="s">
        <v>51</v>
      </c>
      <c r="E536" s="21">
        <v>10.0</v>
      </c>
      <c r="F536" s="21" t="s">
        <v>2289</v>
      </c>
      <c r="G536" s="19"/>
      <c r="H536" s="19"/>
      <c r="I536" s="19"/>
    </row>
    <row r="537" ht="56.25" customHeight="1">
      <c r="A537" s="21" t="s">
        <v>3133</v>
      </c>
      <c r="B537" s="19" t="str">
        <f>image("https://storage.googleapis.com/acdb/photos/BromideNpcNmlFlg03_Remake_7_0.png")</f>
        <v/>
      </c>
      <c r="C537" s="21" t="s">
        <v>187</v>
      </c>
      <c r="D537" s="21" t="s">
        <v>51</v>
      </c>
      <c r="E537" s="21">
        <v>10.0</v>
      </c>
      <c r="F537" s="21" t="s">
        <v>2289</v>
      </c>
      <c r="G537" s="19"/>
      <c r="H537" s="19"/>
      <c r="I537" s="19"/>
    </row>
    <row r="538" ht="56.25" customHeight="1">
      <c r="A538" s="21" t="s">
        <v>3140</v>
      </c>
      <c r="B538" s="19" t="str">
        <f>image("https://storage.googleapis.com/acdb/photos/BromideNpcNmlKal08_Remake_0_0.png")</f>
        <v/>
      </c>
      <c r="C538" s="21" t="s">
        <v>219</v>
      </c>
      <c r="D538" s="21" t="s">
        <v>51</v>
      </c>
      <c r="E538" s="21">
        <v>10.0</v>
      </c>
      <c r="F538" s="21" t="s">
        <v>2289</v>
      </c>
      <c r="G538" s="19"/>
      <c r="H538" s="19"/>
      <c r="I538" s="19"/>
    </row>
    <row r="539" ht="56.25" customHeight="1">
      <c r="A539" s="21" t="s">
        <v>3140</v>
      </c>
      <c r="B539" s="19" t="str">
        <f>image("https://storage.googleapis.com/acdb/photos/BromideNpcNmlKal08_Remake_1_0.png")</f>
        <v/>
      </c>
      <c r="C539" s="21" t="s">
        <v>795</v>
      </c>
      <c r="D539" s="21" t="s">
        <v>51</v>
      </c>
      <c r="E539" s="21">
        <v>10.0</v>
      </c>
      <c r="F539" s="21" t="s">
        <v>2289</v>
      </c>
      <c r="G539" s="19"/>
      <c r="H539" s="19"/>
      <c r="I539" s="19"/>
    </row>
    <row r="540" ht="56.25" customHeight="1">
      <c r="A540" s="21" t="s">
        <v>3140</v>
      </c>
      <c r="B540" s="19" t="str">
        <f>image("https://storage.googleapis.com/acdb/photos/BromideNpcNmlKal08_Remake_2_0.png")</f>
        <v/>
      </c>
      <c r="C540" s="21" t="s">
        <v>954</v>
      </c>
      <c r="D540" s="21" t="s">
        <v>51</v>
      </c>
      <c r="E540" s="21">
        <v>10.0</v>
      </c>
      <c r="F540" s="21" t="s">
        <v>2289</v>
      </c>
      <c r="G540" s="19"/>
      <c r="H540" s="19"/>
      <c r="I540" s="19"/>
    </row>
    <row r="541" ht="56.25" customHeight="1">
      <c r="A541" s="21" t="s">
        <v>3140</v>
      </c>
      <c r="B541" s="19" t="str">
        <f>image("https://storage.googleapis.com/acdb/photos/BromideNpcNmlKal08_Remake_3_0.png")</f>
        <v/>
      </c>
      <c r="C541" s="21" t="s">
        <v>82</v>
      </c>
      <c r="D541" s="21" t="s">
        <v>51</v>
      </c>
      <c r="E541" s="21">
        <v>10.0</v>
      </c>
      <c r="F541" s="21" t="s">
        <v>2289</v>
      </c>
      <c r="G541" s="19"/>
      <c r="H541" s="19"/>
      <c r="I541" s="19"/>
    </row>
    <row r="542" ht="56.25" customHeight="1">
      <c r="A542" s="21" t="s">
        <v>3140</v>
      </c>
      <c r="B542" s="19" t="str">
        <f>image("https://storage.googleapis.com/acdb/photos/BromideNpcNmlKal08_Remake_4_0.png")</f>
        <v/>
      </c>
      <c r="C542" s="21" t="s">
        <v>833</v>
      </c>
      <c r="D542" s="21" t="s">
        <v>51</v>
      </c>
      <c r="E542" s="21">
        <v>10.0</v>
      </c>
      <c r="F542" s="21" t="s">
        <v>2289</v>
      </c>
      <c r="G542" s="19"/>
      <c r="H542" s="19"/>
      <c r="I542" s="19"/>
    </row>
    <row r="543" ht="56.25" customHeight="1">
      <c r="A543" s="21" t="s">
        <v>3140</v>
      </c>
      <c r="B543" s="19" t="str">
        <f>image("https://storage.googleapis.com/acdb/photos/BromideNpcNmlKal08_Remake_5_0.png")</f>
        <v/>
      </c>
      <c r="C543" s="21" t="s">
        <v>258</v>
      </c>
      <c r="D543" s="21" t="s">
        <v>51</v>
      </c>
      <c r="E543" s="21">
        <v>10.0</v>
      </c>
      <c r="F543" s="21" t="s">
        <v>2289</v>
      </c>
      <c r="G543" s="19"/>
      <c r="H543" s="19"/>
      <c r="I543" s="19"/>
    </row>
    <row r="544" ht="56.25" customHeight="1">
      <c r="A544" s="21" t="s">
        <v>3140</v>
      </c>
      <c r="B544" s="19" t="str">
        <f>image("https://storage.googleapis.com/acdb/photos/BromideNpcNmlKal08_Remake_6_0.png")</f>
        <v/>
      </c>
      <c r="C544" s="21" t="s">
        <v>182</v>
      </c>
      <c r="D544" s="21" t="s">
        <v>51</v>
      </c>
      <c r="E544" s="21">
        <v>10.0</v>
      </c>
      <c r="F544" s="21" t="s">
        <v>2289</v>
      </c>
      <c r="G544" s="19"/>
      <c r="H544" s="19"/>
      <c r="I544" s="19"/>
    </row>
    <row r="545" ht="56.25" customHeight="1">
      <c r="A545" s="21" t="s">
        <v>3140</v>
      </c>
      <c r="B545" s="19" t="str">
        <f>image("https://storage.googleapis.com/acdb/photos/BromideNpcNmlKal08_Remake_7_0.png")</f>
        <v/>
      </c>
      <c r="C545" s="21" t="s">
        <v>187</v>
      </c>
      <c r="D545" s="21" t="s">
        <v>51</v>
      </c>
      <c r="E545" s="21">
        <v>10.0</v>
      </c>
      <c r="F545" s="21" t="s">
        <v>2289</v>
      </c>
      <c r="G545" s="19"/>
      <c r="H545" s="19"/>
      <c r="I545" s="19"/>
    </row>
    <row r="546" ht="56.25" customHeight="1">
      <c r="A546" s="21" t="s">
        <v>3147</v>
      </c>
      <c r="B546" s="19" t="str">
        <f>image("https://storage.googleapis.com/acdb/photos/BromideNpcNmlMus08_Remake_0_0.png")</f>
        <v/>
      </c>
      <c r="C546" s="21" t="s">
        <v>219</v>
      </c>
      <c r="D546" s="21" t="s">
        <v>51</v>
      </c>
      <c r="E546" s="21">
        <v>10.0</v>
      </c>
      <c r="F546" s="21" t="s">
        <v>2289</v>
      </c>
      <c r="G546" s="19"/>
      <c r="H546" s="19"/>
      <c r="I546" s="19"/>
    </row>
    <row r="547" ht="56.25" customHeight="1">
      <c r="A547" s="21" t="s">
        <v>3147</v>
      </c>
      <c r="B547" s="19" t="str">
        <f>image("https://storage.googleapis.com/acdb/photos/BromideNpcNmlMus08_Remake_1_0.png")</f>
        <v/>
      </c>
      <c r="C547" s="21" t="s">
        <v>795</v>
      </c>
      <c r="D547" s="21" t="s">
        <v>51</v>
      </c>
      <c r="E547" s="21">
        <v>10.0</v>
      </c>
      <c r="F547" s="21" t="s">
        <v>2289</v>
      </c>
      <c r="G547" s="19"/>
      <c r="H547" s="19"/>
      <c r="I547" s="19"/>
    </row>
    <row r="548" ht="56.25" customHeight="1">
      <c r="A548" s="21" t="s">
        <v>3147</v>
      </c>
      <c r="B548" s="19" t="str">
        <f>image("https://storage.googleapis.com/acdb/photos/BromideNpcNmlMus08_Remake_2_0.png")</f>
        <v/>
      </c>
      <c r="C548" s="21" t="s">
        <v>954</v>
      </c>
      <c r="D548" s="21" t="s">
        <v>51</v>
      </c>
      <c r="E548" s="21">
        <v>10.0</v>
      </c>
      <c r="F548" s="21" t="s">
        <v>2289</v>
      </c>
      <c r="G548" s="19"/>
      <c r="H548" s="19"/>
      <c r="I548" s="19"/>
    </row>
    <row r="549" ht="56.25" customHeight="1">
      <c r="A549" s="21" t="s">
        <v>3147</v>
      </c>
      <c r="B549" s="19" t="str">
        <f>image("https://storage.googleapis.com/acdb/photos/BromideNpcNmlMus08_Remake_3_0.png")</f>
        <v/>
      </c>
      <c r="C549" s="21" t="s">
        <v>82</v>
      </c>
      <c r="D549" s="21" t="s">
        <v>51</v>
      </c>
      <c r="E549" s="21">
        <v>10.0</v>
      </c>
      <c r="F549" s="21" t="s">
        <v>2289</v>
      </c>
      <c r="G549" s="19"/>
      <c r="H549" s="19"/>
      <c r="I549" s="19"/>
    </row>
    <row r="550" ht="56.25" customHeight="1">
      <c r="A550" s="21" t="s">
        <v>3147</v>
      </c>
      <c r="B550" s="19" t="str">
        <f>image("https://storage.googleapis.com/acdb/photos/BromideNpcNmlMus08_Remake_4_0.png")</f>
        <v/>
      </c>
      <c r="C550" s="21" t="s">
        <v>833</v>
      </c>
      <c r="D550" s="21" t="s">
        <v>51</v>
      </c>
      <c r="E550" s="21">
        <v>10.0</v>
      </c>
      <c r="F550" s="21" t="s">
        <v>2289</v>
      </c>
      <c r="G550" s="19"/>
      <c r="H550" s="19"/>
      <c r="I550" s="19"/>
    </row>
    <row r="551" ht="56.25" customHeight="1">
      <c r="A551" s="21" t="s">
        <v>3147</v>
      </c>
      <c r="B551" s="19" t="str">
        <f>image("https://storage.googleapis.com/acdb/photos/BromideNpcNmlMus08_Remake_5_0.png")</f>
        <v/>
      </c>
      <c r="C551" s="21" t="s">
        <v>258</v>
      </c>
      <c r="D551" s="21" t="s">
        <v>51</v>
      </c>
      <c r="E551" s="21">
        <v>10.0</v>
      </c>
      <c r="F551" s="21" t="s">
        <v>2289</v>
      </c>
      <c r="G551" s="19"/>
      <c r="H551" s="19"/>
      <c r="I551" s="19"/>
    </row>
    <row r="552" ht="56.25" customHeight="1">
      <c r="A552" s="21" t="s">
        <v>3147</v>
      </c>
      <c r="B552" s="19" t="str">
        <f>image("https://storage.googleapis.com/acdb/photos/BromideNpcNmlMus08_Remake_6_0.png")</f>
        <v/>
      </c>
      <c r="C552" s="21" t="s">
        <v>182</v>
      </c>
      <c r="D552" s="21" t="s">
        <v>51</v>
      </c>
      <c r="E552" s="21">
        <v>10.0</v>
      </c>
      <c r="F552" s="21" t="s">
        <v>2289</v>
      </c>
      <c r="G552" s="19"/>
      <c r="H552" s="19"/>
      <c r="I552" s="19"/>
    </row>
    <row r="553" ht="56.25" customHeight="1">
      <c r="A553" s="21" t="s">
        <v>3147</v>
      </c>
      <c r="B553" s="19" t="str">
        <f>image("https://storage.googleapis.com/acdb/photos/BromideNpcNmlMus08_Remake_7_0.png")</f>
        <v/>
      </c>
      <c r="C553" s="21" t="s">
        <v>187</v>
      </c>
      <c r="D553" s="21" t="s">
        <v>51</v>
      </c>
      <c r="E553" s="21">
        <v>10.0</v>
      </c>
      <c r="F553" s="21" t="s">
        <v>2289</v>
      </c>
      <c r="G553" s="19"/>
      <c r="H553" s="19"/>
      <c r="I553" s="19"/>
    </row>
    <row r="554" ht="56.25" customHeight="1">
      <c r="A554" s="21" t="s">
        <v>3153</v>
      </c>
      <c r="B554" s="19" t="str">
        <f>image("https://storage.googleapis.com/acdb/photos/BromideNpcNmlRbt16_Remake_0_0.png")</f>
        <v/>
      </c>
      <c r="C554" s="21" t="s">
        <v>219</v>
      </c>
      <c r="D554" s="21" t="s">
        <v>51</v>
      </c>
      <c r="E554" s="21">
        <v>10.0</v>
      </c>
      <c r="F554" s="21" t="s">
        <v>2289</v>
      </c>
      <c r="G554" s="19"/>
      <c r="H554" s="19"/>
      <c r="I554" s="19"/>
    </row>
    <row r="555" ht="56.25" customHeight="1">
      <c r="A555" s="21" t="s">
        <v>3153</v>
      </c>
      <c r="B555" s="19" t="str">
        <f>image("https://storage.googleapis.com/acdb/photos/BromideNpcNmlRbt16_Remake_1_0.png")</f>
        <v/>
      </c>
      <c r="C555" s="21" t="s">
        <v>795</v>
      </c>
      <c r="D555" s="21" t="s">
        <v>51</v>
      </c>
      <c r="E555" s="21">
        <v>10.0</v>
      </c>
      <c r="F555" s="21" t="s">
        <v>2289</v>
      </c>
      <c r="G555" s="19"/>
      <c r="H555" s="19"/>
      <c r="I555" s="19"/>
    </row>
    <row r="556" ht="56.25" customHeight="1">
      <c r="A556" s="21" t="s">
        <v>3153</v>
      </c>
      <c r="B556" s="19" t="str">
        <f>image("https://storage.googleapis.com/acdb/photos/BromideNpcNmlRbt16_Remake_2_0.png")</f>
        <v/>
      </c>
      <c r="C556" s="21" t="s">
        <v>954</v>
      </c>
      <c r="D556" s="21" t="s">
        <v>51</v>
      </c>
      <c r="E556" s="21">
        <v>10.0</v>
      </c>
      <c r="F556" s="21" t="s">
        <v>2289</v>
      </c>
      <c r="G556" s="19"/>
      <c r="H556" s="19"/>
      <c r="I556" s="19"/>
    </row>
    <row r="557" ht="56.25" customHeight="1">
      <c r="A557" s="21" t="s">
        <v>3153</v>
      </c>
      <c r="B557" s="19" t="str">
        <f>image("https://storage.googleapis.com/acdb/photos/BromideNpcNmlRbt16_Remake_3_0.png")</f>
        <v/>
      </c>
      <c r="C557" s="21" t="s">
        <v>82</v>
      </c>
      <c r="D557" s="21" t="s">
        <v>51</v>
      </c>
      <c r="E557" s="21">
        <v>10.0</v>
      </c>
      <c r="F557" s="21" t="s">
        <v>2289</v>
      </c>
      <c r="G557" s="19"/>
      <c r="H557" s="19"/>
      <c r="I557" s="19"/>
    </row>
    <row r="558" ht="56.25" customHeight="1">
      <c r="A558" s="21" t="s">
        <v>3153</v>
      </c>
      <c r="B558" s="19" t="str">
        <f>image("https://storage.googleapis.com/acdb/photos/BromideNpcNmlRbt16_Remake_4_0.png")</f>
        <v/>
      </c>
      <c r="C558" s="21" t="s">
        <v>833</v>
      </c>
      <c r="D558" s="21" t="s">
        <v>51</v>
      </c>
      <c r="E558" s="21">
        <v>10.0</v>
      </c>
      <c r="F558" s="21" t="s">
        <v>2289</v>
      </c>
      <c r="G558" s="19"/>
      <c r="H558" s="19"/>
      <c r="I558" s="19"/>
    </row>
    <row r="559" ht="56.25" customHeight="1">
      <c r="A559" s="21" t="s">
        <v>3153</v>
      </c>
      <c r="B559" s="19" t="str">
        <f>image("https://storage.googleapis.com/acdb/photos/BromideNpcNmlRbt16_Remake_5_0.png")</f>
        <v/>
      </c>
      <c r="C559" s="21" t="s">
        <v>258</v>
      </c>
      <c r="D559" s="21" t="s">
        <v>51</v>
      </c>
      <c r="E559" s="21">
        <v>10.0</v>
      </c>
      <c r="F559" s="21" t="s">
        <v>2289</v>
      </c>
      <c r="G559" s="19"/>
      <c r="H559" s="19"/>
      <c r="I559" s="19"/>
    </row>
    <row r="560" ht="56.25" customHeight="1">
      <c r="A560" s="21" t="s">
        <v>3153</v>
      </c>
      <c r="B560" s="19" t="str">
        <f>image("https://storage.googleapis.com/acdb/photos/BromideNpcNmlRbt16_Remake_6_0.png")</f>
        <v/>
      </c>
      <c r="C560" s="21" t="s">
        <v>182</v>
      </c>
      <c r="D560" s="21" t="s">
        <v>51</v>
      </c>
      <c r="E560" s="21">
        <v>10.0</v>
      </c>
      <c r="F560" s="21" t="s">
        <v>2289</v>
      </c>
      <c r="G560" s="19"/>
      <c r="H560" s="19"/>
      <c r="I560" s="19"/>
    </row>
    <row r="561" ht="56.25" customHeight="1">
      <c r="A561" s="21" t="s">
        <v>3153</v>
      </c>
      <c r="B561" s="19" t="str">
        <f>image("https://storage.googleapis.com/acdb/photos/BromideNpcNmlRbt16_Remake_7_0.png")</f>
        <v/>
      </c>
      <c r="C561" s="21" t="s">
        <v>187</v>
      </c>
      <c r="D561" s="21" t="s">
        <v>51</v>
      </c>
      <c r="E561" s="21">
        <v>10.0</v>
      </c>
      <c r="F561" s="21" t="s">
        <v>2289</v>
      </c>
      <c r="G561" s="19"/>
      <c r="H561" s="19"/>
      <c r="I561" s="19"/>
    </row>
    <row r="562" ht="56.25" customHeight="1">
      <c r="A562" s="21" t="s">
        <v>3159</v>
      </c>
      <c r="B562" s="19" t="str">
        <f>image("https://storage.googleapis.com/acdb/photos/BromideNpcNmlSqu06_Remake_0_0.png")</f>
        <v/>
      </c>
      <c r="C562" s="21" t="s">
        <v>219</v>
      </c>
      <c r="D562" s="21" t="s">
        <v>51</v>
      </c>
      <c r="E562" s="21">
        <v>10.0</v>
      </c>
      <c r="F562" s="21" t="s">
        <v>2289</v>
      </c>
      <c r="G562" s="19"/>
      <c r="H562" s="19"/>
      <c r="I562" s="19"/>
    </row>
    <row r="563" ht="56.25" customHeight="1">
      <c r="A563" s="21" t="s">
        <v>3159</v>
      </c>
      <c r="B563" s="19" t="str">
        <f>image("https://storage.googleapis.com/acdb/photos/BromideNpcNmlSqu06_Remake_1_0.png")</f>
        <v/>
      </c>
      <c r="C563" s="21" t="s">
        <v>795</v>
      </c>
      <c r="D563" s="21" t="s">
        <v>51</v>
      </c>
      <c r="E563" s="21">
        <v>10.0</v>
      </c>
      <c r="F563" s="21" t="s">
        <v>2289</v>
      </c>
      <c r="G563" s="19"/>
      <c r="H563" s="19"/>
      <c r="I563" s="19"/>
    </row>
    <row r="564" ht="56.25" customHeight="1">
      <c r="A564" s="21" t="s">
        <v>3159</v>
      </c>
      <c r="B564" s="19" t="str">
        <f>image("https://storage.googleapis.com/acdb/photos/BromideNpcNmlSqu06_Remake_2_0.png")</f>
        <v/>
      </c>
      <c r="C564" s="21" t="s">
        <v>954</v>
      </c>
      <c r="D564" s="21" t="s">
        <v>51</v>
      </c>
      <c r="E564" s="21">
        <v>10.0</v>
      </c>
      <c r="F564" s="21" t="s">
        <v>2289</v>
      </c>
      <c r="G564" s="19"/>
      <c r="H564" s="19"/>
      <c r="I564" s="19"/>
    </row>
    <row r="565" ht="56.25" customHeight="1">
      <c r="A565" s="21" t="s">
        <v>3159</v>
      </c>
      <c r="B565" s="19" t="str">
        <f>image("https://storage.googleapis.com/acdb/photos/BromideNpcNmlSqu06_Remake_3_0.png")</f>
        <v/>
      </c>
      <c r="C565" s="21" t="s">
        <v>82</v>
      </c>
      <c r="D565" s="21" t="s">
        <v>51</v>
      </c>
      <c r="E565" s="21">
        <v>10.0</v>
      </c>
      <c r="F565" s="21" t="s">
        <v>2289</v>
      </c>
      <c r="G565" s="19"/>
      <c r="H565" s="19"/>
      <c r="I565" s="19"/>
    </row>
    <row r="566" ht="56.25" customHeight="1">
      <c r="A566" s="21" t="s">
        <v>3159</v>
      </c>
      <c r="B566" s="19" t="str">
        <f>image("https://storage.googleapis.com/acdb/photos/BromideNpcNmlSqu06_Remake_4_0.png")</f>
        <v/>
      </c>
      <c r="C566" s="21" t="s">
        <v>833</v>
      </c>
      <c r="D566" s="21" t="s">
        <v>51</v>
      </c>
      <c r="E566" s="21">
        <v>10.0</v>
      </c>
      <c r="F566" s="21" t="s">
        <v>2289</v>
      </c>
      <c r="G566" s="19"/>
      <c r="H566" s="19"/>
      <c r="I566" s="19"/>
    </row>
    <row r="567" ht="56.25" customHeight="1">
      <c r="A567" s="21" t="s">
        <v>3159</v>
      </c>
      <c r="B567" s="19" t="str">
        <f>image("https://storage.googleapis.com/acdb/photos/BromideNpcNmlSqu06_Remake_5_0.png")</f>
        <v/>
      </c>
      <c r="C567" s="21" t="s">
        <v>258</v>
      </c>
      <c r="D567" s="21" t="s">
        <v>51</v>
      </c>
      <c r="E567" s="21">
        <v>10.0</v>
      </c>
      <c r="F567" s="21" t="s">
        <v>2289</v>
      </c>
      <c r="G567" s="19"/>
      <c r="H567" s="19"/>
      <c r="I567" s="19"/>
    </row>
    <row r="568" ht="56.25" customHeight="1">
      <c r="A568" s="21" t="s">
        <v>3159</v>
      </c>
      <c r="B568" s="19" t="str">
        <f>image("https://storage.googleapis.com/acdb/photos/BromideNpcNmlSqu06_Remake_6_0.png")</f>
        <v/>
      </c>
      <c r="C568" s="21" t="s">
        <v>182</v>
      </c>
      <c r="D568" s="21" t="s">
        <v>51</v>
      </c>
      <c r="E568" s="21">
        <v>10.0</v>
      </c>
      <c r="F568" s="21" t="s">
        <v>2289</v>
      </c>
      <c r="G568" s="19"/>
      <c r="H568" s="19"/>
      <c r="I568" s="19"/>
    </row>
    <row r="569" ht="56.25" customHeight="1">
      <c r="A569" s="21" t="s">
        <v>3159</v>
      </c>
      <c r="B569" s="19" t="str">
        <f>image("https://storage.googleapis.com/acdb/photos/BromideNpcNmlSqu06_Remake_7_0.png")</f>
        <v/>
      </c>
      <c r="C569" s="21" t="s">
        <v>187</v>
      </c>
      <c r="D569" s="21" t="s">
        <v>51</v>
      </c>
      <c r="E569" s="21">
        <v>10.0</v>
      </c>
      <c r="F569" s="21" t="s">
        <v>2289</v>
      </c>
      <c r="G569" s="19"/>
      <c r="H569" s="19"/>
      <c r="I569" s="19"/>
    </row>
    <row r="570" ht="56.25" customHeight="1">
      <c r="A570" s="21" t="s">
        <v>3167</v>
      </c>
      <c r="B570" s="19" t="str">
        <f>image("https://storage.googleapis.com/acdb/photos/BromideNpcNmlKgr02_Remake_0_0.png")</f>
        <v/>
      </c>
      <c r="C570" s="21" t="s">
        <v>219</v>
      </c>
      <c r="D570" s="21" t="s">
        <v>51</v>
      </c>
      <c r="E570" s="21">
        <v>10.0</v>
      </c>
      <c r="F570" s="21" t="s">
        <v>2289</v>
      </c>
      <c r="G570" s="19"/>
      <c r="H570" s="19"/>
      <c r="I570" s="19"/>
    </row>
    <row r="571" ht="56.25" customHeight="1">
      <c r="A571" s="21" t="s">
        <v>3167</v>
      </c>
      <c r="B571" s="19" t="str">
        <f>image("https://storage.googleapis.com/acdb/photos/BromideNpcNmlKgr02_Remake_1_0.png")</f>
        <v/>
      </c>
      <c r="C571" s="21" t="s">
        <v>795</v>
      </c>
      <c r="D571" s="21" t="s">
        <v>51</v>
      </c>
      <c r="E571" s="21">
        <v>10.0</v>
      </c>
      <c r="F571" s="21" t="s">
        <v>2289</v>
      </c>
      <c r="G571" s="19"/>
      <c r="H571" s="19"/>
      <c r="I571" s="19"/>
    </row>
    <row r="572" ht="56.25" customHeight="1">
      <c r="A572" s="21" t="s">
        <v>3167</v>
      </c>
      <c r="B572" s="19" t="str">
        <f>image("https://storage.googleapis.com/acdb/photos/BromideNpcNmlKgr02_Remake_2_0.png")</f>
        <v/>
      </c>
      <c r="C572" s="21" t="s">
        <v>954</v>
      </c>
      <c r="D572" s="21" t="s">
        <v>51</v>
      </c>
      <c r="E572" s="21">
        <v>10.0</v>
      </c>
      <c r="F572" s="21" t="s">
        <v>2289</v>
      </c>
      <c r="G572" s="19"/>
      <c r="H572" s="19"/>
      <c r="I572" s="19"/>
    </row>
    <row r="573" ht="56.25" customHeight="1">
      <c r="A573" s="21" t="s">
        <v>3167</v>
      </c>
      <c r="B573" s="19" t="str">
        <f>image("https://storage.googleapis.com/acdb/photos/BromideNpcNmlKgr02_Remake_3_0.png")</f>
        <v/>
      </c>
      <c r="C573" s="21" t="s">
        <v>82</v>
      </c>
      <c r="D573" s="21" t="s">
        <v>51</v>
      </c>
      <c r="E573" s="21">
        <v>10.0</v>
      </c>
      <c r="F573" s="21" t="s">
        <v>2289</v>
      </c>
      <c r="G573" s="19"/>
      <c r="H573" s="19"/>
      <c r="I573" s="19"/>
    </row>
    <row r="574" ht="56.25" customHeight="1">
      <c r="A574" s="21" t="s">
        <v>3167</v>
      </c>
      <c r="B574" s="19" t="str">
        <f>image("https://storage.googleapis.com/acdb/photos/BromideNpcNmlKgr02_Remake_4_0.png")</f>
        <v/>
      </c>
      <c r="C574" s="21" t="s">
        <v>833</v>
      </c>
      <c r="D574" s="21" t="s">
        <v>51</v>
      </c>
      <c r="E574" s="21">
        <v>10.0</v>
      </c>
      <c r="F574" s="21" t="s">
        <v>2289</v>
      </c>
      <c r="G574" s="19"/>
      <c r="H574" s="19"/>
      <c r="I574" s="19"/>
    </row>
    <row r="575" ht="56.25" customHeight="1">
      <c r="A575" s="21" t="s">
        <v>3167</v>
      </c>
      <c r="B575" s="19" t="str">
        <f>image("https://storage.googleapis.com/acdb/photos/BromideNpcNmlKgr02_Remake_5_0.png")</f>
        <v/>
      </c>
      <c r="C575" s="21" t="s">
        <v>258</v>
      </c>
      <c r="D575" s="21" t="s">
        <v>51</v>
      </c>
      <c r="E575" s="21">
        <v>10.0</v>
      </c>
      <c r="F575" s="21" t="s">
        <v>2289</v>
      </c>
      <c r="G575" s="19"/>
      <c r="H575" s="19"/>
      <c r="I575" s="19"/>
    </row>
    <row r="576" ht="56.25" customHeight="1">
      <c r="A576" s="21" t="s">
        <v>3167</v>
      </c>
      <c r="B576" s="19" t="str">
        <f>image("https://storage.googleapis.com/acdb/photos/BromideNpcNmlKgr02_Remake_6_0.png")</f>
        <v/>
      </c>
      <c r="C576" s="21" t="s">
        <v>182</v>
      </c>
      <c r="D576" s="21" t="s">
        <v>51</v>
      </c>
      <c r="E576" s="21">
        <v>10.0</v>
      </c>
      <c r="F576" s="21" t="s">
        <v>2289</v>
      </c>
      <c r="G576" s="19"/>
      <c r="H576" s="19"/>
      <c r="I576" s="19"/>
    </row>
    <row r="577" ht="56.25" customHeight="1">
      <c r="A577" s="21" t="s">
        <v>3167</v>
      </c>
      <c r="B577" s="19" t="str">
        <f>image("https://storage.googleapis.com/acdb/photos/BromideNpcNmlKgr02_Remake_7_0.png")</f>
        <v/>
      </c>
      <c r="C577" s="21" t="s">
        <v>187</v>
      </c>
      <c r="D577" s="21" t="s">
        <v>51</v>
      </c>
      <c r="E577" s="21">
        <v>10.0</v>
      </c>
      <c r="F577" s="21" t="s">
        <v>2289</v>
      </c>
      <c r="G577" s="19"/>
      <c r="H577" s="19"/>
      <c r="I577" s="19"/>
    </row>
    <row r="578" ht="56.25" customHeight="1">
      <c r="A578" s="21" t="s">
        <v>3175</v>
      </c>
      <c r="B578" s="19" t="str">
        <f>image("https://storage.googleapis.com/acdb/photos/BromideNpcNmlShp04_Remake_0_0.png")</f>
        <v/>
      </c>
      <c r="C578" s="21" t="s">
        <v>219</v>
      </c>
      <c r="D578" s="21" t="s">
        <v>51</v>
      </c>
      <c r="E578" s="21">
        <v>10.0</v>
      </c>
      <c r="F578" s="21" t="s">
        <v>2289</v>
      </c>
      <c r="G578" s="19"/>
      <c r="H578" s="19"/>
      <c r="I578" s="19"/>
    </row>
    <row r="579" ht="56.25" customHeight="1">
      <c r="A579" s="21" t="s">
        <v>3175</v>
      </c>
      <c r="B579" s="19" t="str">
        <f>image("https://storage.googleapis.com/acdb/photos/BromideNpcNmlShp04_Remake_1_0.png")</f>
        <v/>
      </c>
      <c r="C579" s="21" t="s">
        <v>795</v>
      </c>
      <c r="D579" s="21" t="s">
        <v>51</v>
      </c>
      <c r="E579" s="21">
        <v>10.0</v>
      </c>
      <c r="F579" s="21" t="s">
        <v>2289</v>
      </c>
      <c r="G579" s="19"/>
      <c r="H579" s="19"/>
      <c r="I579" s="19"/>
    </row>
    <row r="580" ht="56.25" customHeight="1">
      <c r="A580" s="21" t="s">
        <v>3175</v>
      </c>
      <c r="B580" s="19" t="str">
        <f>image("https://storage.googleapis.com/acdb/photos/BromideNpcNmlShp04_Remake_2_0.png")</f>
        <v/>
      </c>
      <c r="C580" s="21" t="s">
        <v>954</v>
      </c>
      <c r="D580" s="21" t="s">
        <v>51</v>
      </c>
      <c r="E580" s="21">
        <v>10.0</v>
      </c>
      <c r="F580" s="21" t="s">
        <v>2289</v>
      </c>
      <c r="G580" s="19"/>
      <c r="H580" s="19"/>
      <c r="I580" s="19"/>
    </row>
    <row r="581" ht="56.25" customHeight="1">
      <c r="A581" s="21" t="s">
        <v>3175</v>
      </c>
      <c r="B581" s="19" t="str">
        <f>image("https://storage.googleapis.com/acdb/photos/BromideNpcNmlShp04_Remake_3_0.png")</f>
        <v/>
      </c>
      <c r="C581" s="21" t="s">
        <v>82</v>
      </c>
      <c r="D581" s="21" t="s">
        <v>51</v>
      </c>
      <c r="E581" s="21">
        <v>10.0</v>
      </c>
      <c r="F581" s="21" t="s">
        <v>2289</v>
      </c>
      <c r="G581" s="19"/>
      <c r="H581" s="19"/>
      <c r="I581" s="19"/>
    </row>
    <row r="582" ht="56.25" customHeight="1">
      <c r="A582" s="21" t="s">
        <v>3175</v>
      </c>
      <c r="B582" s="19" t="str">
        <f>image("https://storage.googleapis.com/acdb/photos/BromideNpcNmlShp04_Remake_4_0.png")</f>
        <v/>
      </c>
      <c r="C582" s="21" t="s">
        <v>833</v>
      </c>
      <c r="D582" s="21" t="s">
        <v>51</v>
      </c>
      <c r="E582" s="21">
        <v>10.0</v>
      </c>
      <c r="F582" s="21" t="s">
        <v>2289</v>
      </c>
      <c r="G582" s="19"/>
      <c r="H582" s="19"/>
      <c r="I582" s="19"/>
    </row>
    <row r="583" ht="56.25" customHeight="1">
      <c r="A583" s="21" t="s">
        <v>3175</v>
      </c>
      <c r="B583" s="19" t="str">
        <f>image("https://storage.googleapis.com/acdb/photos/BromideNpcNmlShp04_Remake_5_0.png")</f>
        <v/>
      </c>
      <c r="C583" s="21" t="s">
        <v>258</v>
      </c>
      <c r="D583" s="21" t="s">
        <v>51</v>
      </c>
      <c r="E583" s="21">
        <v>10.0</v>
      </c>
      <c r="F583" s="21" t="s">
        <v>2289</v>
      </c>
      <c r="G583" s="19"/>
      <c r="H583" s="19"/>
      <c r="I583" s="19"/>
    </row>
    <row r="584" ht="56.25" customHeight="1">
      <c r="A584" s="21" t="s">
        <v>3175</v>
      </c>
      <c r="B584" s="19" t="str">
        <f>image("https://storage.googleapis.com/acdb/photos/BromideNpcNmlShp04_Remake_6_0.png")</f>
        <v/>
      </c>
      <c r="C584" s="21" t="s">
        <v>182</v>
      </c>
      <c r="D584" s="21" t="s">
        <v>51</v>
      </c>
      <c r="E584" s="21">
        <v>10.0</v>
      </c>
      <c r="F584" s="21" t="s">
        <v>2289</v>
      </c>
      <c r="G584" s="19"/>
      <c r="H584" s="19"/>
      <c r="I584" s="19"/>
    </row>
    <row r="585" ht="56.25" customHeight="1">
      <c r="A585" s="21" t="s">
        <v>3175</v>
      </c>
      <c r="B585" s="19" t="str">
        <f>image("https://storage.googleapis.com/acdb/photos/BromideNpcNmlShp04_Remake_7_0.png")</f>
        <v/>
      </c>
      <c r="C585" s="21" t="s">
        <v>187</v>
      </c>
      <c r="D585" s="21" t="s">
        <v>51</v>
      </c>
      <c r="E585" s="21">
        <v>10.0</v>
      </c>
      <c r="F585" s="21" t="s">
        <v>2289</v>
      </c>
      <c r="G585" s="19"/>
      <c r="H585" s="19"/>
      <c r="I585" s="19"/>
    </row>
    <row r="586" ht="56.25" customHeight="1">
      <c r="A586" s="21" t="s">
        <v>3183</v>
      </c>
      <c r="B586" s="19" t="str">
        <f>image("https://storage.googleapis.com/acdb/photos/BromideNpcNmlPbr09_Remake_0_0.png")</f>
        <v/>
      </c>
      <c r="C586" s="21" t="s">
        <v>219</v>
      </c>
      <c r="D586" s="21" t="s">
        <v>51</v>
      </c>
      <c r="E586" s="21">
        <v>10.0</v>
      </c>
      <c r="F586" s="21" t="s">
        <v>2289</v>
      </c>
      <c r="G586" s="19"/>
      <c r="H586" s="19"/>
      <c r="I586" s="19"/>
    </row>
    <row r="587" ht="56.25" customHeight="1">
      <c r="A587" s="21" t="s">
        <v>3183</v>
      </c>
      <c r="B587" s="19" t="str">
        <f>image("https://storage.googleapis.com/acdb/photos/BromideNpcNmlPbr09_Remake_1_0.png")</f>
        <v/>
      </c>
      <c r="C587" s="21" t="s">
        <v>795</v>
      </c>
      <c r="D587" s="21" t="s">
        <v>51</v>
      </c>
      <c r="E587" s="21">
        <v>10.0</v>
      </c>
      <c r="F587" s="21" t="s">
        <v>2289</v>
      </c>
      <c r="G587" s="19"/>
      <c r="H587" s="19"/>
      <c r="I587" s="19"/>
    </row>
    <row r="588" ht="56.25" customHeight="1">
      <c r="A588" s="21" t="s">
        <v>3183</v>
      </c>
      <c r="B588" s="19" t="str">
        <f>image("https://storage.googleapis.com/acdb/photos/BromideNpcNmlPbr09_Remake_2_0.png")</f>
        <v/>
      </c>
      <c r="C588" s="21" t="s">
        <v>954</v>
      </c>
      <c r="D588" s="21" t="s">
        <v>51</v>
      </c>
      <c r="E588" s="21">
        <v>10.0</v>
      </c>
      <c r="F588" s="21" t="s">
        <v>2289</v>
      </c>
      <c r="G588" s="19"/>
      <c r="H588" s="19"/>
      <c r="I588" s="19"/>
    </row>
    <row r="589" ht="56.25" customHeight="1">
      <c r="A589" s="21" t="s">
        <v>3183</v>
      </c>
      <c r="B589" s="19" t="str">
        <f>image("https://storage.googleapis.com/acdb/photos/BromideNpcNmlPbr09_Remake_3_0.png")</f>
        <v/>
      </c>
      <c r="C589" s="21" t="s">
        <v>82</v>
      </c>
      <c r="D589" s="21" t="s">
        <v>51</v>
      </c>
      <c r="E589" s="21">
        <v>10.0</v>
      </c>
      <c r="F589" s="21" t="s">
        <v>2289</v>
      </c>
      <c r="G589" s="19"/>
      <c r="H589" s="19"/>
      <c r="I589" s="19"/>
    </row>
    <row r="590" ht="56.25" customHeight="1">
      <c r="A590" s="21" t="s">
        <v>3183</v>
      </c>
      <c r="B590" s="19" t="str">
        <f>image("https://storage.googleapis.com/acdb/photos/BromideNpcNmlPbr09_Remake_4_0.png")</f>
        <v/>
      </c>
      <c r="C590" s="21" t="s">
        <v>833</v>
      </c>
      <c r="D590" s="21" t="s">
        <v>51</v>
      </c>
      <c r="E590" s="21">
        <v>10.0</v>
      </c>
      <c r="F590" s="21" t="s">
        <v>2289</v>
      </c>
      <c r="G590" s="19"/>
      <c r="H590" s="19"/>
      <c r="I590" s="19"/>
    </row>
    <row r="591" ht="56.25" customHeight="1">
      <c r="A591" s="21" t="s">
        <v>3183</v>
      </c>
      <c r="B591" s="19" t="str">
        <f>image("https://storage.googleapis.com/acdb/photos/BromideNpcNmlPbr09_Remake_5_0.png")</f>
        <v/>
      </c>
      <c r="C591" s="21" t="s">
        <v>258</v>
      </c>
      <c r="D591" s="21" t="s">
        <v>51</v>
      </c>
      <c r="E591" s="21">
        <v>10.0</v>
      </c>
      <c r="F591" s="21" t="s">
        <v>2289</v>
      </c>
      <c r="G591" s="19"/>
      <c r="H591" s="19"/>
      <c r="I591" s="19"/>
    </row>
    <row r="592" ht="56.25" customHeight="1">
      <c r="A592" s="21" t="s">
        <v>3183</v>
      </c>
      <c r="B592" s="19" t="str">
        <f>image("https://storage.googleapis.com/acdb/photos/BromideNpcNmlPbr09_Remake_6_0.png")</f>
        <v/>
      </c>
      <c r="C592" s="21" t="s">
        <v>182</v>
      </c>
      <c r="D592" s="21" t="s">
        <v>51</v>
      </c>
      <c r="E592" s="21">
        <v>10.0</v>
      </c>
      <c r="F592" s="21" t="s">
        <v>2289</v>
      </c>
      <c r="G592" s="19"/>
      <c r="H592" s="19"/>
      <c r="I592" s="19"/>
    </row>
    <row r="593" ht="56.25" customHeight="1">
      <c r="A593" s="21" t="s">
        <v>3183</v>
      </c>
      <c r="B593" s="19" t="str">
        <f>image("https://storage.googleapis.com/acdb/photos/BromideNpcNmlPbr09_Remake_7_0.png")</f>
        <v/>
      </c>
      <c r="C593" s="21" t="s">
        <v>187</v>
      </c>
      <c r="D593" s="21" t="s">
        <v>51</v>
      </c>
      <c r="E593" s="21">
        <v>10.0</v>
      </c>
      <c r="F593" s="21" t="s">
        <v>2289</v>
      </c>
      <c r="G593" s="19"/>
      <c r="H593" s="19"/>
      <c r="I593" s="19"/>
    </row>
    <row r="594" ht="56.25" customHeight="1">
      <c r="A594" s="21" t="s">
        <v>3190</v>
      </c>
      <c r="B594" s="19" t="str">
        <f>image("https://storage.googleapis.com/acdb/photos/BromideNpcNmlGor00_Remake_0_0.png")</f>
        <v/>
      </c>
      <c r="C594" s="21" t="s">
        <v>219</v>
      </c>
      <c r="D594" s="21" t="s">
        <v>51</v>
      </c>
      <c r="E594" s="21">
        <v>10.0</v>
      </c>
      <c r="F594" s="21" t="s">
        <v>2289</v>
      </c>
      <c r="G594" s="19"/>
      <c r="H594" s="19"/>
      <c r="I594" s="19"/>
    </row>
    <row r="595" ht="56.25" customHeight="1">
      <c r="A595" s="21" t="s">
        <v>3190</v>
      </c>
      <c r="B595" s="19" t="str">
        <f>image("https://storage.googleapis.com/acdb/photos/BromideNpcNmlGor00_Remake_1_0.png")</f>
        <v/>
      </c>
      <c r="C595" s="21" t="s">
        <v>795</v>
      </c>
      <c r="D595" s="21" t="s">
        <v>51</v>
      </c>
      <c r="E595" s="21">
        <v>10.0</v>
      </c>
      <c r="F595" s="21" t="s">
        <v>2289</v>
      </c>
      <c r="G595" s="19"/>
      <c r="H595" s="19"/>
      <c r="I595" s="19"/>
    </row>
    <row r="596" ht="56.25" customHeight="1">
      <c r="A596" s="21" t="s">
        <v>3190</v>
      </c>
      <c r="B596" s="19" t="str">
        <f>image("https://storage.googleapis.com/acdb/photos/BromideNpcNmlGor00_Remake_2_0.png")</f>
        <v/>
      </c>
      <c r="C596" s="21" t="s">
        <v>954</v>
      </c>
      <c r="D596" s="21" t="s">
        <v>51</v>
      </c>
      <c r="E596" s="21">
        <v>10.0</v>
      </c>
      <c r="F596" s="21" t="s">
        <v>2289</v>
      </c>
      <c r="G596" s="19"/>
      <c r="H596" s="19"/>
      <c r="I596" s="19"/>
    </row>
    <row r="597" ht="56.25" customHeight="1">
      <c r="A597" s="21" t="s">
        <v>3190</v>
      </c>
      <c r="B597" s="19" t="str">
        <f>image("https://storage.googleapis.com/acdb/photos/BromideNpcNmlGor00_Remake_3_0.png")</f>
        <v/>
      </c>
      <c r="C597" s="21" t="s">
        <v>82</v>
      </c>
      <c r="D597" s="21" t="s">
        <v>51</v>
      </c>
      <c r="E597" s="21">
        <v>10.0</v>
      </c>
      <c r="F597" s="21" t="s">
        <v>2289</v>
      </c>
      <c r="G597" s="19"/>
      <c r="H597" s="19"/>
      <c r="I597" s="19"/>
    </row>
    <row r="598" ht="56.25" customHeight="1">
      <c r="A598" s="21" t="s">
        <v>3190</v>
      </c>
      <c r="B598" s="19" t="str">
        <f>image("https://storage.googleapis.com/acdb/photos/BromideNpcNmlGor00_Remake_4_0.png")</f>
        <v/>
      </c>
      <c r="C598" s="21" t="s">
        <v>833</v>
      </c>
      <c r="D598" s="21" t="s">
        <v>51</v>
      </c>
      <c r="E598" s="21">
        <v>10.0</v>
      </c>
      <c r="F598" s="21" t="s">
        <v>2289</v>
      </c>
      <c r="G598" s="19"/>
      <c r="H598" s="19"/>
      <c r="I598" s="19"/>
    </row>
    <row r="599" ht="56.25" customHeight="1">
      <c r="A599" s="21" t="s">
        <v>3190</v>
      </c>
      <c r="B599" s="19" t="str">
        <f>image("https://storage.googleapis.com/acdb/photos/BromideNpcNmlGor00_Remake_5_0.png")</f>
        <v/>
      </c>
      <c r="C599" s="21" t="s">
        <v>258</v>
      </c>
      <c r="D599" s="21" t="s">
        <v>51</v>
      </c>
      <c r="E599" s="21">
        <v>10.0</v>
      </c>
      <c r="F599" s="21" t="s">
        <v>2289</v>
      </c>
      <c r="G599" s="19"/>
      <c r="H599" s="19"/>
      <c r="I599" s="19"/>
    </row>
    <row r="600" ht="56.25" customHeight="1">
      <c r="A600" s="21" t="s">
        <v>3190</v>
      </c>
      <c r="B600" s="19" t="str">
        <f>image("https://storage.googleapis.com/acdb/photos/BromideNpcNmlGor00_Remake_6_0.png")</f>
        <v/>
      </c>
      <c r="C600" s="21" t="s">
        <v>182</v>
      </c>
      <c r="D600" s="21" t="s">
        <v>51</v>
      </c>
      <c r="E600" s="21">
        <v>10.0</v>
      </c>
      <c r="F600" s="21" t="s">
        <v>2289</v>
      </c>
      <c r="G600" s="19"/>
      <c r="H600" s="19"/>
      <c r="I600" s="19"/>
    </row>
    <row r="601" ht="56.25" customHeight="1">
      <c r="A601" s="21" t="s">
        <v>3190</v>
      </c>
      <c r="B601" s="19" t="str">
        <f>image("https://storage.googleapis.com/acdb/photos/BromideNpcNmlGor00_Remake_7_0.png")</f>
        <v/>
      </c>
      <c r="C601" s="21" t="s">
        <v>187</v>
      </c>
      <c r="D601" s="21" t="s">
        <v>51</v>
      </c>
      <c r="E601" s="21">
        <v>10.0</v>
      </c>
      <c r="F601" s="21" t="s">
        <v>2289</v>
      </c>
      <c r="G601" s="19"/>
      <c r="H601" s="19"/>
      <c r="I601" s="19"/>
    </row>
    <row r="602" ht="56.25" customHeight="1">
      <c r="A602" s="21" t="s">
        <v>3198</v>
      </c>
      <c r="B602" s="19" t="str">
        <f>image("https://storage.googleapis.com/acdb/photos/BromideNpcNmlMus18_Remake_0_0.png")</f>
        <v/>
      </c>
      <c r="C602" s="21" t="s">
        <v>219</v>
      </c>
      <c r="D602" s="21" t="s">
        <v>51</v>
      </c>
      <c r="E602" s="21">
        <v>10.0</v>
      </c>
      <c r="F602" s="21" t="s">
        <v>2289</v>
      </c>
      <c r="G602" s="19"/>
      <c r="H602" s="19"/>
      <c r="I602" s="19"/>
    </row>
    <row r="603" ht="56.25" customHeight="1">
      <c r="A603" s="21" t="s">
        <v>3198</v>
      </c>
      <c r="B603" s="19" t="str">
        <f>image("https://storage.googleapis.com/acdb/photos/BromideNpcNmlMus18_Remake_1_0.png")</f>
        <v/>
      </c>
      <c r="C603" s="21" t="s">
        <v>795</v>
      </c>
      <c r="D603" s="21" t="s">
        <v>51</v>
      </c>
      <c r="E603" s="21">
        <v>10.0</v>
      </c>
      <c r="F603" s="21" t="s">
        <v>2289</v>
      </c>
      <c r="G603" s="19"/>
      <c r="H603" s="19"/>
      <c r="I603" s="19"/>
    </row>
    <row r="604" ht="56.25" customHeight="1">
      <c r="A604" s="21" t="s">
        <v>3198</v>
      </c>
      <c r="B604" s="19" t="str">
        <f>image("https://storage.googleapis.com/acdb/photos/BromideNpcNmlMus18_Remake_2_0.png")</f>
        <v/>
      </c>
      <c r="C604" s="21" t="s">
        <v>954</v>
      </c>
      <c r="D604" s="21" t="s">
        <v>51</v>
      </c>
      <c r="E604" s="21">
        <v>10.0</v>
      </c>
      <c r="F604" s="21" t="s">
        <v>2289</v>
      </c>
      <c r="G604" s="19"/>
      <c r="H604" s="19"/>
      <c r="I604" s="19"/>
    </row>
    <row r="605" ht="56.25" customHeight="1">
      <c r="A605" s="21" t="s">
        <v>3198</v>
      </c>
      <c r="B605" s="19" t="str">
        <f>image("https://storage.googleapis.com/acdb/photos/BromideNpcNmlMus18_Remake_3_0.png")</f>
        <v/>
      </c>
      <c r="C605" s="21" t="s">
        <v>82</v>
      </c>
      <c r="D605" s="21" t="s">
        <v>51</v>
      </c>
      <c r="E605" s="21">
        <v>10.0</v>
      </c>
      <c r="F605" s="21" t="s">
        <v>2289</v>
      </c>
      <c r="G605" s="19"/>
      <c r="H605" s="19"/>
      <c r="I605" s="19"/>
    </row>
    <row r="606" ht="56.25" customHeight="1">
      <c r="A606" s="21" t="s">
        <v>3198</v>
      </c>
      <c r="B606" s="19" t="str">
        <f>image("https://storage.googleapis.com/acdb/photos/BromideNpcNmlMus18_Remake_4_0.png")</f>
        <v/>
      </c>
      <c r="C606" s="21" t="s">
        <v>833</v>
      </c>
      <c r="D606" s="21" t="s">
        <v>51</v>
      </c>
      <c r="E606" s="21">
        <v>10.0</v>
      </c>
      <c r="F606" s="21" t="s">
        <v>2289</v>
      </c>
      <c r="G606" s="19"/>
      <c r="H606" s="19"/>
      <c r="I606" s="19"/>
    </row>
    <row r="607" ht="56.25" customHeight="1">
      <c r="A607" s="21" t="s">
        <v>3198</v>
      </c>
      <c r="B607" s="19" t="str">
        <f>image("https://storage.googleapis.com/acdb/photos/BromideNpcNmlMus18_Remake_5_0.png")</f>
        <v/>
      </c>
      <c r="C607" s="21" t="s">
        <v>258</v>
      </c>
      <c r="D607" s="21" t="s">
        <v>51</v>
      </c>
      <c r="E607" s="21">
        <v>10.0</v>
      </c>
      <c r="F607" s="21" t="s">
        <v>2289</v>
      </c>
      <c r="G607" s="19"/>
      <c r="H607" s="19"/>
      <c r="I607" s="19"/>
    </row>
    <row r="608" ht="56.25" customHeight="1">
      <c r="A608" s="21" t="s">
        <v>3198</v>
      </c>
      <c r="B608" s="19" t="str">
        <f>image("https://storage.googleapis.com/acdb/photos/BromideNpcNmlMus18_Remake_6_0.png")</f>
        <v/>
      </c>
      <c r="C608" s="21" t="s">
        <v>182</v>
      </c>
      <c r="D608" s="21" t="s">
        <v>51</v>
      </c>
      <c r="E608" s="21">
        <v>10.0</v>
      </c>
      <c r="F608" s="21" t="s">
        <v>2289</v>
      </c>
      <c r="G608" s="19"/>
      <c r="H608" s="19"/>
      <c r="I608" s="19"/>
    </row>
    <row r="609" ht="56.25" customHeight="1">
      <c r="A609" s="21" t="s">
        <v>3198</v>
      </c>
      <c r="B609" s="19" t="str">
        <f>image("https://storage.googleapis.com/acdb/photos/BromideNpcNmlMus18_Remake_7_0.png")</f>
        <v/>
      </c>
      <c r="C609" s="21" t="s">
        <v>187</v>
      </c>
      <c r="D609" s="21" t="s">
        <v>51</v>
      </c>
      <c r="E609" s="21">
        <v>10.0</v>
      </c>
      <c r="F609" s="21" t="s">
        <v>2289</v>
      </c>
      <c r="G609" s="19"/>
      <c r="H609" s="19"/>
      <c r="I609" s="19"/>
    </row>
    <row r="610" ht="56.25" customHeight="1">
      <c r="A610" s="21" t="s">
        <v>3203</v>
      </c>
      <c r="B610" s="19" t="str">
        <f>image("https://storage.googleapis.com/acdb/photos/BromideNpcNmlBea12_Remake_0_0.png")</f>
        <v/>
      </c>
      <c r="C610" s="21" t="s">
        <v>219</v>
      </c>
      <c r="D610" s="21" t="s">
        <v>51</v>
      </c>
      <c r="E610" s="21">
        <v>10.0</v>
      </c>
      <c r="F610" s="21" t="s">
        <v>2289</v>
      </c>
      <c r="G610" s="19"/>
      <c r="H610" s="19"/>
      <c r="I610" s="19"/>
    </row>
    <row r="611" ht="56.25" customHeight="1">
      <c r="A611" s="21" t="s">
        <v>3203</v>
      </c>
      <c r="B611" s="19" t="str">
        <f>image("https://storage.googleapis.com/acdb/photos/BromideNpcNmlBea12_Remake_1_0.png")</f>
        <v/>
      </c>
      <c r="C611" s="21" t="s">
        <v>795</v>
      </c>
      <c r="D611" s="21" t="s">
        <v>51</v>
      </c>
      <c r="E611" s="21">
        <v>10.0</v>
      </c>
      <c r="F611" s="21" t="s">
        <v>2289</v>
      </c>
      <c r="G611" s="19"/>
      <c r="H611" s="19"/>
      <c r="I611" s="19"/>
    </row>
    <row r="612" ht="56.25" customHeight="1">
      <c r="A612" s="21" t="s">
        <v>3203</v>
      </c>
      <c r="B612" s="19" t="str">
        <f>image("https://storage.googleapis.com/acdb/photos/BromideNpcNmlBea12_Remake_2_0.png")</f>
        <v/>
      </c>
      <c r="C612" s="21" t="s">
        <v>954</v>
      </c>
      <c r="D612" s="21" t="s">
        <v>51</v>
      </c>
      <c r="E612" s="21">
        <v>10.0</v>
      </c>
      <c r="F612" s="21" t="s">
        <v>2289</v>
      </c>
      <c r="G612" s="19"/>
      <c r="H612" s="19"/>
      <c r="I612" s="19"/>
    </row>
    <row r="613" ht="56.25" customHeight="1">
      <c r="A613" s="21" t="s">
        <v>3203</v>
      </c>
      <c r="B613" s="19" t="str">
        <f>image("https://storage.googleapis.com/acdb/photos/BromideNpcNmlBea12_Remake_3_0.png")</f>
        <v/>
      </c>
      <c r="C613" s="21" t="s">
        <v>82</v>
      </c>
      <c r="D613" s="21" t="s">
        <v>51</v>
      </c>
      <c r="E613" s="21">
        <v>10.0</v>
      </c>
      <c r="F613" s="21" t="s">
        <v>2289</v>
      </c>
      <c r="G613" s="19"/>
      <c r="H613" s="19"/>
      <c r="I613" s="19"/>
    </row>
    <row r="614" ht="56.25" customHeight="1">
      <c r="A614" s="21" t="s">
        <v>3203</v>
      </c>
      <c r="B614" s="19" t="str">
        <f>image("https://storage.googleapis.com/acdb/photos/BromideNpcNmlBea12_Remake_4_0.png")</f>
        <v/>
      </c>
      <c r="C614" s="21" t="s">
        <v>833</v>
      </c>
      <c r="D614" s="21" t="s">
        <v>51</v>
      </c>
      <c r="E614" s="21">
        <v>10.0</v>
      </c>
      <c r="F614" s="21" t="s">
        <v>2289</v>
      </c>
      <c r="G614" s="19"/>
      <c r="H614" s="19"/>
      <c r="I614" s="19"/>
    </row>
    <row r="615" ht="56.25" customHeight="1">
      <c r="A615" s="21" t="s">
        <v>3203</v>
      </c>
      <c r="B615" s="19" t="str">
        <f>image("https://storage.googleapis.com/acdb/photos/BromideNpcNmlBea12_Remake_5_0.png")</f>
        <v/>
      </c>
      <c r="C615" s="21" t="s">
        <v>258</v>
      </c>
      <c r="D615" s="21" t="s">
        <v>51</v>
      </c>
      <c r="E615" s="21">
        <v>10.0</v>
      </c>
      <c r="F615" s="21" t="s">
        <v>2289</v>
      </c>
      <c r="G615" s="19"/>
      <c r="H615" s="19"/>
      <c r="I615" s="19"/>
    </row>
    <row r="616" ht="56.25" customHeight="1">
      <c r="A616" s="21" t="s">
        <v>3203</v>
      </c>
      <c r="B616" s="19" t="str">
        <f>image("https://storage.googleapis.com/acdb/photos/BromideNpcNmlBea12_Remake_6_0.png")</f>
        <v/>
      </c>
      <c r="C616" s="21" t="s">
        <v>182</v>
      </c>
      <c r="D616" s="21" t="s">
        <v>51</v>
      </c>
      <c r="E616" s="21">
        <v>10.0</v>
      </c>
      <c r="F616" s="21" t="s">
        <v>2289</v>
      </c>
      <c r="G616" s="19"/>
      <c r="H616" s="19"/>
      <c r="I616" s="19"/>
    </row>
    <row r="617" ht="56.25" customHeight="1">
      <c r="A617" s="21" t="s">
        <v>3203</v>
      </c>
      <c r="B617" s="19" t="str">
        <f>image("https://storage.googleapis.com/acdb/photos/BromideNpcNmlBea12_Remake_7_0.png")</f>
        <v/>
      </c>
      <c r="C617" s="21" t="s">
        <v>187</v>
      </c>
      <c r="D617" s="21" t="s">
        <v>51</v>
      </c>
      <c r="E617" s="21">
        <v>10.0</v>
      </c>
      <c r="F617" s="21" t="s">
        <v>2289</v>
      </c>
      <c r="G617" s="19"/>
      <c r="H617" s="19"/>
      <c r="I617" s="19"/>
    </row>
    <row r="618" ht="56.25" customHeight="1">
      <c r="A618" s="21" t="s">
        <v>3209</v>
      </c>
      <c r="B618" s="19" t="str">
        <f>image("https://storage.googleapis.com/acdb/photos/BromideNpcNmlCbr10_Remake_0_0.png")</f>
        <v/>
      </c>
      <c r="C618" s="21" t="s">
        <v>219</v>
      </c>
      <c r="D618" s="21" t="s">
        <v>51</v>
      </c>
      <c r="E618" s="21">
        <v>10.0</v>
      </c>
      <c r="F618" s="21" t="s">
        <v>2289</v>
      </c>
      <c r="G618" s="19"/>
      <c r="H618" s="19"/>
      <c r="I618" s="19"/>
    </row>
    <row r="619" ht="56.25" customHeight="1">
      <c r="A619" s="21" t="s">
        <v>3209</v>
      </c>
      <c r="B619" s="19" t="str">
        <f>image("https://storage.googleapis.com/acdb/photos/BromideNpcNmlCbr10_Remake_1_0.png")</f>
        <v/>
      </c>
      <c r="C619" s="21" t="s">
        <v>795</v>
      </c>
      <c r="D619" s="21" t="s">
        <v>51</v>
      </c>
      <c r="E619" s="21">
        <v>10.0</v>
      </c>
      <c r="F619" s="21" t="s">
        <v>2289</v>
      </c>
      <c r="G619" s="19"/>
      <c r="H619" s="19"/>
      <c r="I619" s="19"/>
    </row>
    <row r="620" ht="56.25" customHeight="1">
      <c r="A620" s="21" t="s">
        <v>3209</v>
      </c>
      <c r="B620" s="19" t="str">
        <f>image("https://storage.googleapis.com/acdb/photos/BromideNpcNmlCbr10_Remake_2_0.png")</f>
        <v/>
      </c>
      <c r="C620" s="21" t="s">
        <v>954</v>
      </c>
      <c r="D620" s="21" t="s">
        <v>51</v>
      </c>
      <c r="E620" s="21">
        <v>10.0</v>
      </c>
      <c r="F620" s="21" t="s">
        <v>2289</v>
      </c>
      <c r="G620" s="19"/>
      <c r="H620" s="19"/>
      <c r="I620" s="19"/>
    </row>
    <row r="621" ht="56.25" customHeight="1">
      <c r="A621" s="21" t="s">
        <v>3209</v>
      </c>
      <c r="B621" s="19" t="str">
        <f>image("https://storage.googleapis.com/acdb/photos/BromideNpcNmlCbr10_Remake_3_0.png")</f>
        <v/>
      </c>
      <c r="C621" s="21" t="s">
        <v>82</v>
      </c>
      <c r="D621" s="21" t="s">
        <v>51</v>
      </c>
      <c r="E621" s="21">
        <v>10.0</v>
      </c>
      <c r="F621" s="21" t="s">
        <v>2289</v>
      </c>
      <c r="G621" s="19"/>
      <c r="H621" s="19"/>
      <c r="I621" s="19"/>
    </row>
    <row r="622" ht="56.25" customHeight="1">
      <c r="A622" s="21" t="s">
        <v>3209</v>
      </c>
      <c r="B622" s="19" t="str">
        <f>image("https://storage.googleapis.com/acdb/photos/BromideNpcNmlCbr10_Remake_4_0.png")</f>
        <v/>
      </c>
      <c r="C622" s="21" t="s">
        <v>833</v>
      </c>
      <c r="D622" s="21" t="s">
        <v>51</v>
      </c>
      <c r="E622" s="21">
        <v>10.0</v>
      </c>
      <c r="F622" s="21" t="s">
        <v>2289</v>
      </c>
      <c r="G622" s="19"/>
      <c r="H622" s="19"/>
      <c r="I622" s="19"/>
    </row>
    <row r="623" ht="56.25" customHeight="1">
      <c r="A623" s="21" t="s">
        <v>3209</v>
      </c>
      <c r="B623" s="19" t="str">
        <f>image("https://storage.googleapis.com/acdb/photos/BromideNpcNmlCbr10_Remake_5_0.png")</f>
        <v/>
      </c>
      <c r="C623" s="21" t="s">
        <v>258</v>
      </c>
      <c r="D623" s="21" t="s">
        <v>51</v>
      </c>
      <c r="E623" s="21">
        <v>10.0</v>
      </c>
      <c r="F623" s="21" t="s">
        <v>2289</v>
      </c>
      <c r="G623" s="19"/>
      <c r="H623" s="19"/>
      <c r="I623" s="19"/>
    </row>
    <row r="624" ht="56.25" customHeight="1">
      <c r="A624" s="21" t="s">
        <v>3209</v>
      </c>
      <c r="B624" s="19" t="str">
        <f>image("https://storage.googleapis.com/acdb/photos/BromideNpcNmlCbr10_Remake_6_0.png")</f>
        <v/>
      </c>
      <c r="C624" s="21" t="s">
        <v>182</v>
      </c>
      <c r="D624" s="21" t="s">
        <v>51</v>
      </c>
      <c r="E624" s="21">
        <v>10.0</v>
      </c>
      <c r="F624" s="21" t="s">
        <v>2289</v>
      </c>
      <c r="G624" s="19"/>
      <c r="H624" s="19"/>
      <c r="I624" s="19"/>
    </row>
    <row r="625" ht="56.25" customHeight="1">
      <c r="A625" s="21" t="s">
        <v>3209</v>
      </c>
      <c r="B625" s="19" t="str">
        <f>image("https://storage.googleapis.com/acdb/photos/BromideNpcNmlCbr10_Remake_7_0.png")</f>
        <v/>
      </c>
      <c r="C625" s="21" t="s">
        <v>187</v>
      </c>
      <c r="D625" s="21" t="s">
        <v>51</v>
      </c>
      <c r="E625" s="21">
        <v>10.0</v>
      </c>
      <c r="F625" s="21" t="s">
        <v>2289</v>
      </c>
      <c r="G625" s="19"/>
      <c r="H625" s="19"/>
      <c r="I625" s="19"/>
    </row>
    <row r="626" ht="56.25" customHeight="1">
      <c r="A626" s="21" t="s">
        <v>3217</v>
      </c>
      <c r="B626" s="19" t="str">
        <f>image("https://storage.googleapis.com/acdb/photos/BromideNpcNmlDog17_Remake_0_0.png")</f>
        <v/>
      </c>
      <c r="C626" s="21" t="s">
        <v>219</v>
      </c>
      <c r="D626" s="21" t="s">
        <v>51</v>
      </c>
      <c r="E626" s="21">
        <v>10.0</v>
      </c>
      <c r="F626" s="21" t="s">
        <v>2289</v>
      </c>
      <c r="G626" s="19"/>
      <c r="H626" s="19"/>
      <c r="I626" s="19"/>
    </row>
    <row r="627" ht="56.25" customHeight="1">
      <c r="A627" s="21" t="s">
        <v>3217</v>
      </c>
      <c r="B627" s="19" t="str">
        <f>image("https://storage.googleapis.com/acdb/photos/BromideNpcNmlDog17_Remake_1_0.png")</f>
        <v/>
      </c>
      <c r="C627" s="21" t="s">
        <v>795</v>
      </c>
      <c r="D627" s="21" t="s">
        <v>51</v>
      </c>
      <c r="E627" s="21">
        <v>10.0</v>
      </c>
      <c r="F627" s="21" t="s">
        <v>2289</v>
      </c>
      <c r="G627" s="19"/>
      <c r="H627" s="19"/>
      <c r="I627" s="19"/>
    </row>
    <row r="628" ht="56.25" customHeight="1">
      <c r="A628" s="21" t="s">
        <v>3217</v>
      </c>
      <c r="B628" s="19" t="str">
        <f>image("https://storage.googleapis.com/acdb/photos/BromideNpcNmlDog17_Remake_2_0.png")</f>
        <v/>
      </c>
      <c r="C628" s="21" t="s">
        <v>954</v>
      </c>
      <c r="D628" s="21" t="s">
        <v>51</v>
      </c>
      <c r="E628" s="21">
        <v>10.0</v>
      </c>
      <c r="F628" s="21" t="s">
        <v>2289</v>
      </c>
      <c r="G628" s="19"/>
      <c r="H628" s="19"/>
      <c r="I628" s="19"/>
    </row>
    <row r="629" ht="56.25" customHeight="1">
      <c r="A629" s="21" t="s">
        <v>3217</v>
      </c>
      <c r="B629" s="19" t="str">
        <f>image("https://storage.googleapis.com/acdb/photos/BromideNpcNmlDog17_Remake_3_0.png")</f>
        <v/>
      </c>
      <c r="C629" s="21" t="s">
        <v>82</v>
      </c>
      <c r="D629" s="21" t="s">
        <v>51</v>
      </c>
      <c r="E629" s="21">
        <v>10.0</v>
      </c>
      <c r="F629" s="21" t="s">
        <v>2289</v>
      </c>
      <c r="G629" s="19"/>
      <c r="H629" s="19"/>
      <c r="I629" s="19"/>
    </row>
    <row r="630" ht="56.25" customHeight="1">
      <c r="A630" s="21" t="s">
        <v>3217</v>
      </c>
      <c r="B630" s="19" t="str">
        <f>image("https://storage.googleapis.com/acdb/photos/BromideNpcNmlDog17_Remake_4_0.png")</f>
        <v/>
      </c>
      <c r="C630" s="21" t="s">
        <v>833</v>
      </c>
      <c r="D630" s="21" t="s">
        <v>51</v>
      </c>
      <c r="E630" s="21">
        <v>10.0</v>
      </c>
      <c r="F630" s="21" t="s">
        <v>2289</v>
      </c>
      <c r="G630" s="19"/>
      <c r="H630" s="19"/>
      <c r="I630" s="19"/>
    </row>
    <row r="631" ht="56.25" customHeight="1">
      <c r="A631" s="21" t="s">
        <v>3217</v>
      </c>
      <c r="B631" s="19" t="str">
        <f>image("https://storage.googleapis.com/acdb/photos/BromideNpcNmlDog17_Remake_5_0.png")</f>
        <v/>
      </c>
      <c r="C631" s="21" t="s">
        <v>258</v>
      </c>
      <c r="D631" s="21" t="s">
        <v>51</v>
      </c>
      <c r="E631" s="21">
        <v>10.0</v>
      </c>
      <c r="F631" s="21" t="s">
        <v>2289</v>
      </c>
      <c r="G631" s="19"/>
      <c r="H631" s="19"/>
      <c r="I631" s="19"/>
    </row>
    <row r="632" ht="56.25" customHeight="1">
      <c r="A632" s="21" t="s">
        <v>3217</v>
      </c>
      <c r="B632" s="19" t="str">
        <f>image("https://storage.googleapis.com/acdb/photos/BromideNpcNmlDog17_Remake_6_0.png")</f>
        <v/>
      </c>
      <c r="C632" s="21" t="s">
        <v>182</v>
      </c>
      <c r="D632" s="21" t="s">
        <v>51</v>
      </c>
      <c r="E632" s="21">
        <v>10.0</v>
      </c>
      <c r="F632" s="21" t="s">
        <v>2289</v>
      </c>
      <c r="G632" s="19"/>
      <c r="H632" s="19"/>
      <c r="I632" s="19"/>
    </row>
    <row r="633" ht="56.25" customHeight="1">
      <c r="A633" s="21" t="s">
        <v>3217</v>
      </c>
      <c r="B633" s="19" t="str">
        <f>image("https://storage.googleapis.com/acdb/photos/BromideNpcNmlDog17_Remake_7_0.png")</f>
        <v/>
      </c>
      <c r="C633" s="21" t="s">
        <v>187</v>
      </c>
      <c r="D633" s="21" t="s">
        <v>51</v>
      </c>
      <c r="E633" s="21">
        <v>10.0</v>
      </c>
      <c r="F633" s="21" t="s">
        <v>2289</v>
      </c>
      <c r="G633" s="19"/>
      <c r="H633" s="19"/>
      <c r="I633" s="19"/>
    </row>
    <row r="634" ht="56.25" customHeight="1">
      <c r="A634" s="21" t="s">
        <v>3224</v>
      </c>
      <c r="B634" s="19" t="str">
        <f>image("https://storage.googleapis.com/acdb/photos/BromideNpcNmlCbr15_Remake_0_0.png")</f>
        <v/>
      </c>
      <c r="C634" s="21" t="s">
        <v>219</v>
      </c>
      <c r="D634" s="21" t="s">
        <v>51</v>
      </c>
      <c r="E634" s="21">
        <v>10.0</v>
      </c>
      <c r="F634" s="21" t="s">
        <v>2289</v>
      </c>
      <c r="G634" s="19"/>
      <c r="H634" s="19"/>
      <c r="I634" s="19"/>
    </row>
    <row r="635" ht="56.25" customHeight="1">
      <c r="A635" s="21" t="s">
        <v>3224</v>
      </c>
      <c r="B635" s="19" t="str">
        <f>image("https://storage.googleapis.com/acdb/photos/BromideNpcNmlCbr15_Remake_1_0.png")</f>
        <v/>
      </c>
      <c r="C635" s="21" t="s">
        <v>795</v>
      </c>
      <c r="D635" s="21" t="s">
        <v>51</v>
      </c>
      <c r="E635" s="21">
        <v>10.0</v>
      </c>
      <c r="F635" s="21" t="s">
        <v>2289</v>
      </c>
      <c r="G635" s="19"/>
      <c r="H635" s="19"/>
      <c r="I635" s="19"/>
    </row>
    <row r="636" ht="56.25" customHeight="1">
      <c r="A636" s="21" t="s">
        <v>3224</v>
      </c>
      <c r="B636" s="19" t="str">
        <f>image("https://storage.googleapis.com/acdb/photos/BromideNpcNmlCbr15_Remake_2_0.png")</f>
        <v/>
      </c>
      <c r="C636" s="21" t="s">
        <v>954</v>
      </c>
      <c r="D636" s="21" t="s">
        <v>51</v>
      </c>
      <c r="E636" s="21">
        <v>10.0</v>
      </c>
      <c r="F636" s="21" t="s">
        <v>2289</v>
      </c>
      <c r="G636" s="19"/>
      <c r="H636" s="19"/>
      <c r="I636" s="19"/>
    </row>
    <row r="637" ht="56.25" customHeight="1">
      <c r="A637" s="21" t="s">
        <v>3224</v>
      </c>
      <c r="B637" s="19" t="str">
        <f>image("https://storage.googleapis.com/acdb/photos/BromideNpcNmlCbr15_Remake_3_0.png")</f>
        <v/>
      </c>
      <c r="C637" s="21" t="s">
        <v>82</v>
      </c>
      <c r="D637" s="21" t="s">
        <v>51</v>
      </c>
      <c r="E637" s="21">
        <v>10.0</v>
      </c>
      <c r="F637" s="21" t="s">
        <v>2289</v>
      </c>
      <c r="G637" s="19"/>
      <c r="H637" s="19"/>
      <c r="I637" s="19"/>
    </row>
    <row r="638" ht="56.25" customHeight="1">
      <c r="A638" s="21" t="s">
        <v>3224</v>
      </c>
      <c r="B638" s="19" t="str">
        <f>image("https://storage.googleapis.com/acdb/photos/BromideNpcNmlCbr15_Remake_4_0.png")</f>
        <v/>
      </c>
      <c r="C638" s="21" t="s">
        <v>833</v>
      </c>
      <c r="D638" s="21" t="s">
        <v>51</v>
      </c>
      <c r="E638" s="21">
        <v>10.0</v>
      </c>
      <c r="F638" s="21" t="s">
        <v>2289</v>
      </c>
      <c r="G638" s="19"/>
      <c r="H638" s="19"/>
      <c r="I638" s="19"/>
    </row>
    <row r="639" ht="56.25" customHeight="1">
      <c r="A639" s="21" t="s">
        <v>3224</v>
      </c>
      <c r="B639" s="19" t="str">
        <f>image("https://storage.googleapis.com/acdb/photos/BromideNpcNmlCbr15_Remake_5_0.png")</f>
        <v/>
      </c>
      <c r="C639" s="21" t="s">
        <v>258</v>
      </c>
      <c r="D639" s="21" t="s">
        <v>51</v>
      </c>
      <c r="E639" s="21">
        <v>10.0</v>
      </c>
      <c r="F639" s="21" t="s">
        <v>2289</v>
      </c>
      <c r="G639" s="19"/>
      <c r="H639" s="19"/>
      <c r="I639" s="19"/>
    </row>
    <row r="640" ht="56.25" customHeight="1">
      <c r="A640" s="21" t="s">
        <v>3224</v>
      </c>
      <c r="B640" s="19" t="str">
        <f>image("https://storage.googleapis.com/acdb/photos/BromideNpcNmlCbr15_Remake_6_0.png")</f>
        <v/>
      </c>
      <c r="C640" s="21" t="s">
        <v>182</v>
      </c>
      <c r="D640" s="21" t="s">
        <v>51</v>
      </c>
      <c r="E640" s="21">
        <v>10.0</v>
      </c>
      <c r="F640" s="21" t="s">
        <v>2289</v>
      </c>
      <c r="G640" s="19"/>
      <c r="H640" s="19"/>
      <c r="I640" s="19"/>
    </row>
    <row r="641" ht="56.25" customHeight="1">
      <c r="A641" s="21" t="s">
        <v>3224</v>
      </c>
      <c r="B641" s="19" t="str">
        <f>image("https://storage.googleapis.com/acdb/photos/BromideNpcNmlCbr15_Remake_7_0.png")</f>
        <v/>
      </c>
      <c r="C641" s="21" t="s">
        <v>187</v>
      </c>
      <c r="D641" s="21" t="s">
        <v>51</v>
      </c>
      <c r="E641" s="21">
        <v>10.0</v>
      </c>
      <c r="F641" s="21" t="s">
        <v>2289</v>
      </c>
      <c r="G641" s="19"/>
      <c r="H641" s="19"/>
      <c r="I641" s="19"/>
    </row>
    <row r="642" ht="56.25" customHeight="1">
      <c r="A642" s="21" t="s">
        <v>3230</v>
      </c>
      <c r="B642" s="19" t="str">
        <f>image("https://storage.googleapis.com/acdb/photos/BromideNpcNmlGoa00_Remake_0_0.png")</f>
        <v/>
      </c>
      <c r="C642" s="21" t="s">
        <v>219</v>
      </c>
      <c r="D642" s="21" t="s">
        <v>51</v>
      </c>
      <c r="E642" s="21">
        <v>10.0</v>
      </c>
      <c r="F642" s="21" t="s">
        <v>2289</v>
      </c>
      <c r="G642" s="19"/>
      <c r="H642" s="19"/>
      <c r="I642" s="19"/>
    </row>
    <row r="643" ht="56.25" customHeight="1">
      <c r="A643" s="21" t="s">
        <v>3230</v>
      </c>
      <c r="B643" s="19" t="str">
        <f>image("https://storage.googleapis.com/acdb/photos/BromideNpcNmlGoa00_Remake_1_0.png")</f>
        <v/>
      </c>
      <c r="C643" s="21" t="s">
        <v>795</v>
      </c>
      <c r="D643" s="21" t="s">
        <v>51</v>
      </c>
      <c r="E643" s="21">
        <v>10.0</v>
      </c>
      <c r="F643" s="21" t="s">
        <v>2289</v>
      </c>
      <c r="G643" s="19"/>
      <c r="H643" s="19"/>
      <c r="I643" s="19"/>
    </row>
    <row r="644" ht="56.25" customHeight="1">
      <c r="A644" s="21" t="s">
        <v>3230</v>
      </c>
      <c r="B644" s="19" t="str">
        <f>image("https://storage.googleapis.com/acdb/photos/BromideNpcNmlGoa00_Remake_2_0.png")</f>
        <v/>
      </c>
      <c r="C644" s="21" t="s">
        <v>954</v>
      </c>
      <c r="D644" s="21" t="s">
        <v>51</v>
      </c>
      <c r="E644" s="21">
        <v>10.0</v>
      </c>
      <c r="F644" s="21" t="s">
        <v>2289</v>
      </c>
      <c r="G644" s="19"/>
      <c r="H644" s="19"/>
      <c r="I644" s="19"/>
    </row>
    <row r="645" ht="56.25" customHeight="1">
      <c r="A645" s="21" t="s">
        <v>3230</v>
      </c>
      <c r="B645" s="19" t="str">
        <f>image("https://storage.googleapis.com/acdb/photos/BromideNpcNmlGoa00_Remake_3_0.png")</f>
        <v/>
      </c>
      <c r="C645" s="21" t="s">
        <v>82</v>
      </c>
      <c r="D645" s="21" t="s">
        <v>51</v>
      </c>
      <c r="E645" s="21">
        <v>10.0</v>
      </c>
      <c r="F645" s="21" t="s">
        <v>2289</v>
      </c>
      <c r="G645" s="19"/>
      <c r="H645" s="19"/>
      <c r="I645" s="19"/>
    </row>
    <row r="646" ht="56.25" customHeight="1">
      <c r="A646" s="21" t="s">
        <v>3230</v>
      </c>
      <c r="B646" s="19" t="str">
        <f>image("https://storage.googleapis.com/acdb/photos/BromideNpcNmlGoa00_Remake_4_0.png")</f>
        <v/>
      </c>
      <c r="C646" s="21" t="s">
        <v>833</v>
      </c>
      <c r="D646" s="21" t="s">
        <v>51</v>
      </c>
      <c r="E646" s="21">
        <v>10.0</v>
      </c>
      <c r="F646" s="21" t="s">
        <v>2289</v>
      </c>
      <c r="G646" s="19"/>
      <c r="H646" s="19"/>
      <c r="I646" s="19"/>
    </row>
    <row r="647" ht="56.25" customHeight="1">
      <c r="A647" s="21" t="s">
        <v>3230</v>
      </c>
      <c r="B647" s="19" t="str">
        <f>image("https://storage.googleapis.com/acdb/photos/BromideNpcNmlGoa00_Remake_5_0.png")</f>
        <v/>
      </c>
      <c r="C647" s="21" t="s">
        <v>258</v>
      </c>
      <c r="D647" s="21" t="s">
        <v>51</v>
      </c>
      <c r="E647" s="21">
        <v>10.0</v>
      </c>
      <c r="F647" s="21" t="s">
        <v>2289</v>
      </c>
      <c r="G647" s="19"/>
      <c r="H647" s="19"/>
      <c r="I647" s="19"/>
    </row>
    <row r="648" ht="56.25" customHeight="1">
      <c r="A648" s="21" t="s">
        <v>3230</v>
      </c>
      <c r="B648" s="19" t="str">
        <f>image("https://storage.googleapis.com/acdb/photos/BromideNpcNmlGoa00_Remake_6_0.png")</f>
        <v/>
      </c>
      <c r="C648" s="21" t="s">
        <v>182</v>
      </c>
      <c r="D648" s="21" t="s">
        <v>51</v>
      </c>
      <c r="E648" s="21">
        <v>10.0</v>
      </c>
      <c r="F648" s="21" t="s">
        <v>2289</v>
      </c>
      <c r="G648" s="19"/>
      <c r="H648" s="19"/>
      <c r="I648" s="19"/>
    </row>
    <row r="649" ht="56.25" customHeight="1">
      <c r="A649" s="21" t="s">
        <v>3230</v>
      </c>
      <c r="B649" s="19" t="str">
        <f>image("https://storage.googleapis.com/acdb/photos/BromideNpcNmlGoa00_Remake_7_0.png")</f>
        <v/>
      </c>
      <c r="C649" s="21" t="s">
        <v>187</v>
      </c>
      <c r="D649" s="21" t="s">
        <v>51</v>
      </c>
      <c r="E649" s="21">
        <v>10.0</v>
      </c>
      <c r="F649" s="21" t="s">
        <v>2289</v>
      </c>
      <c r="G649" s="19"/>
      <c r="H649" s="19"/>
      <c r="I649" s="19"/>
    </row>
    <row r="650" ht="56.25" customHeight="1">
      <c r="A650" s="21" t="s">
        <v>3237</v>
      </c>
      <c r="B650" s="19" t="str">
        <f>image("https://storage.googleapis.com/acdb/photos/BromideNpcNmlWol00_Remake_0_0.png")</f>
        <v/>
      </c>
      <c r="C650" s="21" t="s">
        <v>219</v>
      </c>
      <c r="D650" s="21" t="s">
        <v>51</v>
      </c>
      <c r="E650" s="21">
        <v>10.0</v>
      </c>
      <c r="F650" s="21" t="s">
        <v>2289</v>
      </c>
      <c r="G650" s="19"/>
      <c r="H650" s="19"/>
      <c r="I650" s="19"/>
    </row>
    <row r="651" ht="56.25" customHeight="1">
      <c r="A651" s="21" t="s">
        <v>3237</v>
      </c>
      <c r="B651" s="19" t="str">
        <f>image("https://storage.googleapis.com/acdb/photos/BromideNpcNmlWol00_Remake_1_0.png")</f>
        <v/>
      </c>
      <c r="C651" s="21" t="s">
        <v>795</v>
      </c>
      <c r="D651" s="21" t="s">
        <v>51</v>
      </c>
      <c r="E651" s="21">
        <v>10.0</v>
      </c>
      <c r="F651" s="21" t="s">
        <v>2289</v>
      </c>
      <c r="G651" s="19"/>
      <c r="H651" s="19"/>
      <c r="I651" s="19"/>
    </row>
    <row r="652" ht="56.25" customHeight="1">
      <c r="A652" s="21" t="s">
        <v>3237</v>
      </c>
      <c r="B652" s="19" t="str">
        <f>image("https://storage.googleapis.com/acdb/photos/BromideNpcNmlWol00_Remake_2_0.png")</f>
        <v/>
      </c>
      <c r="C652" s="21" t="s">
        <v>954</v>
      </c>
      <c r="D652" s="21" t="s">
        <v>51</v>
      </c>
      <c r="E652" s="21">
        <v>10.0</v>
      </c>
      <c r="F652" s="21" t="s">
        <v>2289</v>
      </c>
      <c r="G652" s="19"/>
      <c r="H652" s="19"/>
      <c r="I652" s="19"/>
    </row>
    <row r="653" ht="56.25" customHeight="1">
      <c r="A653" s="21" t="s">
        <v>3237</v>
      </c>
      <c r="B653" s="19" t="str">
        <f>image("https://storage.googleapis.com/acdb/photos/BromideNpcNmlWol00_Remake_3_0.png")</f>
        <v/>
      </c>
      <c r="C653" s="21" t="s">
        <v>82</v>
      </c>
      <c r="D653" s="21" t="s">
        <v>51</v>
      </c>
      <c r="E653" s="21">
        <v>10.0</v>
      </c>
      <c r="F653" s="21" t="s">
        <v>2289</v>
      </c>
      <c r="G653" s="19"/>
      <c r="H653" s="19"/>
      <c r="I653" s="19"/>
    </row>
    <row r="654" ht="56.25" customHeight="1">
      <c r="A654" s="21" t="s">
        <v>3237</v>
      </c>
      <c r="B654" s="19" t="str">
        <f>image("https://storage.googleapis.com/acdb/photos/BromideNpcNmlWol00_Remake_4_0.png")</f>
        <v/>
      </c>
      <c r="C654" s="21" t="s">
        <v>833</v>
      </c>
      <c r="D654" s="21" t="s">
        <v>51</v>
      </c>
      <c r="E654" s="21">
        <v>10.0</v>
      </c>
      <c r="F654" s="21" t="s">
        <v>2289</v>
      </c>
      <c r="G654" s="19"/>
      <c r="H654" s="19"/>
      <c r="I654" s="19"/>
    </row>
    <row r="655" ht="56.25" customHeight="1">
      <c r="A655" s="21" t="s">
        <v>3237</v>
      </c>
      <c r="B655" s="19" t="str">
        <f>image("https://storage.googleapis.com/acdb/photos/BromideNpcNmlWol00_Remake_5_0.png")</f>
        <v/>
      </c>
      <c r="C655" s="21" t="s">
        <v>258</v>
      </c>
      <c r="D655" s="21" t="s">
        <v>51</v>
      </c>
      <c r="E655" s="21">
        <v>10.0</v>
      </c>
      <c r="F655" s="21" t="s">
        <v>2289</v>
      </c>
      <c r="G655" s="19"/>
      <c r="H655" s="19"/>
      <c r="I655" s="19"/>
    </row>
    <row r="656" ht="56.25" customHeight="1">
      <c r="A656" s="21" t="s">
        <v>3237</v>
      </c>
      <c r="B656" s="19" t="str">
        <f>image("https://storage.googleapis.com/acdb/photos/BromideNpcNmlWol00_Remake_6_0.png")</f>
        <v/>
      </c>
      <c r="C656" s="21" t="s">
        <v>182</v>
      </c>
      <c r="D656" s="21" t="s">
        <v>51</v>
      </c>
      <c r="E656" s="21">
        <v>10.0</v>
      </c>
      <c r="F656" s="21" t="s">
        <v>2289</v>
      </c>
      <c r="G656" s="19"/>
      <c r="H656" s="19"/>
      <c r="I656" s="19"/>
    </row>
    <row r="657" ht="56.25" customHeight="1">
      <c r="A657" s="21" t="s">
        <v>3237</v>
      </c>
      <c r="B657" s="19" t="str">
        <f>image("https://storage.googleapis.com/acdb/photos/BromideNpcNmlWol00_Remake_7_0.png")</f>
        <v/>
      </c>
      <c r="C657" s="21" t="s">
        <v>187</v>
      </c>
      <c r="D657" s="21" t="s">
        <v>51</v>
      </c>
      <c r="E657" s="21">
        <v>10.0</v>
      </c>
      <c r="F657" s="21" t="s">
        <v>2289</v>
      </c>
      <c r="G657" s="19"/>
      <c r="H657" s="19"/>
      <c r="I657" s="19"/>
    </row>
    <row r="658" ht="56.25" customHeight="1">
      <c r="A658" s="21" t="s">
        <v>3246</v>
      </c>
      <c r="B658" s="19" t="str">
        <f>image("https://storage.googleapis.com/acdb/photos/BromideNpcNmlPig14_Remake_0_0.png")</f>
        <v/>
      </c>
      <c r="C658" s="21" t="s">
        <v>219</v>
      </c>
      <c r="D658" s="21" t="s">
        <v>51</v>
      </c>
      <c r="E658" s="21">
        <v>10.0</v>
      </c>
      <c r="F658" s="21" t="s">
        <v>2289</v>
      </c>
      <c r="G658" s="19"/>
      <c r="H658" s="19"/>
      <c r="I658" s="19"/>
    </row>
    <row r="659" ht="56.25" customHeight="1">
      <c r="A659" s="21" t="s">
        <v>3246</v>
      </c>
      <c r="B659" s="19" t="str">
        <f>image("https://storage.googleapis.com/acdb/photos/BromideNpcNmlPig14_Remake_1_0.png")</f>
        <v/>
      </c>
      <c r="C659" s="21" t="s">
        <v>795</v>
      </c>
      <c r="D659" s="21" t="s">
        <v>51</v>
      </c>
      <c r="E659" s="21">
        <v>10.0</v>
      </c>
      <c r="F659" s="21" t="s">
        <v>2289</v>
      </c>
      <c r="G659" s="19"/>
      <c r="H659" s="19"/>
      <c r="I659" s="19"/>
    </row>
    <row r="660" ht="56.25" customHeight="1">
      <c r="A660" s="21" t="s">
        <v>3246</v>
      </c>
      <c r="B660" s="19" t="str">
        <f>image("https://storage.googleapis.com/acdb/photos/BromideNpcNmlPig14_Remake_2_0.png")</f>
        <v/>
      </c>
      <c r="C660" s="21" t="s">
        <v>954</v>
      </c>
      <c r="D660" s="21" t="s">
        <v>51</v>
      </c>
      <c r="E660" s="21">
        <v>10.0</v>
      </c>
      <c r="F660" s="21" t="s">
        <v>2289</v>
      </c>
      <c r="G660" s="19"/>
      <c r="H660" s="19"/>
      <c r="I660" s="19"/>
    </row>
    <row r="661" ht="56.25" customHeight="1">
      <c r="A661" s="21" t="s">
        <v>3246</v>
      </c>
      <c r="B661" s="19" t="str">
        <f>image("https://storage.googleapis.com/acdb/photos/BromideNpcNmlPig14_Remake_3_0.png")</f>
        <v/>
      </c>
      <c r="C661" s="21" t="s">
        <v>82</v>
      </c>
      <c r="D661" s="21" t="s">
        <v>51</v>
      </c>
      <c r="E661" s="21">
        <v>10.0</v>
      </c>
      <c r="F661" s="21" t="s">
        <v>2289</v>
      </c>
      <c r="G661" s="19"/>
      <c r="H661" s="19"/>
      <c r="I661" s="19"/>
    </row>
    <row r="662" ht="56.25" customHeight="1">
      <c r="A662" s="21" t="s">
        <v>3246</v>
      </c>
      <c r="B662" s="19" t="str">
        <f>image("https://storage.googleapis.com/acdb/photos/BromideNpcNmlPig14_Remake_4_0.png")</f>
        <v/>
      </c>
      <c r="C662" s="21" t="s">
        <v>833</v>
      </c>
      <c r="D662" s="21" t="s">
        <v>51</v>
      </c>
      <c r="E662" s="21">
        <v>10.0</v>
      </c>
      <c r="F662" s="21" t="s">
        <v>2289</v>
      </c>
      <c r="G662" s="19"/>
      <c r="H662" s="19"/>
      <c r="I662" s="19"/>
    </row>
    <row r="663" ht="56.25" customHeight="1">
      <c r="A663" s="21" t="s">
        <v>3246</v>
      </c>
      <c r="B663" s="19" t="str">
        <f>image("https://storage.googleapis.com/acdb/photos/BromideNpcNmlPig14_Remake_5_0.png")</f>
        <v/>
      </c>
      <c r="C663" s="21" t="s">
        <v>258</v>
      </c>
      <c r="D663" s="21" t="s">
        <v>51</v>
      </c>
      <c r="E663" s="21">
        <v>10.0</v>
      </c>
      <c r="F663" s="21" t="s">
        <v>2289</v>
      </c>
      <c r="G663" s="19"/>
      <c r="H663" s="19"/>
      <c r="I663" s="19"/>
    </row>
    <row r="664" ht="56.25" customHeight="1">
      <c r="A664" s="21" t="s">
        <v>3246</v>
      </c>
      <c r="B664" s="19" t="str">
        <f>image("https://storage.googleapis.com/acdb/photos/BromideNpcNmlPig14_Remake_6_0.png")</f>
        <v/>
      </c>
      <c r="C664" s="21" t="s">
        <v>182</v>
      </c>
      <c r="D664" s="21" t="s">
        <v>51</v>
      </c>
      <c r="E664" s="21">
        <v>10.0</v>
      </c>
      <c r="F664" s="21" t="s">
        <v>2289</v>
      </c>
      <c r="G664" s="19"/>
      <c r="H664" s="19"/>
      <c r="I664" s="19"/>
    </row>
    <row r="665" ht="56.25" customHeight="1">
      <c r="A665" s="21" t="s">
        <v>3246</v>
      </c>
      <c r="B665" s="19" t="str">
        <f>image("https://storage.googleapis.com/acdb/photos/BromideNpcNmlPig14_Remake_7_0.png")</f>
        <v/>
      </c>
      <c r="C665" s="21" t="s">
        <v>187</v>
      </c>
      <c r="D665" s="21" t="s">
        <v>51</v>
      </c>
      <c r="E665" s="21">
        <v>10.0</v>
      </c>
      <c r="F665" s="21" t="s">
        <v>2289</v>
      </c>
      <c r="G665" s="19"/>
      <c r="H665" s="19"/>
      <c r="I665" s="19"/>
    </row>
    <row r="666" ht="56.25" customHeight="1">
      <c r="A666" s="21" t="s">
        <v>3257</v>
      </c>
      <c r="B666" s="19" t="str">
        <f>image("https://storage.googleapis.com/acdb/photos/BromideNpcNmlBea03_Remake_0_0.png")</f>
        <v/>
      </c>
      <c r="C666" s="21" t="s">
        <v>219</v>
      </c>
      <c r="D666" s="21" t="s">
        <v>51</v>
      </c>
      <c r="E666" s="21">
        <v>10.0</v>
      </c>
      <c r="F666" s="21" t="s">
        <v>2289</v>
      </c>
      <c r="G666" s="19"/>
      <c r="H666" s="19"/>
      <c r="I666" s="19"/>
    </row>
    <row r="667" ht="56.25" customHeight="1">
      <c r="A667" s="21" t="s">
        <v>3257</v>
      </c>
      <c r="B667" s="19" t="str">
        <f>image("https://storage.googleapis.com/acdb/photos/BromideNpcNmlBea03_Remake_1_0.png")</f>
        <v/>
      </c>
      <c r="C667" s="21" t="s">
        <v>795</v>
      </c>
      <c r="D667" s="21" t="s">
        <v>51</v>
      </c>
      <c r="E667" s="21">
        <v>10.0</v>
      </c>
      <c r="F667" s="21" t="s">
        <v>2289</v>
      </c>
      <c r="G667" s="19"/>
      <c r="H667" s="19"/>
      <c r="I667" s="19"/>
    </row>
    <row r="668" ht="56.25" customHeight="1">
      <c r="A668" s="21" t="s">
        <v>3257</v>
      </c>
      <c r="B668" s="19" t="str">
        <f>image("https://storage.googleapis.com/acdb/photos/BromideNpcNmlBea03_Remake_2_0.png")</f>
        <v/>
      </c>
      <c r="C668" s="21" t="s">
        <v>954</v>
      </c>
      <c r="D668" s="21" t="s">
        <v>51</v>
      </c>
      <c r="E668" s="21">
        <v>10.0</v>
      </c>
      <c r="F668" s="21" t="s">
        <v>2289</v>
      </c>
      <c r="G668" s="19"/>
      <c r="H668" s="19"/>
      <c r="I668" s="19"/>
    </row>
    <row r="669" ht="56.25" customHeight="1">
      <c r="A669" s="21" t="s">
        <v>3257</v>
      </c>
      <c r="B669" s="19" t="str">
        <f>image("https://storage.googleapis.com/acdb/photos/BromideNpcNmlBea03_Remake_3_0.png")</f>
        <v/>
      </c>
      <c r="C669" s="21" t="s">
        <v>82</v>
      </c>
      <c r="D669" s="21" t="s">
        <v>51</v>
      </c>
      <c r="E669" s="21">
        <v>10.0</v>
      </c>
      <c r="F669" s="21" t="s">
        <v>2289</v>
      </c>
      <c r="G669" s="19"/>
      <c r="H669" s="19"/>
      <c r="I669" s="19"/>
    </row>
    <row r="670" ht="56.25" customHeight="1">
      <c r="A670" s="21" t="s">
        <v>3257</v>
      </c>
      <c r="B670" s="19" t="str">
        <f>image("https://storage.googleapis.com/acdb/photos/BromideNpcNmlBea03_Remake_4_0.png")</f>
        <v/>
      </c>
      <c r="C670" s="21" t="s">
        <v>833</v>
      </c>
      <c r="D670" s="21" t="s">
        <v>51</v>
      </c>
      <c r="E670" s="21">
        <v>10.0</v>
      </c>
      <c r="F670" s="21" t="s">
        <v>2289</v>
      </c>
      <c r="G670" s="19"/>
      <c r="H670" s="19"/>
      <c r="I670" s="19"/>
    </row>
    <row r="671" ht="56.25" customHeight="1">
      <c r="A671" s="21" t="s">
        <v>3257</v>
      </c>
      <c r="B671" s="19" t="str">
        <f>image("https://storage.googleapis.com/acdb/photos/BromideNpcNmlBea03_Remake_5_0.png")</f>
        <v/>
      </c>
      <c r="C671" s="21" t="s">
        <v>258</v>
      </c>
      <c r="D671" s="21" t="s">
        <v>51</v>
      </c>
      <c r="E671" s="21">
        <v>10.0</v>
      </c>
      <c r="F671" s="21" t="s">
        <v>2289</v>
      </c>
      <c r="G671" s="19"/>
      <c r="H671" s="19"/>
      <c r="I671" s="19"/>
    </row>
    <row r="672" ht="56.25" customHeight="1">
      <c r="A672" s="21" t="s">
        <v>3257</v>
      </c>
      <c r="B672" s="19" t="str">
        <f>image("https://storage.googleapis.com/acdb/photos/BromideNpcNmlBea03_Remake_6_0.png")</f>
        <v/>
      </c>
      <c r="C672" s="21" t="s">
        <v>182</v>
      </c>
      <c r="D672" s="21" t="s">
        <v>51</v>
      </c>
      <c r="E672" s="21">
        <v>10.0</v>
      </c>
      <c r="F672" s="21" t="s">
        <v>2289</v>
      </c>
      <c r="G672" s="19"/>
      <c r="H672" s="19"/>
      <c r="I672" s="19"/>
    </row>
    <row r="673" ht="56.25" customHeight="1">
      <c r="A673" s="21" t="s">
        <v>3257</v>
      </c>
      <c r="B673" s="19" t="str">
        <f>image("https://storage.googleapis.com/acdb/photos/BromideNpcNmlBea03_Remake_7_0.png")</f>
        <v/>
      </c>
      <c r="C673" s="21" t="s">
        <v>187</v>
      </c>
      <c r="D673" s="21" t="s">
        <v>51</v>
      </c>
      <c r="E673" s="21">
        <v>10.0</v>
      </c>
      <c r="F673" s="21" t="s">
        <v>2289</v>
      </c>
      <c r="G673" s="19"/>
      <c r="H673" s="19"/>
      <c r="I673" s="19"/>
    </row>
    <row r="674" ht="56.25" customHeight="1">
      <c r="A674" s="21" t="s">
        <v>3265</v>
      </c>
      <c r="B674" s="19" t="str">
        <f>image("https://storage.googleapis.com/acdb/photos/BromideNpcNmlRbt13_Remake_0_0.png")</f>
        <v/>
      </c>
      <c r="C674" s="21" t="s">
        <v>219</v>
      </c>
      <c r="D674" s="21" t="s">
        <v>51</v>
      </c>
      <c r="E674" s="21">
        <v>10.0</v>
      </c>
      <c r="F674" s="21" t="s">
        <v>2289</v>
      </c>
      <c r="G674" s="19"/>
      <c r="H674" s="19"/>
      <c r="I674" s="19"/>
    </row>
    <row r="675" ht="56.25" customHeight="1">
      <c r="A675" s="21" t="s">
        <v>3265</v>
      </c>
      <c r="B675" s="19" t="str">
        <f>image("https://storage.googleapis.com/acdb/photos/BromideNpcNmlRbt13_Remake_1_0.png")</f>
        <v/>
      </c>
      <c r="C675" s="21" t="s">
        <v>795</v>
      </c>
      <c r="D675" s="21" t="s">
        <v>51</v>
      </c>
      <c r="E675" s="21">
        <v>10.0</v>
      </c>
      <c r="F675" s="21" t="s">
        <v>2289</v>
      </c>
      <c r="G675" s="19"/>
      <c r="H675" s="19"/>
      <c r="I675" s="19"/>
    </row>
    <row r="676" ht="56.25" customHeight="1">
      <c r="A676" s="21" t="s">
        <v>3265</v>
      </c>
      <c r="B676" s="19" t="str">
        <f>image("https://storage.googleapis.com/acdb/photos/BromideNpcNmlRbt13_Remake_2_0.png")</f>
        <v/>
      </c>
      <c r="C676" s="21" t="s">
        <v>954</v>
      </c>
      <c r="D676" s="21" t="s">
        <v>51</v>
      </c>
      <c r="E676" s="21">
        <v>10.0</v>
      </c>
      <c r="F676" s="21" t="s">
        <v>2289</v>
      </c>
      <c r="G676" s="19"/>
      <c r="H676" s="19"/>
      <c r="I676" s="19"/>
    </row>
    <row r="677" ht="56.25" customHeight="1">
      <c r="A677" s="21" t="s">
        <v>3265</v>
      </c>
      <c r="B677" s="19" t="str">
        <f>image("https://storage.googleapis.com/acdb/photos/BromideNpcNmlRbt13_Remake_3_0.png")</f>
        <v/>
      </c>
      <c r="C677" s="21" t="s">
        <v>82</v>
      </c>
      <c r="D677" s="21" t="s">
        <v>51</v>
      </c>
      <c r="E677" s="21">
        <v>10.0</v>
      </c>
      <c r="F677" s="21" t="s">
        <v>2289</v>
      </c>
      <c r="G677" s="19"/>
      <c r="H677" s="19"/>
      <c r="I677" s="19"/>
    </row>
    <row r="678" ht="56.25" customHeight="1">
      <c r="A678" s="21" t="s">
        <v>3265</v>
      </c>
      <c r="B678" s="19" t="str">
        <f>image("https://storage.googleapis.com/acdb/photos/BromideNpcNmlRbt13_Remake_4_0.png")</f>
        <v/>
      </c>
      <c r="C678" s="21" t="s">
        <v>833</v>
      </c>
      <c r="D678" s="21" t="s">
        <v>51</v>
      </c>
      <c r="E678" s="21">
        <v>10.0</v>
      </c>
      <c r="F678" s="21" t="s">
        <v>2289</v>
      </c>
      <c r="G678" s="19"/>
      <c r="H678" s="19"/>
      <c r="I678" s="19"/>
    </row>
    <row r="679" ht="56.25" customHeight="1">
      <c r="A679" s="21" t="s">
        <v>3265</v>
      </c>
      <c r="B679" s="19" t="str">
        <f>image("https://storage.googleapis.com/acdb/photos/BromideNpcNmlRbt13_Remake_5_0.png")</f>
        <v/>
      </c>
      <c r="C679" s="21" t="s">
        <v>258</v>
      </c>
      <c r="D679" s="21" t="s">
        <v>51</v>
      </c>
      <c r="E679" s="21">
        <v>10.0</v>
      </c>
      <c r="F679" s="21" t="s">
        <v>2289</v>
      </c>
      <c r="G679" s="19"/>
      <c r="H679" s="19"/>
      <c r="I679" s="19"/>
    </row>
    <row r="680" ht="56.25" customHeight="1">
      <c r="A680" s="21" t="s">
        <v>3265</v>
      </c>
      <c r="B680" s="19" t="str">
        <f>image("https://storage.googleapis.com/acdb/photos/BromideNpcNmlRbt13_Remake_6_0.png")</f>
        <v/>
      </c>
      <c r="C680" s="21" t="s">
        <v>182</v>
      </c>
      <c r="D680" s="21" t="s">
        <v>51</v>
      </c>
      <c r="E680" s="21">
        <v>10.0</v>
      </c>
      <c r="F680" s="21" t="s">
        <v>2289</v>
      </c>
      <c r="G680" s="19"/>
      <c r="H680" s="19"/>
      <c r="I680" s="19"/>
    </row>
    <row r="681" ht="56.25" customHeight="1">
      <c r="A681" s="21" t="s">
        <v>3265</v>
      </c>
      <c r="B681" s="19" t="str">
        <f>image("https://storage.googleapis.com/acdb/photos/BromideNpcNmlRbt13_Remake_7_0.png")</f>
        <v/>
      </c>
      <c r="C681" s="21" t="s">
        <v>187</v>
      </c>
      <c r="D681" s="21" t="s">
        <v>51</v>
      </c>
      <c r="E681" s="21">
        <v>10.0</v>
      </c>
      <c r="F681" s="21" t="s">
        <v>2289</v>
      </c>
      <c r="G681" s="19"/>
      <c r="H681" s="19"/>
      <c r="I681" s="19"/>
    </row>
    <row r="682" ht="56.25" customHeight="1">
      <c r="A682" s="21" t="s">
        <v>3272</v>
      </c>
      <c r="B682" s="19" t="str">
        <f>image("https://storage.googleapis.com/acdb/photos/BromideNpcNmlRbt11_Remake_0_0.png")</f>
        <v/>
      </c>
      <c r="C682" s="21" t="s">
        <v>219</v>
      </c>
      <c r="D682" s="21" t="s">
        <v>51</v>
      </c>
      <c r="E682" s="21">
        <v>10.0</v>
      </c>
      <c r="F682" s="21" t="s">
        <v>2289</v>
      </c>
      <c r="G682" s="19"/>
      <c r="H682" s="19"/>
      <c r="I682" s="19"/>
    </row>
    <row r="683" ht="56.25" customHeight="1">
      <c r="A683" s="21" t="s">
        <v>3272</v>
      </c>
      <c r="B683" s="19" t="str">
        <f>image("https://storage.googleapis.com/acdb/photos/BromideNpcNmlRbt11_Remake_1_0.png")</f>
        <v/>
      </c>
      <c r="C683" s="21" t="s">
        <v>795</v>
      </c>
      <c r="D683" s="21" t="s">
        <v>51</v>
      </c>
      <c r="E683" s="21">
        <v>10.0</v>
      </c>
      <c r="F683" s="21" t="s">
        <v>2289</v>
      </c>
      <c r="G683" s="19"/>
      <c r="H683" s="19"/>
      <c r="I683" s="19"/>
    </row>
    <row r="684" ht="56.25" customHeight="1">
      <c r="A684" s="21" t="s">
        <v>3272</v>
      </c>
      <c r="B684" s="19" t="str">
        <f>image("https://storage.googleapis.com/acdb/photos/BromideNpcNmlRbt11_Remake_2_0.png")</f>
        <v/>
      </c>
      <c r="C684" s="21" t="s">
        <v>954</v>
      </c>
      <c r="D684" s="21" t="s">
        <v>51</v>
      </c>
      <c r="E684" s="21">
        <v>10.0</v>
      </c>
      <c r="F684" s="21" t="s">
        <v>2289</v>
      </c>
      <c r="G684" s="19"/>
      <c r="H684" s="19"/>
      <c r="I684" s="19"/>
    </row>
    <row r="685" ht="56.25" customHeight="1">
      <c r="A685" s="21" t="s">
        <v>3272</v>
      </c>
      <c r="B685" s="19" t="str">
        <f>image("https://storage.googleapis.com/acdb/photos/BromideNpcNmlRbt11_Remake_3_0.png")</f>
        <v/>
      </c>
      <c r="C685" s="21" t="s">
        <v>82</v>
      </c>
      <c r="D685" s="21" t="s">
        <v>51</v>
      </c>
      <c r="E685" s="21">
        <v>10.0</v>
      </c>
      <c r="F685" s="21" t="s">
        <v>2289</v>
      </c>
      <c r="G685" s="19"/>
      <c r="H685" s="19"/>
      <c r="I685" s="19"/>
    </row>
    <row r="686" ht="56.25" customHeight="1">
      <c r="A686" s="21" t="s">
        <v>3272</v>
      </c>
      <c r="B686" s="19" t="str">
        <f>image("https://storage.googleapis.com/acdb/photos/BromideNpcNmlRbt11_Remake_4_0.png")</f>
        <v/>
      </c>
      <c r="C686" s="21" t="s">
        <v>833</v>
      </c>
      <c r="D686" s="21" t="s">
        <v>51</v>
      </c>
      <c r="E686" s="21">
        <v>10.0</v>
      </c>
      <c r="F686" s="21" t="s">
        <v>2289</v>
      </c>
      <c r="G686" s="19"/>
      <c r="H686" s="19"/>
      <c r="I686" s="19"/>
    </row>
    <row r="687" ht="56.25" customHeight="1">
      <c r="A687" s="21" t="s">
        <v>3272</v>
      </c>
      <c r="B687" s="19" t="str">
        <f>image("https://storage.googleapis.com/acdb/photos/BromideNpcNmlRbt11_Remake_5_0.png")</f>
        <v/>
      </c>
      <c r="C687" s="21" t="s">
        <v>258</v>
      </c>
      <c r="D687" s="21" t="s">
        <v>51</v>
      </c>
      <c r="E687" s="21">
        <v>10.0</v>
      </c>
      <c r="F687" s="21" t="s">
        <v>2289</v>
      </c>
      <c r="G687" s="19"/>
      <c r="H687" s="19"/>
      <c r="I687" s="19"/>
    </row>
    <row r="688" ht="56.25" customHeight="1">
      <c r="A688" s="21" t="s">
        <v>3272</v>
      </c>
      <c r="B688" s="19" t="str">
        <f>image("https://storage.googleapis.com/acdb/photos/BromideNpcNmlRbt11_Remake_6_0.png")</f>
        <v/>
      </c>
      <c r="C688" s="21" t="s">
        <v>182</v>
      </c>
      <c r="D688" s="21" t="s">
        <v>51</v>
      </c>
      <c r="E688" s="21">
        <v>10.0</v>
      </c>
      <c r="F688" s="21" t="s">
        <v>2289</v>
      </c>
      <c r="G688" s="19"/>
      <c r="H688" s="19"/>
      <c r="I688" s="19"/>
    </row>
    <row r="689" ht="56.25" customHeight="1">
      <c r="A689" s="21" t="s">
        <v>3272</v>
      </c>
      <c r="B689" s="19" t="str">
        <f>image("https://storage.googleapis.com/acdb/photos/BromideNpcNmlRbt11_Remake_7_0.png")</f>
        <v/>
      </c>
      <c r="C689" s="21" t="s">
        <v>187</v>
      </c>
      <c r="D689" s="21" t="s">
        <v>51</v>
      </c>
      <c r="E689" s="21">
        <v>10.0</v>
      </c>
      <c r="F689" s="21" t="s">
        <v>2289</v>
      </c>
      <c r="G689" s="19"/>
      <c r="H689" s="19"/>
      <c r="I689" s="19"/>
    </row>
    <row r="690" ht="56.25" customHeight="1">
      <c r="A690" s="21" t="s">
        <v>3278</v>
      </c>
      <c r="B690" s="19" t="str">
        <f>image("https://storage.googleapis.com/acdb/photos/BromideNpcNmlTig05_Remake_0_0.png")</f>
        <v/>
      </c>
      <c r="C690" s="21" t="s">
        <v>219</v>
      </c>
      <c r="D690" s="21" t="s">
        <v>51</v>
      </c>
      <c r="E690" s="21">
        <v>10.0</v>
      </c>
      <c r="F690" s="21" t="s">
        <v>2289</v>
      </c>
      <c r="G690" s="19"/>
      <c r="H690" s="19"/>
      <c r="I690" s="19"/>
    </row>
    <row r="691" ht="56.25" customHeight="1">
      <c r="A691" s="21" t="s">
        <v>3278</v>
      </c>
      <c r="B691" s="19" t="str">
        <f>image("https://storage.googleapis.com/acdb/photos/BromideNpcNmlTig05_Remake_1_0.png")</f>
        <v/>
      </c>
      <c r="C691" s="21" t="s">
        <v>795</v>
      </c>
      <c r="D691" s="21" t="s">
        <v>51</v>
      </c>
      <c r="E691" s="21">
        <v>10.0</v>
      </c>
      <c r="F691" s="21" t="s">
        <v>2289</v>
      </c>
      <c r="G691" s="19"/>
      <c r="H691" s="19"/>
      <c r="I691" s="19"/>
    </row>
    <row r="692" ht="56.25" customHeight="1">
      <c r="A692" s="21" t="s">
        <v>3278</v>
      </c>
      <c r="B692" s="19" t="str">
        <f>image("https://storage.googleapis.com/acdb/photos/BromideNpcNmlTig05_Remake_2_0.png")</f>
        <v/>
      </c>
      <c r="C692" s="21" t="s">
        <v>954</v>
      </c>
      <c r="D692" s="21" t="s">
        <v>51</v>
      </c>
      <c r="E692" s="21">
        <v>10.0</v>
      </c>
      <c r="F692" s="21" t="s">
        <v>2289</v>
      </c>
      <c r="G692" s="19"/>
      <c r="H692" s="19"/>
      <c r="I692" s="19"/>
    </row>
    <row r="693" ht="56.25" customHeight="1">
      <c r="A693" s="21" t="s">
        <v>3278</v>
      </c>
      <c r="B693" s="19" t="str">
        <f>image("https://storage.googleapis.com/acdb/photos/BromideNpcNmlTig05_Remake_3_0.png")</f>
        <v/>
      </c>
      <c r="C693" s="21" t="s">
        <v>82</v>
      </c>
      <c r="D693" s="21" t="s">
        <v>51</v>
      </c>
      <c r="E693" s="21">
        <v>10.0</v>
      </c>
      <c r="F693" s="21" t="s">
        <v>2289</v>
      </c>
      <c r="G693" s="19"/>
      <c r="H693" s="19"/>
      <c r="I693" s="19"/>
    </row>
    <row r="694" ht="56.25" customHeight="1">
      <c r="A694" s="21" t="s">
        <v>3278</v>
      </c>
      <c r="B694" s="19" t="str">
        <f>image("https://storage.googleapis.com/acdb/photos/BromideNpcNmlTig05_Remake_4_0.png")</f>
        <v/>
      </c>
      <c r="C694" s="21" t="s">
        <v>833</v>
      </c>
      <c r="D694" s="21" t="s">
        <v>51</v>
      </c>
      <c r="E694" s="21">
        <v>10.0</v>
      </c>
      <c r="F694" s="21" t="s">
        <v>2289</v>
      </c>
      <c r="G694" s="19"/>
      <c r="H694" s="19"/>
      <c r="I694" s="19"/>
    </row>
    <row r="695" ht="56.25" customHeight="1">
      <c r="A695" s="21" t="s">
        <v>3278</v>
      </c>
      <c r="B695" s="19" t="str">
        <f>image("https://storage.googleapis.com/acdb/photos/BromideNpcNmlTig05_Remake_5_0.png")</f>
        <v/>
      </c>
      <c r="C695" s="21" t="s">
        <v>258</v>
      </c>
      <c r="D695" s="21" t="s">
        <v>51</v>
      </c>
      <c r="E695" s="21">
        <v>10.0</v>
      </c>
      <c r="F695" s="21" t="s">
        <v>2289</v>
      </c>
      <c r="G695" s="19"/>
      <c r="H695" s="19"/>
      <c r="I695" s="19"/>
    </row>
    <row r="696" ht="56.25" customHeight="1">
      <c r="A696" s="21" t="s">
        <v>3278</v>
      </c>
      <c r="B696" s="19" t="str">
        <f>image("https://storage.googleapis.com/acdb/photos/BromideNpcNmlTig05_Remake_6_0.png")</f>
        <v/>
      </c>
      <c r="C696" s="21" t="s">
        <v>182</v>
      </c>
      <c r="D696" s="21" t="s">
        <v>51</v>
      </c>
      <c r="E696" s="21">
        <v>10.0</v>
      </c>
      <c r="F696" s="21" t="s">
        <v>2289</v>
      </c>
      <c r="G696" s="19"/>
      <c r="H696" s="19"/>
      <c r="I696" s="19"/>
    </row>
    <row r="697" ht="56.25" customHeight="1">
      <c r="A697" s="21" t="s">
        <v>3278</v>
      </c>
      <c r="B697" s="19" t="str">
        <f>image("https://storage.googleapis.com/acdb/photos/BromideNpcNmlTig05_Remake_7_0.png")</f>
        <v/>
      </c>
      <c r="C697" s="21" t="s">
        <v>187</v>
      </c>
      <c r="D697" s="21" t="s">
        <v>51</v>
      </c>
      <c r="E697" s="21">
        <v>10.0</v>
      </c>
      <c r="F697" s="21" t="s">
        <v>2289</v>
      </c>
      <c r="G697" s="19"/>
      <c r="H697" s="19"/>
      <c r="I697" s="19"/>
    </row>
    <row r="698" ht="56.25" customHeight="1">
      <c r="A698" s="21" t="s">
        <v>3285</v>
      </c>
      <c r="B698" s="19" t="str">
        <f>image("https://storage.googleapis.com/acdb/photos/BromideNpcNmlHam05_Remake_0_0.png")</f>
        <v/>
      </c>
      <c r="C698" s="21" t="s">
        <v>219</v>
      </c>
      <c r="D698" s="21" t="s">
        <v>51</v>
      </c>
      <c r="E698" s="21">
        <v>10.0</v>
      </c>
      <c r="F698" s="21" t="s">
        <v>2289</v>
      </c>
      <c r="G698" s="19"/>
      <c r="H698" s="19"/>
      <c r="I698" s="19"/>
    </row>
    <row r="699" ht="56.25" customHeight="1">
      <c r="A699" s="21" t="s">
        <v>3285</v>
      </c>
      <c r="B699" s="19" t="str">
        <f>image("https://storage.googleapis.com/acdb/photos/BromideNpcNmlHam05_Remake_1_0.png")</f>
        <v/>
      </c>
      <c r="C699" s="21" t="s">
        <v>795</v>
      </c>
      <c r="D699" s="21" t="s">
        <v>51</v>
      </c>
      <c r="E699" s="21">
        <v>10.0</v>
      </c>
      <c r="F699" s="21" t="s">
        <v>2289</v>
      </c>
      <c r="G699" s="19"/>
      <c r="H699" s="19"/>
      <c r="I699" s="19"/>
    </row>
    <row r="700" ht="56.25" customHeight="1">
      <c r="A700" s="21" t="s">
        <v>3285</v>
      </c>
      <c r="B700" s="19" t="str">
        <f>image("https://storage.googleapis.com/acdb/photos/BromideNpcNmlHam05_Remake_2_0.png")</f>
        <v/>
      </c>
      <c r="C700" s="21" t="s">
        <v>954</v>
      </c>
      <c r="D700" s="21" t="s">
        <v>51</v>
      </c>
      <c r="E700" s="21">
        <v>10.0</v>
      </c>
      <c r="F700" s="21" t="s">
        <v>2289</v>
      </c>
      <c r="G700" s="19"/>
      <c r="H700" s="19"/>
      <c r="I700" s="19"/>
    </row>
    <row r="701" ht="56.25" customHeight="1">
      <c r="A701" s="21" t="s">
        <v>3285</v>
      </c>
      <c r="B701" s="19" t="str">
        <f>image("https://storage.googleapis.com/acdb/photos/BromideNpcNmlHam05_Remake_3_0.png")</f>
        <v/>
      </c>
      <c r="C701" s="21" t="s">
        <v>82</v>
      </c>
      <c r="D701" s="21" t="s">
        <v>51</v>
      </c>
      <c r="E701" s="21">
        <v>10.0</v>
      </c>
      <c r="F701" s="21" t="s">
        <v>2289</v>
      </c>
      <c r="G701" s="19"/>
      <c r="H701" s="19"/>
      <c r="I701" s="19"/>
    </row>
    <row r="702" ht="56.25" customHeight="1">
      <c r="A702" s="21" t="s">
        <v>3285</v>
      </c>
      <c r="B702" s="19" t="str">
        <f>image("https://storage.googleapis.com/acdb/photos/BromideNpcNmlHam05_Remake_4_0.png")</f>
        <v/>
      </c>
      <c r="C702" s="21" t="s">
        <v>833</v>
      </c>
      <c r="D702" s="21" t="s">
        <v>51</v>
      </c>
      <c r="E702" s="21">
        <v>10.0</v>
      </c>
      <c r="F702" s="21" t="s">
        <v>2289</v>
      </c>
      <c r="G702" s="19"/>
      <c r="H702" s="19"/>
      <c r="I702" s="19"/>
    </row>
    <row r="703" ht="56.25" customHeight="1">
      <c r="A703" s="21" t="s">
        <v>3285</v>
      </c>
      <c r="B703" s="19" t="str">
        <f>image("https://storage.googleapis.com/acdb/photos/BromideNpcNmlHam05_Remake_5_0.png")</f>
        <v/>
      </c>
      <c r="C703" s="21" t="s">
        <v>258</v>
      </c>
      <c r="D703" s="21" t="s">
        <v>51</v>
      </c>
      <c r="E703" s="21">
        <v>10.0</v>
      </c>
      <c r="F703" s="21" t="s">
        <v>2289</v>
      </c>
      <c r="G703" s="19"/>
      <c r="H703" s="19"/>
      <c r="I703" s="19"/>
    </row>
    <row r="704" ht="56.25" customHeight="1">
      <c r="A704" s="21" t="s">
        <v>3285</v>
      </c>
      <c r="B704" s="19" t="str">
        <f>image("https://storage.googleapis.com/acdb/photos/BromideNpcNmlHam05_Remake_6_0.png")</f>
        <v/>
      </c>
      <c r="C704" s="21" t="s">
        <v>182</v>
      </c>
      <c r="D704" s="21" t="s">
        <v>51</v>
      </c>
      <c r="E704" s="21">
        <v>10.0</v>
      </c>
      <c r="F704" s="21" t="s">
        <v>2289</v>
      </c>
      <c r="G704" s="19"/>
      <c r="H704" s="19"/>
      <c r="I704" s="19"/>
    </row>
    <row r="705" ht="56.25" customHeight="1">
      <c r="A705" s="21" t="s">
        <v>3285</v>
      </c>
      <c r="B705" s="19" t="str">
        <f>image("https://storage.googleapis.com/acdb/photos/BromideNpcNmlHam05_Remake_7_0.png")</f>
        <v/>
      </c>
      <c r="C705" s="21" t="s">
        <v>187</v>
      </c>
      <c r="D705" s="21" t="s">
        <v>51</v>
      </c>
      <c r="E705" s="21">
        <v>10.0</v>
      </c>
      <c r="F705" s="21" t="s">
        <v>2289</v>
      </c>
      <c r="G705" s="19"/>
      <c r="H705" s="19"/>
      <c r="I705" s="19"/>
    </row>
    <row r="706" ht="56.25" customHeight="1">
      <c r="A706" s="21" t="s">
        <v>3292</v>
      </c>
      <c r="B706" s="19" t="str">
        <f>image("https://storage.googleapis.com/acdb/photos/BromideNpcNmlHrs07_Remake_0_0.png")</f>
        <v/>
      </c>
      <c r="C706" s="21" t="s">
        <v>219</v>
      </c>
      <c r="D706" s="21" t="s">
        <v>51</v>
      </c>
      <c r="E706" s="21">
        <v>10.0</v>
      </c>
      <c r="F706" s="21" t="s">
        <v>2289</v>
      </c>
      <c r="G706" s="19"/>
      <c r="H706" s="19"/>
      <c r="I706" s="19"/>
    </row>
    <row r="707" ht="56.25" customHeight="1">
      <c r="A707" s="21" t="s">
        <v>3292</v>
      </c>
      <c r="B707" s="19" t="str">
        <f>image("https://storage.googleapis.com/acdb/photos/BromideNpcNmlHrs07_Remake_1_0.png")</f>
        <v/>
      </c>
      <c r="C707" s="21" t="s">
        <v>795</v>
      </c>
      <c r="D707" s="21" t="s">
        <v>51</v>
      </c>
      <c r="E707" s="21">
        <v>10.0</v>
      </c>
      <c r="F707" s="21" t="s">
        <v>2289</v>
      </c>
      <c r="G707" s="19"/>
      <c r="H707" s="19"/>
      <c r="I707" s="19"/>
    </row>
    <row r="708" ht="56.25" customHeight="1">
      <c r="A708" s="21" t="s">
        <v>3292</v>
      </c>
      <c r="B708" s="19" t="str">
        <f>image("https://storage.googleapis.com/acdb/photos/BromideNpcNmlHrs07_Remake_2_0.png")</f>
        <v/>
      </c>
      <c r="C708" s="21" t="s">
        <v>954</v>
      </c>
      <c r="D708" s="21" t="s">
        <v>51</v>
      </c>
      <c r="E708" s="21">
        <v>10.0</v>
      </c>
      <c r="F708" s="21" t="s">
        <v>2289</v>
      </c>
      <c r="G708" s="19"/>
      <c r="H708" s="19"/>
      <c r="I708" s="19"/>
    </row>
    <row r="709" ht="56.25" customHeight="1">
      <c r="A709" s="21" t="s">
        <v>3292</v>
      </c>
      <c r="B709" s="19" t="str">
        <f>image("https://storage.googleapis.com/acdb/photos/BromideNpcNmlHrs07_Remake_3_0.png")</f>
        <v/>
      </c>
      <c r="C709" s="21" t="s">
        <v>82</v>
      </c>
      <c r="D709" s="21" t="s">
        <v>51</v>
      </c>
      <c r="E709" s="21">
        <v>10.0</v>
      </c>
      <c r="F709" s="21" t="s">
        <v>2289</v>
      </c>
      <c r="G709" s="19"/>
      <c r="H709" s="19"/>
      <c r="I709" s="19"/>
    </row>
    <row r="710" ht="56.25" customHeight="1">
      <c r="A710" s="21" t="s">
        <v>3292</v>
      </c>
      <c r="B710" s="19" t="str">
        <f>image("https://storage.googleapis.com/acdb/photos/BromideNpcNmlHrs07_Remake_4_0.png")</f>
        <v/>
      </c>
      <c r="C710" s="21" t="s">
        <v>833</v>
      </c>
      <c r="D710" s="21" t="s">
        <v>51</v>
      </c>
      <c r="E710" s="21">
        <v>10.0</v>
      </c>
      <c r="F710" s="21" t="s">
        <v>2289</v>
      </c>
      <c r="G710" s="19"/>
      <c r="H710" s="19"/>
      <c r="I710" s="19"/>
    </row>
    <row r="711" ht="56.25" customHeight="1">
      <c r="A711" s="21" t="s">
        <v>3292</v>
      </c>
      <c r="B711" s="19" t="str">
        <f>image("https://storage.googleapis.com/acdb/photos/BromideNpcNmlHrs07_Remake_5_0.png")</f>
        <v/>
      </c>
      <c r="C711" s="21" t="s">
        <v>258</v>
      </c>
      <c r="D711" s="21" t="s">
        <v>51</v>
      </c>
      <c r="E711" s="21">
        <v>10.0</v>
      </c>
      <c r="F711" s="21" t="s">
        <v>2289</v>
      </c>
      <c r="G711" s="19"/>
      <c r="H711" s="19"/>
      <c r="I711" s="19"/>
    </row>
    <row r="712" ht="56.25" customHeight="1">
      <c r="A712" s="21" t="s">
        <v>3292</v>
      </c>
      <c r="B712" s="19" t="str">
        <f>image("https://storage.googleapis.com/acdb/photos/BromideNpcNmlHrs07_Remake_6_0.png")</f>
        <v/>
      </c>
      <c r="C712" s="21" t="s">
        <v>182</v>
      </c>
      <c r="D712" s="21" t="s">
        <v>51</v>
      </c>
      <c r="E712" s="21">
        <v>10.0</v>
      </c>
      <c r="F712" s="21" t="s">
        <v>2289</v>
      </c>
      <c r="G712" s="19"/>
      <c r="H712" s="19"/>
      <c r="I712" s="19"/>
    </row>
    <row r="713" ht="56.25" customHeight="1">
      <c r="A713" s="21" t="s">
        <v>3292</v>
      </c>
      <c r="B713" s="19" t="str">
        <f>image("https://storage.googleapis.com/acdb/photos/BromideNpcNmlHrs07_Remake_7_0.png")</f>
        <v/>
      </c>
      <c r="C713" s="21" t="s">
        <v>187</v>
      </c>
      <c r="D713" s="21" t="s">
        <v>51</v>
      </c>
      <c r="E713" s="21">
        <v>10.0</v>
      </c>
      <c r="F713" s="21" t="s">
        <v>2289</v>
      </c>
      <c r="G713" s="19"/>
      <c r="H713" s="19"/>
      <c r="I713" s="19"/>
    </row>
    <row r="714" ht="56.25" customHeight="1">
      <c r="A714" s="21" t="s">
        <v>3299</v>
      </c>
      <c r="B714" s="19" t="str">
        <f>image("https://storage.googleapis.com/acdb/photos/BromideNpcNmlHrs10_Remake_0_0.png")</f>
        <v/>
      </c>
      <c r="C714" s="21" t="s">
        <v>219</v>
      </c>
      <c r="D714" s="21" t="s">
        <v>51</v>
      </c>
      <c r="E714" s="21">
        <v>10.0</v>
      </c>
      <c r="F714" s="21" t="s">
        <v>2289</v>
      </c>
      <c r="G714" s="19"/>
      <c r="H714" s="19"/>
      <c r="I714" s="19"/>
    </row>
    <row r="715" ht="56.25" customHeight="1">
      <c r="A715" s="21" t="s">
        <v>3299</v>
      </c>
      <c r="B715" s="19" t="str">
        <f>image("https://storage.googleapis.com/acdb/photos/BromideNpcNmlHrs10_Remake_1_0.png")</f>
        <v/>
      </c>
      <c r="C715" s="21" t="s">
        <v>795</v>
      </c>
      <c r="D715" s="21" t="s">
        <v>51</v>
      </c>
      <c r="E715" s="21">
        <v>10.0</v>
      </c>
      <c r="F715" s="21" t="s">
        <v>2289</v>
      </c>
      <c r="G715" s="19"/>
      <c r="H715" s="19"/>
      <c r="I715" s="19"/>
    </row>
    <row r="716" ht="56.25" customHeight="1">
      <c r="A716" s="21" t="s">
        <v>3299</v>
      </c>
      <c r="B716" s="19" t="str">
        <f>image("https://storage.googleapis.com/acdb/photos/BromideNpcNmlHrs10_Remake_2_0.png")</f>
        <v/>
      </c>
      <c r="C716" s="21" t="s">
        <v>954</v>
      </c>
      <c r="D716" s="21" t="s">
        <v>51</v>
      </c>
      <c r="E716" s="21">
        <v>10.0</v>
      </c>
      <c r="F716" s="21" t="s">
        <v>2289</v>
      </c>
      <c r="G716" s="19"/>
      <c r="H716" s="19"/>
      <c r="I716" s="19"/>
    </row>
    <row r="717" ht="56.25" customHeight="1">
      <c r="A717" s="21" t="s">
        <v>3299</v>
      </c>
      <c r="B717" s="19" t="str">
        <f>image("https://storage.googleapis.com/acdb/photos/BromideNpcNmlHrs10_Remake_3_0.png")</f>
        <v/>
      </c>
      <c r="C717" s="21" t="s">
        <v>82</v>
      </c>
      <c r="D717" s="21" t="s">
        <v>51</v>
      </c>
      <c r="E717" s="21">
        <v>10.0</v>
      </c>
      <c r="F717" s="21" t="s">
        <v>2289</v>
      </c>
      <c r="G717" s="19"/>
      <c r="H717" s="19"/>
      <c r="I717" s="19"/>
    </row>
    <row r="718" ht="56.25" customHeight="1">
      <c r="A718" s="21" t="s">
        <v>3299</v>
      </c>
      <c r="B718" s="19" t="str">
        <f>image("https://storage.googleapis.com/acdb/photos/BromideNpcNmlHrs10_Remake_4_0.png")</f>
        <v/>
      </c>
      <c r="C718" s="21" t="s">
        <v>833</v>
      </c>
      <c r="D718" s="21" t="s">
        <v>51</v>
      </c>
      <c r="E718" s="21">
        <v>10.0</v>
      </c>
      <c r="F718" s="21" t="s">
        <v>2289</v>
      </c>
      <c r="G718" s="19"/>
      <c r="H718" s="19"/>
      <c r="I718" s="19"/>
    </row>
    <row r="719" ht="56.25" customHeight="1">
      <c r="A719" s="21" t="s">
        <v>3299</v>
      </c>
      <c r="B719" s="19" t="str">
        <f>image("https://storage.googleapis.com/acdb/photos/BromideNpcNmlHrs10_Remake_5_0.png")</f>
        <v/>
      </c>
      <c r="C719" s="21" t="s">
        <v>258</v>
      </c>
      <c r="D719" s="21" t="s">
        <v>51</v>
      </c>
      <c r="E719" s="21">
        <v>10.0</v>
      </c>
      <c r="F719" s="21" t="s">
        <v>2289</v>
      </c>
      <c r="G719" s="19"/>
      <c r="H719" s="19"/>
      <c r="I719" s="19"/>
    </row>
    <row r="720" ht="56.25" customHeight="1">
      <c r="A720" s="21" t="s">
        <v>3299</v>
      </c>
      <c r="B720" s="19" t="str">
        <f>image("https://storage.googleapis.com/acdb/photos/BromideNpcNmlHrs10_Remake_6_0.png")</f>
        <v/>
      </c>
      <c r="C720" s="21" t="s">
        <v>182</v>
      </c>
      <c r="D720" s="21" t="s">
        <v>51</v>
      </c>
      <c r="E720" s="21">
        <v>10.0</v>
      </c>
      <c r="F720" s="21" t="s">
        <v>2289</v>
      </c>
      <c r="G720" s="19"/>
      <c r="H720" s="19"/>
      <c r="I720" s="19"/>
    </row>
    <row r="721" ht="56.25" customHeight="1">
      <c r="A721" s="21" t="s">
        <v>3299</v>
      </c>
      <c r="B721" s="19" t="str">
        <f>image("https://storage.googleapis.com/acdb/photos/BromideNpcNmlHrs10_Remake_7_0.png")</f>
        <v/>
      </c>
      <c r="C721" s="21" t="s">
        <v>187</v>
      </c>
      <c r="D721" s="21" t="s">
        <v>51</v>
      </c>
      <c r="E721" s="21">
        <v>10.0</v>
      </c>
      <c r="F721" s="21" t="s">
        <v>2289</v>
      </c>
      <c r="G721" s="19"/>
      <c r="H721" s="19"/>
      <c r="I721" s="19"/>
    </row>
    <row r="722" ht="56.25" customHeight="1">
      <c r="A722" s="21" t="s">
        <v>3307</v>
      </c>
      <c r="B722" s="19" t="str">
        <f>image("https://storage.googleapis.com/acdb/photos/BromideNpcNmlBul07_Remake_0_0.png")</f>
        <v/>
      </c>
      <c r="C722" s="21" t="s">
        <v>219</v>
      </c>
      <c r="D722" s="21" t="s">
        <v>51</v>
      </c>
      <c r="E722" s="21">
        <v>10.0</v>
      </c>
      <c r="F722" s="21" t="s">
        <v>2289</v>
      </c>
      <c r="G722" s="19"/>
      <c r="H722" s="19"/>
      <c r="I722" s="19"/>
    </row>
    <row r="723" ht="56.25" customHeight="1">
      <c r="A723" s="21" t="s">
        <v>3307</v>
      </c>
      <c r="B723" s="19" t="str">
        <f>image("https://storage.googleapis.com/acdb/photos/BromideNpcNmlBul07_Remake_1_0.png")</f>
        <v/>
      </c>
      <c r="C723" s="21" t="s">
        <v>795</v>
      </c>
      <c r="D723" s="21" t="s">
        <v>51</v>
      </c>
      <c r="E723" s="21">
        <v>10.0</v>
      </c>
      <c r="F723" s="21" t="s">
        <v>2289</v>
      </c>
      <c r="G723" s="19"/>
      <c r="H723" s="19"/>
      <c r="I723" s="19"/>
    </row>
    <row r="724" ht="56.25" customHeight="1">
      <c r="A724" s="21" t="s">
        <v>3307</v>
      </c>
      <c r="B724" s="19" t="str">
        <f>image("https://storage.googleapis.com/acdb/photos/BromideNpcNmlBul07_Remake_2_0.png")</f>
        <v/>
      </c>
      <c r="C724" s="21" t="s">
        <v>954</v>
      </c>
      <c r="D724" s="21" t="s">
        <v>51</v>
      </c>
      <c r="E724" s="21">
        <v>10.0</v>
      </c>
      <c r="F724" s="21" t="s">
        <v>2289</v>
      </c>
      <c r="G724" s="19"/>
      <c r="H724" s="19"/>
      <c r="I724" s="19"/>
    </row>
    <row r="725" ht="56.25" customHeight="1">
      <c r="A725" s="21" t="s">
        <v>3307</v>
      </c>
      <c r="B725" s="19" t="str">
        <f>image("https://storage.googleapis.com/acdb/photos/BromideNpcNmlBul07_Remake_3_0.png")</f>
        <v/>
      </c>
      <c r="C725" s="21" t="s">
        <v>82</v>
      </c>
      <c r="D725" s="21" t="s">
        <v>51</v>
      </c>
      <c r="E725" s="21">
        <v>10.0</v>
      </c>
      <c r="F725" s="21" t="s">
        <v>2289</v>
      </c>
      <c r="G725" s="19"/>
      <c r="H725" s="19"/>
      <c r="I725" s="19"/>
    </row>
    <row r="726" ht="56.25" customHeight="1">
      <c r="A726" s="21" t="s">
        <v>3307</v>
      </c>
      <c r="B726" s="19" t="str">
        <f>image("https://storage.googleapis.com/acdb/photos/BromideNpcNmlBul07_Remake_4_0.png")</f>
        <v/>
      </c>
      <c r="C726" s="21" t="s">
        <v>833</v>
      </c>
      <c r="D726" s="21" t="s">
        <v>51</v>
      </c>
      <c r="E726" s="21">
        <v>10.0</v>
      </c>
      <c r="F726" s="21" t="s">
        <v>2289</v>
      </c>
      <c r="G726" s="19"/>
      <c r="H726" s="19"/>
      <c r="I726" s="19"/>
    </row>
    <row r="727" ht="56.25" customHeight="1">
      <c r="A727" s="21" t="s">
        <v>3307</v>
      </c>
      <c r="B727" s="19" t="str">
        <f>image("https://storage.googleapis.com/acdb/photos/BromideNpcNmlBul07_Remake_5_0.png")</f>
        <v/>
      </c>
      <c r="C727" s="21" t="s">
        <v>258</v>
      </c>
      <c r="D727" s="21" t="s">
        <v>51</v>
      </c>
      <c r="E727" s="21">
        <v>10.0</v>
      </c>
      <c r="F727" s="21" t="s">
        <v>2289</v>
      </c>
      <c r="G727" s="19"/>
      <c r="H727" s="19"/>
      <c r="I727" s="19"/>
    </row>
    <row r="728" ht="56.25" customHeight="1">
      <c r="A728" s="21" t="s">
        <v>3307</v>
      </c>
      <c r="B728" s="19" t="str">
        <f>image("https://storage.googleapis.com/acdb/photos/BromideNpcNmlBul07_Remake_6_0.png")</f>
        <v/>
      </c>
      <c r="C728" s="21" t="s">
        <v>182</v>
      </c>
      <c r="D728" s="21" t="s">
        <v>51</v>
      </c>
      <c r="E728" s="21">
        <v>10.0</v>
      </c>
      <c r="F728" s="21" t="s">
        <v>2289</v>
      </c>
      <c r="G728" s="19"/>
      <c r="H728" s="19"/>
      <c r="I728" s="19"/>
    </row>
    <row r="729" ht="56.25" customHeight="1">
      <c r="A729" s="21" t="s">
        <v>3307</v>
      </c>
      <c r="B729" s="19" t="str">
        <f>image("https://storage.googleapis.com/acdb/photos/BromideNpcNmlBul07_Remake_7_0.png")</f>
        <v/>
      </c>
      <c r="C729" s="21" t="s">
        <v>187</v>
      </c>
      <c r="D729" s="21" t="s">
        <v>51</v>
      </c>
      <c r="E729" s="21">
        <v>10.0</v>
      </c>
      <c r="F729" s="21" t="s">
        <v>2289</v>
      </c>
      <c r="G729" s="19"/>
      <c r="H729" s="19"/>
      <c r="I729" s="19"/>
    </row>
    <row r="730" ht="56.25" customHeight="1">
      <c r="A730" s="21" t="s">
        <v>3314</v>
      </c>
      <c r="B730" s="19" t="str">
        <f>image("https://storage.googleapis.com/acdb/photos/BromideNpcNmlPig08_Remake_0_0.png")</f>
        <v/>
      </c>
      <c r="C730" s="21" t="s">
        <v>219</v>
      </c>
      <c r="D730" s="21" t="s">
        <v>51</v>
      </c>
      <c r="E730" s="21">
        <v>10.0</v>
      </c>
      <c r="F730" s="21" t="s">
        <v>2289</v>
      </c>
      <c r="G730" s="19"/>
      <c r="H730" s="19"/>
      <c r="I730" s="19"/>
    </row>
    <row r="731" ht="56.25" customHeight="1">
      <c r="A731" s="21" t="s">
        <v>3314</v>
      </c>
      <c r="B731" s="19" t="str">
        <f>image("https://storage.googleapis.com/acdb/photos/BromideNpcNmlPig08_Remake_1_0.png")</f>
        <v/>
      </c>
      <c r="C731" s="21" t="s">
        <v>795</v>
      </c>
      <c r="D731" s="21" t="s">
        <v>51</v>
      </c>
      <c r="E731" s="21">
        <v>10.0</v>
      </c>
      <c r="F731" s="21" t="s">
        <v>2289</v>
      </c>
      <c r="G731" s="19"/>
      <c r="H731" s="19"/>
      <c r="I731" s="19"/>
    </row>
    <row r="732" ht="56.25" customHeight="1">
      <c r="A732" s="21" t="s">
        <v>3314</v>
      </c>
      <c r="B732" s="19" t="str">
        <f>image("https://storage.googleapis.com/acdb/photos/BromideNpcNmlPig08_Remake_2_0.png")</f>
        <v/>
      </c>
      <c r="C732" s="21" t="s">
        <v>954</v>
      </c>
      <c r="D732" s="21" t="s">
        <v>51</v>
      </c>
      <c r="E732" s="21">
        <v>10.0</v>
      </c>
      <c r="F732" s="21" t="s">
        <v>2289</v>
      </c>
      <c r="G732" s="19"/>
      <c r="H732" s="19"/>
      <c r="I732" s="19"/>
    </row>
    <row r="733" ht="56.25" customHeight="1">
      <c r="A733" s="21" t="s">
        <v>3314</v>
      </c>
      <c r="B733" s="19" t="str">
        <f>image("https://storage.googleapis.com/acdb/photos/BromideNpcNmlPig08_Remake_3_0.png")</f>
        <v/>
      </c>
      <c r="C733" s="21" t="s">
        <v>82</v>
      </c>
      <c r="D733" s="21" t="s">
        <v>51</v>
      </c>
      <c r="E733" s="21">
        <v>10.0</v>
      </c>
      <c r="F733" s="21" t="s">
        <v>2289</v>
      </c>
      <c r="G733" s="19"/>
      <c r="H733" s="19"/>
      <c r="I733" s="19"/>
    </row>
    <row r="734" ht="56.25" customHeight="1">
      <c r="A734" s="21" t="s">
        <v>3314</v>
      </c>
      <c r="B734" s="19" t="str">
        <f>image("https://storage.googleapis.com/acdb/photos/BromideNpcNmlPig08_Remake_4_0.png")</f>
        <v/>
      </c>
      <c r="C734" s="21" t="s">
        <v>833</v>
      </c>
      <c r="D734" s="21" t="s">
        <v>51</v>
      </c>
      <c r="E734" s="21">
        <v>10.0</v>
      </c>
      <c r="F734" s="21" t="s">
        <v>2289</v>
      </c>
      <c r="G734" s="19"/>
      <c r="H734" s="19"/>
      <c r="I734" s="19"/>
    </row>
    <row r="735" ht="56.25" customHeight="1">
      <c r="A735" s="21" t="s">
        <v>3314</v>
      </c>
      <c r="B735" s="19" t="str">
        <f>image("https://storage.googleapis.com/acdb/photos/BromideNpcNmlPig08_Remake_5_0.png")</f>
        <v/>
      </c>
      <c r="C735" s="21" t="s">
        <v>258</v>
      </c>
      <c r="D735" s="21" t="s">
        <v>51</v>
      </c>
      <c r="E735" s="21">
        <v>10.0</v>
      </c>
      <c r="F735" s="21" t="s">
        <v>2289</v>
      </c>
      <c r="G735" s="19"/>
      <c r="H735" s="19"/>
      <c r="I735" s="19"/>
    </row>
    <row r="736" ht="56.25" customHeight="1">
      <c r="A736" s="21" t="s">
        <v>3314</v>
      </c>
      <c r="B736" s="19" t="str">
        <f>image("https://storage.googleapis.com/acdb/photos/BromideNpcNmlPig08_Remake_6_0.png")</f>
        <v/>
      </c>
      <c r="C736" s="21" t="s">
        <v>182</v>
      </c>
      <c r="D736" s="21" t="s">
        <v>51</v>
      </c>
      <c r="E736" s="21">
        <v>10.0</v>
      </c>
      <c r="F736" s="21" t="s">
        <v>2289</v>
      </c>
      <c r="G736" s="19"/>
      <c r="H736" s="19"/>
      <c r="I736" s="19"/>
    </row>
    <row r="737" ht="56.25" customHeight="1">
      <c r="A737" s="21" t="s">
        <v>3314</v>
      </c>
      <c r="B737" s="19" t="str">
        <f>image("https://storage.googleapis.com/acdb/photos/BromideNpcNmlPig08_Remake_7_0.png")</f>
        <v/>
      </c>
      <c r="C737" s="21" t="s">
        <v>187</v>
      </c>
      <c r="D737" s="21" t="s">
        <v>51</v>
      </c>
      <c r="E737" s="21">
        <v>10.0</v>
      </c>
      <c r="F737" s="21" t="s">
        <v>2289</v>
      </c>
      <c r="G737" s="19"/>
      <c r="H737" s="19"/>
      <c r="I737" s="19"/>
    </row>
    <row r="738" ht="56.25" customHeight="1">
      <c r="A738" s="21" t="s">
        <v>3321</v>
      </c>
      <c r="B738" s="19" t="str">
        <f>image("https://storage.googleapis.com/acdb/photos/BromideNpcNmlRbt02_Remake_0_0.png")</f>
        <v/>
      </c>
      <c r="C738" s="21" t="s">
        <v>219</v>
      </c>
      <c r="D738" s="21" t="s">
        <v>51</v>
      </c>
      <c r="E738" s="21">
        <v>10.0</v>
      </c>
      <c r="F738" s="21" t="s">
        <v>2289</v>
      </c>
      <c r="G738" s="19"/>
      <c r="H738" s="19"/>
      <c r="I738" s="19"/>
    </row>
    <row r="739" ht="56.25" customHeight="1">
      <c r="A739" s="21" t="s">
        <v>3321</v>
      </c>
      <c r="B739" s="19" t="str">
        <f>image("https://storage.googleapis.com/acdb/photos/BromideNpcNmlRbt02_Remake_1_0.png")</f>
        <v/>
      </c>
      <c r="C739" s="21" t="s">
        <v>795</v>
      </c>
      <c r="D739" s="21" t="s">
        <v>51</v>
      </c>
      <c r="E739" s="21">
        <v>10.0</v>
      </c>
      <c r="F739" s="21" t="s">
        <v>2289</v>
      </c>
      <c r="G739" s="19"/>
      <c r="H739" s="19"/>
      <c r="I739" s="19"/>
    </row>
    <row r="740" ht="56.25" customHeight="1">
      <c r="A740" s="21" t="s">
        <v>3321</v>
      </c>
      <c r="B740" s="19" t="str">
        <f>image("https://storage.googleapis.com/acdb/photos/BromideNpcNmlRbt02_Remake_2_0.png")</f>
        <v/>
      </c>
      <c r="C740" s="21" t="s">
        <v>954</v>
      </c>
      <c r="D740" s="21" t="s">
        <v>51</v>
      </c>
      <c r="E740" s="21">
        <v>10.0</v>
      </c>
      <c r="F740" s="21" t="s">
        <v>2289</v>
      </c>
      <c r="G740" s="19"/>
      <c r="H740" s="19"/>
      <c r="I740" s="19"/>
    </row>
    <row r="741" ht="56.25" customHeight="1">
      <c r="A741" s="21" t="s">
        <v>3321</v>
      </c>
      <c r="B741" s="19" t="str">
        <f>image("https://storage.googleapis.com/acdb/photos/BromideNpcNmlRbt02_Remake_3_0.png")</f>
        <v/>
      </c>
      <c r="C741" s="21" t="s">
        <v>82</v>
      </c>
      <c r="D741" s="21" t="s">
        <v>51</v>
      </c>
      <c r="E741" s="21">
        <v>10.0</v>
      </c>
      <c r="F741" s="21" t="s">
        <v>2289</v>
      </c>
      <c r="G741" s="19"/>
      <c r="H741" s="19"/>
      <c r="I741" s="19"/>
    </row>
    <row r="742" ht="56.25" customHeight="1">
      <c r="A742" s="21" t="s">
        <v>3321</v>
      </c>
      <c r="B742" s="19" t="str">
        <f>image("https://storage.googleapis.com/acdb/photos/BromideNpcNmlRbt02_Remake_4_0.png")</f>
        <v/>
      </c>
      <c r="C742" s="21" t="s">
        <v>833</v>
      </c>
      <c r="D742" s="21" t="s">
        <v>51</v>
      </c>
      <c r="E742" s="21">
        <v>10.0</v>
      </c>
      <c r="F742" s="21" t="s">
        <v>2289</v>
      </c>
      <c r="G742" s="19"/>
      <c r="H742" s="19"/>
      <c r="I742" s="19"/>
    </row>
    <row r="743" ht="56.25" customHeight="1">
      <c r="A743" s="21" t="s">
        <v>3321</v>
      </c>
      <c r="B743" s="19" t="str">
        <f>image("https://storage.googleapis.com/acdb/photos/BromideNpcNmlRbt02_Remake_5_0.png")</f>
        <v/>
      </c>
      <c r="C743" s="21" t="s">
        <v>258</v>
      </c>
      <c r="D743" s="21" t="s">
        <v>51</v>
      </c>
      <c r="E743" s="21">
        <v>10.0</v>
      </c>
      <c r="F743" s="21" t="s">
        <v>2289</v>
      </c>
      <c r="G743" s="19"/>
      <c r="H743" s="19"/>
      <c r="I743" s="19"/>
    </row>
    <row r="744" ht="56.25" customHeight="1">
      <c r="A744" s="21" t="s">
        <v>3321</v>
      </c>
      <c r="B744" s="19" t="str">
        <f>image("https://storage.googleapis.com/acdb/photos/BromideNpcNmlRbt02_Remake_6_0.png")</f>
        <v/>
      </c>
      <c r="C744" s="21" t="s">
        <v>182</v>
      </c>
      <c r="D744" s="21" t="s">
        <v>51</v>
      </c>
      <c r="E744" s="21">
        <v>10.0</v>
      </c>
      <c r="F744" s="21" t="s">
        <v>2289</v>
      </c>
      <c r="G744" s="19"/>
      <c r="H744" s="19"/>
      <c r="I744" s="19"/>
    </row>
    <row r="745" ht="56.25" customHeight="1">
      <c r="A745" s="21" t="s">
        <v>3321</v>
      </c>
      <c r="B745" s="19" t="str">
        <f>image("https://storage.googleapis.com/acdb/photos/BromideNpcNmlRbt02_Remake_7_0.png")</f>
        <v/>
      </c>
      <c r="C745" s="21" t="s">
        <v>187</v>
      </c>
      <c r="D745" s="21" t="s">
        <v>51</v>
      </c>
      <c r="E745" s="21">
        <v>10.0</v>
      </c>
      <c r="F745" s="21" t="s">
        <v>2289</v>
      </c>
      <c r="G745" s="19"/>
      <c r="H745" s="19"/>
      <c r="I745" s="19"/>
    </row>
    <row r="746" ht="56.25" customHeight="1">
      <c r="A746" s="21" t="s">
        <v>3328</v>
      </c>
      <c r="B746" s="19" t="str">
        <f>image("https://storage.googleapis.com/acdb/photos/BromideNpcNmlRbt18_Remake_0_0.png")</f>
        <v/>
      </c>
      <c r="C746" s="21" t="s">
        <v>219</v>
      </c>
      <c r="D746" s="21" t="s">
        <v>51</v>
      </c>
      <c r="E746" s="21">
        <v>10.0</v>
      </c>
      <c r="F746" s="21" t="s">
        <v>2289</v>
      </c>
      <c r="G746" s="19"/>
      <c r="H746" s="19"/>
      <c r="I746" s="19"/>
    </row>
    <row r="747" ht="56.25" customHeight="1">
      <c r="A747" s="21" t="s">
        <v>3328</v>
      </c>
      <c r="B747" s="19" t="str">
        <f>image("https://storage.googleapis.com/acdb/photos/BromideNpcNmlRbt18_Remake_1_0.png")</f>
        <v/>
      </c>
      <c r="C747" s="21" t="s">
        <v>795</v>
      </c>
      <c r="D747" s="21" t="s">
        <v>51</v>
      </c>
      <c r="E747" s="21">
        <v>10.0</v>
      </c>
      <c r="F747" s="21" t="s">
        <v>2289</v>
      </c>
      <c r="G747" s="19"/>
      <c r="H747" s="19"/>
      <c r="I747" s="19"/>
    </row>
    <row r="748" ht="56.25" customHeight="1">
      <c r="A748" s="21" t="s">
        <v>3328</v>
      </c>
      <c r="B748" s="19" t="str">
        <f>image("https://storage.googleapis.com/acdb/photos/BromideNpcNmlRbt18_Remake_2_0.png")</f>
        <v/>
      </c>
      <c r="C748" s="21" t="s">
        <v>954</v>
      </c>
      <c r="D748" s="21" t="s">
        <v>51</v>
      </c>
      <c r="E748" s="21">
        <v>10.0</v>
      </c>
      <c r="F748" s="21" t="s">
        <v>2289</v>
      </c>
      <c r="G748" s="19"/>
      <c r="H748" s="19"/>
      <c r="I748" s="19"/>
    </row>
    <row r="749" ht="56.25" customHeight="1">
      <c r="A749" s="21" t="s">
        <v>3328</v>
      </c>
      <c r="B749" s="19" t="str">
        <f>image("https://storage.googleapis.com/acdb/photos/BromideNpcNmlRbt18_Remake_3_0.png")</f>
        <v/>
      </c>
      <c r="C749" s="21" t="s">
        <v>82</v>
      </c>
      <c r="D749" s="21" t="s">
        <v>51</v>
      </c>
      <c r="E749" s="21">
        <v>10.0</v>
      </c>
      <c r="F749" s="21" t="s">
        <v>2289</v>
      </c>
      <c r="G749" s="19"/>
      <c r="H749" s="19"/>
      <c r="I749" s="19"/>
    </row>
    <row r="750" ht="56.25" customHeight="1">
      <c r="A750" s="21" t="s">
        <v>3328</v>
      </c>
      <c r="B750" s="19" t="str">
        <f>image("https://storage.googleapis.com/acdb/photos/BromideNpcNmlRbt18_Remake_4_0.png")</f>
        <v/>
      </c>
      <c r="C750" s="21" t="s">
        <v>833</v>
      </c>
      <c r="D750" s="21" t="s">
        <v>51</v>
      </c>
      <c r="E750" s="21">
        <v>10.0</v>
      </c>
      <c r="F750" s="21" t="s">
        <v>2289</v>
      </c>
      <c r="G750" s="19"/>
      <c r="H750" s="19"/>
      <c r="I750" s="19"/>
    </row>
    <row r="751" ht="56.25" customHeight="1">
      <c r="A751" s="21" t="s">
        <v>3328</v>
      </c>
      <c r="B751" s="19" t="str">
        <f>image("https://storage.googleapis.com/acdb/photos/BromideNpcNmlRbt18_Remake_5_0.png")</f>
        <v/>
      </c>
      <c r="C751" s="21" t="s">
        <v>258</v>
      </c>
      <c r="D751" s="21" t="s">
        <v>51</v>
      </c>
      <c r="E751" s="21">
        <v>10.0</v>
      </c>
      <c r="F751" s="21" t="s">
        <v>2289</v>
      </c>
      <c r="G751" s="19"/>
      <c r="H751" s="19"/>
      <c r="I751" s="19"/>
    </row>
    <row r="752" ht="56.25" customHeight="1">
      <c r="A752" s="21" t="s">
        <v>3328</v>
      </c>
      <c r="B752" s="19" t="str">
        <f>image("https://storage.googleapis.com/acdb/photos/BromideNpcNmlRbt18_Remake_6_0.png")</f>
        <v/>
      </c>
      <c r="C752" s="21" t="s">
        <v>182</v>
      </c>
      <c r="D752" s="21" t="s">
        <v>51</v>
      </c>
      <c r="E752" s="21">
        <v>10.0</v>
      </c>
      <c r="F752" s="21" t="s">
        <v>2289</v>
      </c>
      <c r="G752" s="19"/>
      <c r="H752" s="19"/>
      <c r="I752" s="19"/>
    </row>
    <row r="753" ht="56.25" customHeight="1">
      <c r="A753" s="21" t="s">
        <v>3328</v>
      </c>
      <c r="B753" s="19" t="str">
        <f>image("https://storage.googleapis.com/acdb/photos/BromideNpcNmlRbt18_Remake_7_0.png")</f>
        <v/>
      </c>
      <c r="C753" s="21" t="s">
        <v>187</v>
      </c>
      <c r="D753" s="21" t="s">
        <v>51</v>
      </c>
      <c r="E753" s="21">
        <v>10.0</v>
      </c>
      <c r="F753" s="21" t="s">
        <v>2289</v>
      </c>
      <c r="G753" s="19"/>
      <c r="H753" s="19"/>
      <c r="I753" s="19"/>
    </row>
    <row r="754" ht="56.25" customHeight="1">
      <c r="A754" s="21" t="s">
        <v>3335</v>
      </c>
      <c r="B754" s="19" t="str">
        <f>image("https://storage.googleapis.com/acdb/photos/BromideNpcNmlHrs11_Remake_0_0.png")</f>
        <v/>
      </c>
      <c r="C754" s="21" t="s">
        <v>219</v>
      </c>
      <c r="D754" s="21" t="s">
        <v>51</v>
      </c>
      <c r="E754" s="21">
        <v>10.0</v>
      </c>
      <c r="F754" s="21" t="s">
        <v>2289</v>
      </c>
      <c r="G754" s="19"/>
      <c r="H754" s="19"/>
      <c r="I754" s="19"/>
    </row>
    <row r="755" ht="56.25" customHeight="1">
      <c r="A755" s="21" t="s">
        <v>3335</v>
      </c>
      <c r="B755" s="19" t="str">
        <f>image("https://storage.googleapis.com/acdb/photos/BromideNpcNmlHrs11_Remake_1_0.png")</f>
        <v/>
      </c>
      <c r="C755" s="21" t="s">
        <v>795</v>
      </c>
      <c r="D755" s="21" t="s">
        <v>51</v>
      </c>
      <c r="E755" s="21">
        <v>10.0</v>
      </c>
      <c r="F755" s="21" t="s">
        <v>2289</v>
      </c>
      <c r="G755" s="19"/>
      <c r="H755" s="19"/>
      <c r="I755" s="19"/>
    </row>
    <row r="756" ht="56.25" customHeight="1">
      <c r="A756" s="21" t="s">
        <v>3335</v>
      </c>
      <c r="B756" s="19" t="str">
        <f>image("https://storage.googleapis.com/acdb/photos/BromideNpcNmlHrs11_Remake_2_0.png")</f>
        <v/>
      </c>
      <c r="C756" s="21" t="s">
        <v>954</v>
      </c>
      <c r="D756" s="21" t="s">
        <v>51</v>
      </c>
      <c r="E756" s="21">
        <v>10.0</v>
      </c>
      <c r="F756" s="21" t="s">
        <v>2289</v>
      </c>
      <c r="G756" s="19"/>
      <c r="H756" s="19"/>
      <c r="I756" s="19"/>
    </row>
    <row r="757" ht="56.25" customHeight="1">
      <c r="A757" s="21" t="s">
        <v>3335</v>
      </c>
      <c r="B757" s="19" t="str">
        <f>image("https://storage.googleapis.com/acdb/photos/BromideNpcNmlHrs11_Remake_3_0.png")</f>
        <v/>
      </c>
      <c r="C757" s="21" t="s">
        <v>82</v>
      </c>
      <c r="D757" s="21" t="s">
        <v>51</v>
      </c>
      <c r="E757" s="21">
        <v>10.0</v>
      </c>
      <c r="F757" s="21" t="s">
        <v>2289</v>
      </c>
      <c r="G757" s="19"/>
      <c r="H757" s="19"/>
      <c r="I757" s="19"/>
    </row>
    <row r="758" ht="56.25" customHeight="1">
      <c r="A758" s="21" t="s">
        <v>3335</v>
      </c>
      <c r="B758" s="19" t="str">
        <f>image("https://storage.googleapis.com/acdb/photos/BromideNpcNmlHrs11_Remake_4_0.png")</f>
        <v/>
      </c>
      <c r="C758" s="21" t="s">
        <v>833</v>
      </c>
      <c r="D758" s="21" t="s">
        <v>51</v>
      </c>
      <c r="E758" s="21">
        <v>10.0</v>
      </c>
      <c r="F758" s="21" t="s">
        <v>2289</v>
      </c>
      <c r="G758" s="19"/>
      <c r="H758" s="19"/>
      <c r="I758" s="19"/>
    </row>
    <row r="759" ht="56.25" customHeight="1">
      <c r="A759" s="21" t="s">
        <v>3335</v>
      </c>
      <c r="B759" s="19" t="str">
        <f>image("https://storage.googleapis.com/acdb/photos/BromideNpcNmlHrs11_Remake_5_0.png")</f>
        <v/>
      </c>
      <c r="C759" s="21" t="s">
        <v>258</v>
      </c>
      <c r="D759" s="21" t="s">
        <v>51</v>
      </c>
      <c r="E759" s="21">
        <v>10.0</v>
      </c>
      <c r="F759" s="21" t="s">
        <v>2289</v>
      </c>
      <c r="G759" s="19"/>
      <c r="H759" s="19"/>
      <c r="I759" s="19"/>
    </row>
    <row r="760" ht="56.25" customHeight="1">
      <c r="A760" s="21" t="s">
        <v>3335</v>
      </c>
      <c r="B760" s="19" t="str">
        <f>image("https://storage.googleapis.com/acdb/photos/BromideNpcNmlHrs11_Remake_6_0.png")</f>
        <v/>
      </c>
      <c r="C760" s="21" t="s">
        <v>182</v>
      </c>
      <c r="D760" s="21" t="s">
        <v>51</v>
      </c>
      <c r="E760" s="21">
        <v>10.0</v>
      </c>
      <c r="F760" s="21" t="s">
        <v>2289</v>
      </c>
      <c r="G760" s="19"/>
      <c r="H760" s="19"/>
      <c r="I760" s="19"/>
    </row>
    <row r="761" ht="56.25" customHeight="1">
      <c r="A761" s="21" t="s">
        <v>3335</v>
      </c>
      <c r="B761" s="19" t="str">
        <f>image("https://storage.googleapis.com/acdb/photos/BromideNpcNmlHrs11_Remake_7_0.png")</f>
        <v/>
      </c>
      <c r="C761" s="21" t="s">
        <v>187</v>
      </c>
      <c r="D761" s="21" t="s">
        <v>51</v>
      </c>
      <c r="E761" s="21">
        <v>10.0</v>
      </c>
      <c r="F761" s="21" t="s">
        <v>2289</v>
      </c>
      <c r="G761" s="19"/>
      <c r="H761" s="19"/>
      <c r="I761" s="19"/>
    </row>
    <row r="762" ht="56.25" customHeight="1">
      <c r="A762" s="21" t="s">
        <v>3344</v>
      </c>
      <c r="B762" s="19" t="str">
        <f>image("https://storage.googleapis.com/acdb/photos/BromideNpcNmlDog08_Remake_0_0.png")</f>
        <v/>
      </c>
      <c r="C762" s="21" t="s">
        <v>219</v>
      </c>
      <c r="D762" s="21" t="s">
        <v>51</v>
      </c>
      <c r="E762" s="21">
        <v>10.0</v>
      </c>
      <c r="F762" s="21" t="s">
        <v>2289</v>
      </c>
      <c r="G762" s="19"/>
      <c r="H762" s="19"/>
      <c r="I762" s="19"/>
    </row>
    <row r="763" ht="56.25" customHeight="1">
      <c r="A763" s="21" t="s">
        <v>3344</v>
      </c>
      <c r="B763" s="19" t="str">
        <f>image("https://storage.googleapis.com/acdb/photos/BromideNpcNmlDog08_Remake_1_0.png")</f>
        <v/>
      </c>
      <c r="C763" s="21" t="s">
        <v>795</v>
      </c>
      <c r="D763" s="21" t="s">
        <v>51</v>
      </c>
      <c r="E763" s="21">
        <v>10.0</v>
      </c>
      <c r="F763" s="21" t="s">
        <v>2289</v>
      </c>
      <c r="G763" s="19"/>
      <c r="H763" s="19"/>
      <c r="I763" s="19"/>
    </row>
    <row r="764" ht="56.25" customHeight="1">
      <c r="A764" s="21" t="s">
        <v>3344</v>
      </c>
      <c r="B764" s="19" t="str">
        <f>image("https://storage.googleapis.com/acdb/photos/BromideNpcNmlDog08_Remake_2_0.png")</f>
        <v/>
      </c>
      <c r="C764" s="21" t="s">
        <v>954</v>
      </c>
      <c r="D764" s="21" t="s">
        <v>51</v>
      </c>
      <c r="E764" s="21">
        <v>10.0</v>
      </c>
      <c r="F764" s="21" t="s">
        <v>2289</v>
      </c>
      <c r="G764" s="19"/>
      <c r="H764" s="19"/>
      <c r="I764" s="19"/>
    </row>
    <row r="765" ht="56.25" customHeight="1">
      <c r="A765" s="21" t="s">
        <v>3344</v>
      </c>
      <c r="B765" s="19" t="str">
        <f>image("https://storage.googleapis.com/acdb/photos/BromideNpcNmlDog08_Remake_3_0.png")</f>
        <v/>
      </c>
      <c r="C765" s="21" t="s">
        <v>82</v>
      </c>
      <c r="D765" s="21" t="s">
        <v>51</v>
      </c>
      <c r="E765" s="21">
        <v>10.0</v>
      </c>
      <c r="F765" s="21" t="s">
        <v>2289</v>
      </c>
      <c r="G765" s="19"/>
      <c r="H765" s="19"/>
      <c r="I765" s="19"/>
    </row>
    <row r="766" ht="56.25" customHeight="1">
      <c r="A766" s="21" t="s">
        <v>3344</v>
      </c>
      <c r="B766" s="19" t="str">
        <f>image("https://storage.googleapis.com/acdb/photos/BromideNpcNmlDog08_Remake_4_0.png")</f>
        <v/>
      </c>
      <c r="C766" s="21" t="s">
        <v>833</v>
      </c>
      <c r="D766" s="21" t="s">
        <v>51</v>
      </c>
      <c r="E766" s="21">
        <v>10.0</v>
      </c>
      <c r="F766" s="21" t="s">
        <v>2289</v>
      </c>
      <c r="G766" s="19"/>
      <c r="H766" s="19"/>
      <c r="I766" s="19"/>
    </row>
    <row r="767" ht="56.25" customHeight="1">
      <c r="A767" s="21" t="s">
        <v>3344</v>
      </c>
      <c r="B767" s="19" t="str">
        <f>image("https://storage.googleapis.com/acdb/photos/BromideNpcNmlDog08_Remake_5_0.png")</f>
        <v/>
      </c>
      <c r="C767" s="21" t="s">
        <v>258</v>
      </c>
      <c r="D767" s="21" t="s">
        <v>51</v>
      </c>
      <c r="E767" s="21">
        <v>10.0</v>
      </c>
      <c r="F767" s="21" t="s">
        <v>2289</v>
      </c>
      <c r="G767" s="19"/>
      <c r="H767" s="19"/>
      <c r="I767" s="19"/>
    </row>
    <row r="768" ht="56.25" customHeight="1">
      <c r="A768" s="21" t="s">
        <v>3344</v>
      </c>
      <c r="B768" s="19" t="str">
        <f>image("https://storage.googleapis.com/acdb/photos/BromideNpcNmlDog08_Remake_6_0.png")</f>
        <v/>
      </c>
      <c r="C768" s="21" t="s">
        <v>182</v>
      </c>
      <c r="D768" s="21" t="s">
        <v>51</v>
      </c>
      <c r="E768" s="21">
        <v>10.0</v>
      </c>
      <c r="F768" s="21" t="s">
        <v>2289</v>
      </c>
      <c r="G768" s="19"/>
      <c r="H768" s="19"/>
      <c r="I768" s="19"/>
    </row>
    <row r="769" ht="56.25" customHeight="1">
      <c r="A769" s="21" t="s">
        <v>3344</v>
      </c>
      <c r="B769" s="19" t="str">
        <f>image("https://storage.googleapis.com/acdb/photos/BromideNpcNmlDog08_Remake_7_0.png")</f>
        <v/>
      </c>
      <c r="C769" s="21" t="s">
        <v>187</v>
      </c>
      <c r="D769" s="21" t="s">
        <v>51</v>
      </c>
      <c r="E769" s="21">
        <v>10.0</v>
      </c>
      <c r="F769" s="21" t="s">
        <v>2289</v>
      </c>
      <c r="G769" s="19"/>
      <c r="H769" s="19"/>
      <c r="I769" s="19"/>
    </row>
    <row r="770" ht="56.25" customHeight="1">
      <c r="A770" s="21" t="s">
        <v>3353</v>
      </c>
      <c r="B770" s="19" t="str">
        <f>image("https://storage.googleapis.com/acdb/photos/BromideNpcNmlFlg10_Remake_0_0.png")</f>
        <v/>
      </c>
      <c r="C770" s="21" t="s">
        <v>219</v>
      </c>
      <c r="D770" s="21" t="s">
        <v>51</v>
      </c>
      <c r="E770" s="21">
        <v>10.0</v>
      </c>
      <c r="F770" s="21" t="s">
        <v>2289</v>
      </c>
      <c r="G770" s="19"/>
      <c r="H770" s="19"/>
      <c r="I770" s="19"/>
    </row>
    <row r="771" ht="56.25" customHeight="1">
      <c r="A771" s="21" t="s">
        <v>3353</v>
      </c>
      <c r="B771" s="19" t="str">
        <f>image("https://storage.googleapis.com/acdb/photos/BromideNpcNmlFlg10_Remake_1_0.png")</f>
        <v/>
      </c>
      <c r="C771" s="21" t="s">
        <v>795</v>
      </c>
      <c r="D771" s="21" t="s">
        <v>51</v>
      </c>
      <c r="E771" s="21">
        <v>10.0</v>
      </c>
      <c r="F771" s="21" t="s">
        <v>2289</v>
      </c>
      <c r="G771" s="19"/>
      <c r="H771" s="19"/>
      <c r="I771" s="19"/>
    </row>
    <row r="772" ht="56.25" customHeight="1">
      <c r="A772" s="21" t="s">
        <v>3353</v>
      </c>
      <c r="B772" s="19" t="str">
        <f>image("https://storage.googleapis.com/acdb/photos/BromideNpcNmlFlg10_Remake_2_0.png")</f>
        <v/>
      </c>
      <c r="C772" s="21" t="s">
        <v>954</v>
      </c>
      <c r="D772" s="21" t="s">
        <v>51</v>
      </c>
      <c r="E772" s="21">
        <v>10.0</v>
      </c>
      <c r="F772" s="21" t="s">
        <v>2289</v>
      </c>
      <c r="G772" s="19"/>
      <c r="H772" s="19"/>
      <c r="I772" s="19"/>
    </row>
    <row r="773" ht="56.25" customHeight="1">
      <c r="A773" s="21" t="s">
        <v>3353</v>
      </c>
      <c r="B773" s="19" t="str">
        <f>image("https://storage.googleapis.com/acdb/photos/BromideNpcNmlFlg10_Remake_3_0.png")</f>
        <v/>
      </c>
      <c r="C773" s="21" t="s">
        <v>82</v>
      </c>
      <c r="D773" s="21" t="s">
        <v>51</v>
      </c>
      <c r="E773" s="21">
        <v>10.0</v>
      </c>
      <c r="F773" s="21" t="s">
        <v>2289</v>
      </c>
      <c r="G773" s="19"/>
      <c r="H773" s="19"/>
      <c r="I773" s="19"/>
    </row>
    <row r="774" ht="56.25" customHeight="1">
      <c r="A774" s="21" t="s">
        <v>3353</v>
      </c>
      <c r="B774" s="19" t="str">
        <f>image("https://storage.googleapis.com/acdb/photos/BromideNpcNmlFlg10_Remake_4_0.png")</f>
        <v/>
      </c>
      <c r="C774" s="21" t="s">
        <v>833</v>
      </c>
      <c r="D774" s="21" t="s">
        <v>51</v>
      </c>
      <c r="E774" s="21">
        <v>10.0</v>
      </c>
      <c r="F774" s="21" t="s">
        <v>2289</v>
      </c>
      <c r="G774" s="19"/>
      <c r="H774" s="19"/>
      <c r="I774" s="19"/>
    </row>
    <row r="775" ht="56.25" customHeight="1">
      <c r="A775" s="21" t="s">
        <v>3353</v>
      </c>
      <c r="B775" s="19" t="str">
        <f>image("https://storage.googleapis.com/acdb/photos/BromideNpcNmlFlg10_Remake_5_0.png")</f>
        <v/>
      </c>
      <c r="C775" s="21" t="s">
        <v>258</v>
      </c>
      <c r="D775" s="21" t="s">
        <v>51</v>
      </c>
      <c r="E775" s="21">
        <v>10.0</v>
      </c>
      <c r="F775" s="21" t="s">
        <v>2289</v>
      </c>
      <c r="G775" s="19"/>
      <c r="H775" s="19"/>
      <c r="I775" s="19"/>
    </row>
    <row r="776" ht="56.25" customHeight="1">
      <c r="A776" s="21" t="s">
        <v>3353</v>
      </c>
      <c r="B776" s="19" t="str">
        <f>image("https://storage.googleapis.com/acdb/photos/BromideNpcNmlFlg10_Remake_6_0.png")</f>
        <v/>
      </c>
      <c r="C776" s="21" t="s">
        <v>182</v>
      </c>
      <c r="D776" s="21" t="s">
        <v>51</v>
      </c>
      <c r="E776" s="21">
        <v>10.0</v>
      </c>
      <c r="F776" s="21" t="s">
        <v>2289</v>
      </c>
      <c r="G776" s="19"/>
      <c r="H776" s="19"/>
      <c r="I776" s="19"/>
    </row>
    <row r="777" ht="56.25" customHeight="1">
      <c r="A777" s="21" t="s">
        <v>3353</v>
      </c>
      <c r="B777" s="19" t="str">
        <f>image("https://storage.googleapis.com/acdb/photos/BromideNpcNmlFlg10_Remake_7_0.png")</f>
        <v/>
      </c>
      <c r="C777" s="21" t="s">
        <v>187</v>
      </c>
      <c r="D777" s="21" t="s">
        <v>51</v>
      </c>
      <c r="E777" s="21">
        <v>10.0</v>
      </c>
      <c r="F777" s="21" t="s">
        <v>2289</v>
      </c>
      <c r="G777" s="19"/>
      <c r="H777" s="19"/>
      <c r="I777" s="19"/>
    </row>
    <row r="778" ht="56.25" customHeight="1">
      <c r="A778" s="21" t="s">
        <v>3362</v>
      </c>
      <c r="B778" s="19" t="str">
        <f>image("https://storage.googleapis.com/acdb/photos/BromideNpcNmlPig05_Remake_0_0.png")</f>
        <v/>
      </c>
      <c r="C778" s="21" t="s">
        <v>219</v>
      </c>
      <c r="D778" s="21" t="s">
        <v>51</v>
      </c>
      <c r="E778" s="21">
        <v>10.0</v>
      </c>
      <c r="F778" s="21" t="s">
        <v>2289</v>
      </c>
      <c r="G778" s="19"/>
      <c r="H778" s="19"/>
      <c r="I778" s="19"/>
    </row>
    <row r="779" ht="56.25" customHeight="1">
      <c r="A779" s="21" t="s">
        <v>3362</v>
      </c>
      <c r="B779" s="19" t="str">
        <f>image("https://storage.googleapis.com/acdb/photos/BromideNpcNmlPig05_Remake_1_0.png")</f>
        <v/>
      </c>
      <c r="C779" s="21" t="s">
        <v>795</v>
      </c>
      <c r="D779" s="21" t="s">
        <v>51</v>
      </c>
      <c r="E779" s="21">
        <v>10.0</v>
      </c>
      <c r="F779" s="21" t="s">
        <v>2289</v>
      </c>
      <c r="G779" s="19"/>
      <c r="H779" s="19"/>
      <c r="I779" s="19"/>
    </row>
    <row r="780" ht="56.25" customHeight="1">
      <c r="A780" s="21" t="s">
        <v>3362</v>
      </c>
      <c r="B780" s="19" t="str">
        <f>image("https://storage.googleapis.com/acdb/photos/BromideNpcNmlPig05_Remake_2_0.png")</f>
        <v/>
      </c>
      <c r="C780" s="21" t="s">
        <v>954</v>
      </c>
      <c r="D780" s="21" t="s">
        <v>51</v>
      </c>
      <c r="E780" s="21">
        <v>10.0</v>
      </c>
      <c r="F780" s="21" t="s">
        <v>2289</v>
      </c>
      <c r="G780" s="19"/>
      <c r="H780" s="19"/>
      <c r="I780" s="19"/>
    </row>
    <row r="781" ht="56.25" customHeight="1">
      <c r="A781" s="21" t="s">
        <v>3362</v>
      </c>
      <c r="B781" s="19" t="str">
        <f>image("https://storage.googleapis.com/acdb/photos/BromideNpcNmlPig05_Remake_3_0.png")</f>
        <v/>
      </c>
      <c r="C781" s="21" t="s">
        <v>82</v>
      </c>
      <c r="D781" s="21" t="s">
        <v>51</v>
      </c>
      <c r="E781" s="21">
        <v>10.0</v>
      </c>
      <c r="F781" s="21" t="s">
        <v>2289</v>
      </c>
      <c r="G781" s="19"/>
      <c r="H781" s="19"/>
      <c r="I781" s="19"/>
    </row>
    <row r="782" ht="56.25" customHeight="1">
      <c r="A782" s="21" t="s">
        <v>3362</v>
      </c>
      <c r="B782" s="19" t="str">
        <f>image("https://storage.googleapis.com/acdb/photos/BromideNpcNmlPig05_Remake_4_0.png")</f>
        <v/>
      </c>
      <c r="C782" s="21" t="s">
        <v>833</v>
      </c>
      <c r="D782" s="21" t="s">
        <v>51</v>
      </c>
      <c r="E782" s="21">
        <v>10.0</v>
      </c>
      <c r="F782" s="21" t="s">
        <v>2289</v>
      </c>
      <c r="G782" s="19"/>
      <c r="H782" s="19"/>
      <c r="I782" s="19"/>
    </row>
    <row r="783" ht="56.25" customHeight="1">
      <c r="A783" s="21" t="s">
        <v>3362</v>
      </c>
      <c r="B783" s="19" t="str">
        <f>image("https://storage.googleapis.com/acdb/photos/BromideNpcNmlPig05_Remake_5_0.png")</f>
        <v/>
      </c>
      <c r="C783" s="21" t="s">
        <v>258</v>
      </c>
      <c r="D783" s="21" t="s">
        <v>51</v>
      </c>
      <c r="E783" s="21">
        <v>10.0</v>
      </c>
      <c r="F783" s="21" t="s">
        <v>2289</v>
      </c>
      <c r="G783" s="19"/>
      <c r="H783" s="19"/>
      <c r="I783" s="19"/>
    </row>
    <row r="784" ht="56.25" customHeight="1">
      <c r="A784" s="21" t="s">
        <v>3362</v>
      </c>
      <c r="B784" s="19" t="str">
        <f>image("https://storage.googleapis.com/acdb/photos/BromideNpcNmlPig05_Remake_6_0.png")</f>
        <v/>
      </c>
      <c r="C784" s="21" t="s">
        <v>182</v>
      </c>
      <c r="D784" s="21" t="s">
        <v>51</v>
      </c>
      <c r="E784" s="21">
        <v>10.0</v>
      </c>
      <c r="F784" s="21" t="s">
        <v>2289</v>
      </c>
      <c r="G784" s="19"/>
      <c r="H784" s="19"/>
      <c r="I784" s="19"/>
    </row>
    <row r="785" ht="56.25" customHeight="1">
      <c r="A785" s="21" t="s">
        <v>3362</v>
      </c>
      <c r="B785" s="19" t="str">
        <f>image("https://storage.googleapis.com/acdb/photos/BromideNpcNmlPig05_Remake_7_0.png")</f>
        <v/>
      </c>
      <c r="C785" s="21" t="s">
        <v>187</v>
      </c>
      <c r="D785" s="21" t="s">
        <v>51</v>
      </c>
      <c r="E785" s="21">
        <v>10.0</v>
      </c>
      <c r="F785" s="21" t="s">
        <v>2289</v>
      </c>
      <c r="G785" s="19"/>
      <c r="H785" s="19"/>
      <c r="I785" s="19"/>
    </row>
    <row r="786" ht="56.25" customHeight="1">
      <c r="A786" s="21" t="s">
        <v>3364</v>
      </c>
      <c r="B786" s="19" t="str">
        <f>image("https://storage.googleapis.com/acdb/photos/BromideNpcNmlOst06_Remake_0_0.png")</f>
        <v/>
      </c>
      <c r="C786" s="21" t="s">
        <v>219</v>
      </c>
      <c r="D786" s="21" t="s">
        <v>51</v>
      </c>
      <c r="E786" s="21">
        <v>10.0</v>
      </c>
      <c r="F786" s="21" t="s">
        <v>2289</v>
      </c>
      <c r="G786" s="19"/>
      <c r="H786" s="19"/>
      <c r="I786" s="19"/>
    </row>
    <row r="787" ht="56.25" customHeight="1">
      <c r="A787" s="21" t="s">
        <v>3364</v>
      </c>
      <c r="B787" s="19" t="str">
        <f>image("https://storage.googleapis.com/acdb/photos/BromideNpcNmlOst06_Remake_1_0.png")</f>
        <v/>
      </c>
      <c r="C787" s="21" t="s">
        <v>795</v>
      </c>
      <c r="D787" s="21" t="s">
        <v>51</v>
      </c>
      <c r="E787" s="21">
        <v>10.0</v>
      </c>
      <c r="F787" s="21" t="s">
        <v>2289</v>
      </c>
      <c r="G787" s="19"/>
      <c r="H787" s="19"/>
      <c r="I787" s="19"/>
    </row>
    <row r="788" ht="56.25" customHeight="1">
      <c r="A788" s="21" t="s">
        <v>3364</v>
      </c>
      <c r="B788" s="19" t="str">
        <f>image("https://storage.googleapis.com/acdb/photos/BromideNpcNmlOst06_Remake_2_0.png")</f>
        <v/>
      </c>
      <c r="C788" s="21" t="s">
        <v>954</v>
      </c>
      <c r="D788" s="21" t="s">
        <v>51</v>
      </c>
      <c r="E788" s="21">
        <v>10.0</v>
      </c>
      <c r="F788" s="21" t="s">
        <v>2289</v>
      </c>
      <c r="G788" s="19"/>
      <c r="H788" s="19"/>
      <c r="I788" s="19"/>
    </row>
    <row r="789" ht="56.25" customHeight="1">
      <c r="A789" s="21" t="s">
        <v>3364</v>
      </c>
      <c r="B789" s="19" t="str">
        <f>image("https://storage.googleapis.com/acdb/photos/BromideNpcNmlOst06_Remake_3_0.png")</f>
        <v/>
      </c>
      <c r="C789" s="21" t="s">
        <v>82</v>
      </c>
      <c r="D789" s="21" t="s">
        <v>51</v>
      </c>
      <c r="E789" s="21">
        <v>10.0</v>
      </c>
      <c r="F789" s="21" t="s">
        <v>2289</v>
      </c>
      <c r="G789" s="19"/>
      <c r="H789" s="19"/>
      <c r="I789" s="19"/>
    </row>
    <row r="790" ht="56.25" customHeight="1">
      <c r="A790" s="21" t="s">
        <v>3364</v>
      </c>
      <c r="B790" s="19" t="str">
        <f>image("https://storage.googleapis.com/acdb/photos/BromideNpcNmlOst06_Remake_4_0.png")</f>
        <v/>
      </c>
      <c r="C790" s="21" t="s">
        <v>833</v>
      </c>
      <c r="D790" s="21" t="s">
        <v>51</v>
      </c>
      <c r="E790" s="21">
        <v>10.0</v>
      </c>
      <c r="F790" s="21" t="s">
        <v>2289</v>
      </c>
      <c r="G790" s="19"/>
      <c r="H790" s="19"/>
      <c r="I790" s="19"/>
    </row>
    <row r="791" ht="56.25" customHeight="1">
      <c r="A791" s="21" t="s">
        <v>3364</v>
      </c>
      <c r="B791" s="19" t="str">
        <f>image("https://storage.googleapis.com/acdb/photos/BromideNpcNmlOst06_Remake_5_0.png")</f>
        <v/>
      </c>
      <c r="C791" s="21" t="s">
        <v>258</v>
      </c>
      <c r="D791" s="21" t="s">
        <v>51</v>
      </c>
      <c r="E791" s="21">
        <v>10.0</v>
      </c>
      <c r="F791" s="21" t="s">
        <v>2289</v>
      </c>
      <c r="G791" s="19"/>
      <c r="H791" s="19"/>
      <c r="I791" s="19"/>
    </row>
    <row r="792" ht="56.25" customHeight="1">
      <c r="A792" s="21" t="s">
        <v>3364</v>
      </c>
      <c r="B792" s="19" t="str">
        <f>image("https://storage.googleapis.com/acdb/photos/BromideNpcNmlOst06_Remake_6_0.png")</f>
        <v/>
      </c>
      <c r="C792" s="21" t="s">
        <v>182</v>
      </c>
      <c r="D792" s="21" t="s">
        <v>51</v>
      </c>
      <c r="E792" s="21">
        <v>10.0</v>
      </c>
      <c r="F792" s="21" t="s">
        <v>2289</v>
      </c>
      <c r="G792" s="19"/>
      <c r="H792" s="19"/>
      <c r="I792" s="19"/>
    </row>
    <row r="793" ht="56.25" customHeight="1">
      <c r="A793" s="21" t="s">
        <v>3364</v>
      </c>
      <c r="B793" s="19" t="str">
        <f>image("https://storage.googleapis.com/acdb/photos/BromideNpcNmlOst06_Remake_7_0.png")</f>
        <v/>
      </c>
      <c r="C793" s="21" t="s">
        <v>187</v>
      </c>
      <c r="D793" s="21" t="s">
        <v>51</v>
      </c>
      <c r="E793" s="21">
        <v>10.0</v>
      </c>
      <c r="F793" s="21" t="s">
        <v>2289</v>
      </c>
      <c r="G793" s="19"/>
      <c r="H793" s="19"/>
      <c r="I793" s="19"/>
    </row>
    <row r="794" ht="56.25" customHeight="1">
      <c r="A794" s="21" t="s">
        <v>3371</v>
      </c>
      <c r="B794" s="19" t="str">
        <f>image("https://storage.googleapis.com/acdb/photos/BromideNpcNmlFlg17_Remake_0_0.png")</f>
        <v/>
      </c>
      <c r="C794" s="21" t="s">
        <v>219</v>
      </c>
      <c r="D794" s="21" t="s">
        <v>51</v>
      </c>
      <c r="E794" s="21">
        <v>10.0</v>
      </c>
      <c r="F794" s="21" t="s">
        <v>2289</v>
      </c>
      <c r="G794" s="19"/>
      <c r="H794" s="19"/>
      <c r="I794" s="19"/>
    </row>
    <row r="795" ht="56.25" customHeight="1">
      <c r="A795" s="21" t="s">
        <v>3371</v>
      </c>
      <c r="B795" s="19" t="str">
        <f>image("https://storage.googleapis.com/acdb/photos/BromideNpcNmlFlg17_Remake_1_0.png")</f>
        <v/>
      </c>
      <c r="C795" s="21" t="s">
        <v>795</v>
      </c>
      <c r="D795" s="21" t="s">
        <v>51</v>
      </c>
      <c r="E795" s="21">
        <v>10.0</v>
      </c>
      <c r="F795" s="21" t="s">
        <v>2289</v>
      </c>
      <c r="G795" s="19"/>
      <c r="H795" s="19"/>
      <c r="I795" s="19"/>
    </row>
    <row r="796" ht="56.25" customHeight="1">
      <c r="A796" s="21" t="s">
        <v>3371</v>
      </c>
      <c r="B796" s="19" t="str">
        <f>image("https://storage.googleapis.com/acdb/photos/BromideNpcNmlFlg17_Remake_2_0.png")</f>
        <v/>
      </c>
      <c r="C796" s="21" t="s">
        <v>954</v>
      </c>
      <c r="D796" s="21" t="s">
        <v>51</v>
      </c>
      <c r="E796" s="21">
        <v>10.0</v>
      </c>
      <c r="F796" s="21" t="s">
        <v>2289</v>
      </c>
      <c r="G796" s="19"/>
      <c r="H796" s="19"/>
      <c r="I796" s="19"/>
    </row>
    <row r="797" ht="56.25" customHeight="1">
      <c r="A797" s="21" t="s">
        <v>3371</v>
      </c>
      <c r="B797" s="19" t="str">
        <f>image("https://storage.googleapis.com/acdb/photos/BromideNpcNmlFlg17_Remake_3_0.png")</f>
        <v/>
      </c>
      <c r="C797" s="21" t="s">
        <v>82</v>
      </c>
      <c r="D797" s="21" t="s">
        <v>51</v>
      </c>
      <c r="E797" s="21">
        <v>10.0</v>
      </c>
      <c r="F797" s="21" t="s">
        <v>2289</v>
      </c>
      <c r="G797" s="19"/>
      <c r="H797" s="19"/>
      <c r="I797" s="19"/>
    </row>
    <row r="798" ht="56.25" customHeight="1">
      <c r="A798" s="21" t="s">
        <v>3371</v>
      </c>
      <c r="B798" s="19" t="str">
        <f>image("https://storage.googleapis.com/acdb/photos/BromideNpcNmlFlg17_Remake_4_0.png")</f>
        <v/>
      </c>
      <c r="C798" s="21" t="s">
        <v>833</v>
      </c>
      <c r="D798" s="21" t="s">
        <v>51</v>
      </c>
      <c r="E798" s="21">
        <v>10.0</v>
      </c>
      <c r="F798" s="21" t="s">
        <v>2289</v>
      </c>
      <c r="G798" s="19"/>
      <c r="H798" s="19"/>
      <c r="I798" s="19"/>
    </row>
    <row r="799" ht="56.25" customHeight="1">
      <c r="A799" s="21" t="s">
        <v>3371</v>
      </c>
      <c r="B799" s="19" t="str">
        <f>image("https://storage.googleapis.com/acdb/photos/BromideNpcNmlFlg17_Remake_5_0.png")</f>
        <v/>
      </c>
      <c r="C799" s="21" t="s">
        <v>258</v>
      </c>
      <c r="D799" s="21" t="s">
        <v>51</v>
      </c>
      <c r="E799" s="21">
        <v>10.0</v>
      </c>
      <c r="F799" s="21" t="s">
        <v>2289</v>
      </c>
      <c r="G799" s="19"/>
      <c r="H799" s="19"/>
      <c r="I799" s="19"/>
    </row>
    <row r="800" ht="56.25" customHeight="1">
      <c r="A800" s="21" t="s">
        <v>3371</v>
      </c>
      <c r="B800" s="19" t="str">
        <f>image("https://storage.googleapis.com/acdb/photos/BromideNpcNmlFlg17_Remake_6_0.png")</f>
        <v/>
      </c>
      <c r="C800" s="21" t="s">
        <v>182</v>
      </c>
      <c r="D800" s="21" t="s">
        <v>51</v>
      </c>
      <c r="E800" s="21">
        <v>10.0</v>
      </c>
      <c r="F800" s="21" t="s">
        <v>2289</v>
      </c>
      <c r="G800" s="19"/>
      <c r="H800" s="19"/>
      <c r="I800" s="19"/>
    </row>
    <row r="801" ht="56.25" customHeight="1">
      <c r="A801" s="21" t="s">
        <v>3371</v>
      </c>
      <c r="B801" s="19" t="str">
        <f>image("https://storage.googleapis.com/acdb/photos/BromideNpcNmlFlg17_Remake_7_0.png")</f>
        <v/>
      </c>
      <c r="C801" s="21" t="s">
        <v>187</v>
      </c>
      <c r="D801" s="21" t="s">
        <v>51</v>
      </c>
      <c r="E801" s="21">
        <v>10.0</v>
      </c>
      <c r="F801" s="21" t="s">
        <v>2289</v>
      </c>
      <c r="G801" s="19"/>
      <c r="H801" s="19"/>
      <c r="I801" s="19"/>
    </row>
    <row r="802" ht="56.25" customHeight="1">
      <c r="A802" s="21" t="s">
        <v>3378</v>
      </c>
      <c r="B802" s="19" t="str">
        <f>image("https://storage.googleapis.com/acdb/photos/BromideNpcNmlPgn02_Remake_0_0.png")</f>
        <v/>
      </c>
      <c r="C802" s="21" t="s">
        <v>219</v>
      </c>
      <c r="D802" s="21" t="s">
        <v>51</v>
      </c>
      <c r="E802" s="21">
        <v>10.0</v>
      </c>
      <c r="F802" s="21" t="s">
        <v>2289</v>
      </c>
      <c r="G802" s="19"/>
      <c r="H802" s="19"/>
      <c r="I802" s="19"/>
    </row>
    <row r="803" ht="56.25" customHeight="1">
      <c r="A803" s="21" t="s">
        <v>3378</v>
      </c>
      <c r="B803" s="19" t="str">
        <f>image("https://storage.googleapis.com/acdb/photos/BromideNpcNmlPgn02_Remake_1_0.png")</f>
        <v/>
      </c>
      <c r="C803" s="21" t="s">
        <v>795</v>
      </c>
      <c r="D803" s="21" t="s">
        <v>51</v>
      </c>
      <c r="E803" s="21">
        <v>10.0</v>
      </c>
      <c r="F803" s="21" t="s">
        <v>2289</v>
      </c>
      <c r="G803" s="19"/>
      <c r="H803" s="19"/>
      <c r="I803" s="19"/>
    </row>
    <row r="804" ht="56.25" customHeight="1">
      <c r="A804" s="21" t="s">
        <v>3378</v>
      </c>
      <c r="B804" s="19" t="str">
        <f>image("https://storage.googleapis.com/acdb/photos/BromideNpcNmlPgn02_Remake_2_0.png")</f>
        <v/>
      </c>
      <c r="C804" s="21" t="s">
        <v>954</v>
      </c>
      <c r="D804" s="21" t="s">
        <v>51</v>
      </c>
      <c r="E804" s="21">
        <v>10.0</v>
      </c>
      <c r="F804" s="21" t="s">
        <v>2289</v>
      </c>
      <c r="G804" s="19"/>
      <c r="H804" s="19"/>
      <c r="I804" s="19"/>
    </row>
    <row r="805" ht="56.25" customHeight="1">
      <c r="A805" s="21" t="s">
        <v>3378</v>
      </c>
      <c r="B805" s="19" t="str">
        <f>image("https://storage.googleapis.com/acdb/photos/BromideNpcNmlPgn02_Remake_3_0.png")</f>
        <v/>
      </c>
      <c r="C805" s="21" t="s">
        <v>82</v>
      </c>
      <c r="D805" s="21" t="s">
        <v>51</v>
      </c>
      <c r="E805" s="21">
        <v>10.0</v>
      </c>
      <c r="F805" s="21" t="s">
        <v>2289</v>
      </c>
      <c r="G805" s="19"/>
      <c r="H805" s="19"/>
      <c r="I805" s="19"/>
    </row>
    <row r="806" ht="56.25" customHeight="1">
      <c r="A806" s="21" t="s">
        <v>3378</v>
      </c>
      <c r="B806" s="19" t="str">
        <f>image("https://storage.googleapis.com/acdb/photos/BromideNpcNmlPgn02_Remake_4_0.png")</f>
        <v/>
      </c>
      <c r="C806" s="21" t="s">
        <v>833</v>
      </c>
      <c r="D806" s="21" t="s">
        <v>51</v>
      </c>
      <c r="E806" s="21">
        <v>10.0</v>
      </c>
      <c r="F806" s="21" t="s">
        <v>2289</v>
      </c>
      <c r="G806" s="19"/>
      <c r="H806" s="19"/>
      <c r="I806" s="19"/>
    </row>
    <row r="807" ht="56.25" customHeight="1">
      <c r="A807" s="21" t="s">
        <v>3378</v>
      </c>
      <c r="B807" s="19" t="str">
        <f>image("https://storage.googleapis.com/acdb/photos/BromideNpcNmlPgn02_Remake_5_0.png")</f>
        <v/>
      </c>
      <c r="C807" s="21" t="s">
        <v>258</v>
      </c>
      <c r="D807" s="21" t="s">
        <v>51</v>
      </c>
      <c r="E807" s="21">
        <v>10.0</v>
      </c>
      <c r="F807" s="21" t="s">
        <v>2289</v>
      </c>
      <c r="G807" s="19"/>
      <c r="H807" s="19"/>
      <c r="I807" s="19"/>
    </row>
    <row r="808" ht="56.25" customHeight="1">
      <c r="A808" s="21" t="s">
        <v>3378</v>
      </c>
      <c r="B808" s="19" t="str">
        <f>image("https://storage.googleapis.com/acdb/photos/BromideNpcNmlPgn02_Remake_6_0.png")</f>
        <v/>
      </c>
      <c r="C808" s="21" t="s">
        <v>182</v>
      </c>
      <c r="D808" s="21" t="s">
        <v>51</v>
      </c>
      <c r="E808" s="21">
        <v>10.0</v>
      </c>
      <c r="F808" s="21" t="s">
        <v>2289</v>
      </c>
      <c r="G808" s="19"/>
      <c r="H808" s="19"/>
      <c r="I808" s="19"/>
    </row>
    <row r="809" ht="56.25" customHeight="1">
      <c r="A809" s="21" t="s">
        <v>3378</v>
      </c>
      <c r="B809" s="19" t="str">
        <f>image("https://storage.googleapis.com/acdb/photos/BromideNpcNmlPgn02_Remake_7_0.png")</f>
        <v/>
      </c>
      <c r="C809" s="21" t="s">
        <v>187</v>
      </c>
      <c r="D809" s="21" t="s">
        <v>51</v>
      </c>
      <c r="E809" s="21">
        <v>10.0</v>
      </c>
      <c r="F809" s="21" t="s">
        <v>2289</v>
      </c>
      <c r="G809" s="19"/>
      <c r="H809" s="19"/>
      <c r="I809" s="19"/>
    </row>
    <row r="810" ht="56.25" customHeight="1">
      <c r="A810" s="21" t="s">
        <v>3384</v>
      </c>
      <c r="B810" s="19" t="str">
        <f>image("https://storage.googleapis.com/acdb/photos/BromideNpcNmlShp08_Remake_0_0.png")</f>
        <v/>
      </c>
      <c r="C810" s="21" t="s">
        <v>219</v>
      </c>
      <c r="D810" s="21" t="s">
        <v>51</v>
      </c>
      <c r="E810" s="21">
        <v>10.0</v>
      </c>
      <c r="F810" s="21" t="s">
        <v>2289</v>
      </c>
      <c r="G810" s="19"/>
      <c r="H810" s="19"/>
      <c r="I810" s="19"/>
    </row>
    <row r="811" ht="56.25" customHeight="1">
      <c r="A811" s="21" t="s">
        <v>3384</v>
      </c>
      <c r="B811" s="19" t="str">
        <f>image("https://storage.googleapis.com/acdb/photos/BromideNpcNmlShp08_Remake_1_0.png")</f>
        <v/>
      </c>
      <c r="C811" s="21" t="s">
        <v>795</v>
      </c>
      <c r="D811" s="21" t="s">
        <v>51</v>
      </c>
      <c r="E811" s="21">
        <v>10.0</v>
      </c>
      <c r="F811" s="21" t="s">
        <v>2289</v>
      </c>
      <c r="G811" s="19"/>
      <c r="H811" s="19"/>
      <c r="I811" s="19"/>
    </row>
    <row r="812" ht="56.25" customHeight="1">
      <c r="A812" s="21" t="s">
        <v>3384</v>
      </c>
      <c r="B812" s="19" t="str">
        <f>image("https://storage.googleapis.com/acdb/photos/BromideNpcNmlShp08_Remake_2_0.png")</f>
        <v/>
      </c>
      <c r="C812" s="21" t="s">
        <v>954</v>
      </c>
      <c r="D812" s="21" t="s">
        <v>51</v>
      </c>
      <c r="E812" s="21">
        <v>10.0</v>
      </c>
      <c r="F812" s="21" t="s">
        <v>2289</v>
      </c>
      <c r="G812" s="19"/>
      <c r="H812" s="19"/>
      <c r="I812" s="19"/>
    </row>
    <row r="813" ht="56.25" customHeight="1">
      <c r="A813" s="21" t="s">
        <v>3384</v>
      </c>
      <c r="B813" s="19" t="str">
        <f>image("https://storage.googleapis.com/acdb/photos/BromideNpcNmlShp08_Remake_3_0.png")</f>
        <v/>
      </c>
      <c r="C813" s="21" t="s">
        <v>82</v>
      </c>
      <c r="D813" s="21" t="s">
        <v>51</v>
      </c>
      <c r="E813" s="21">
        <v>10.0</v>
      </c>
      <c r="F813" s="21" t="s">
        <v>2289</v>
      </c>
      <c r="G813" s="19"/>
      <c r="H813" s="19"/>
      <c r="I813" s="19"/>
    </row>
    <row r="814" ht="56.25" customHeight="1">
      <c r="A814" s="21" t="s">
        <v>3384</v>
      </c>
      <c r="B814" s="19" t="str">
        <f>image("https://storage.googleapis.com/acdb/photos/BromideNpcNmlShp08_Remake_4_0.png")</f>
        <v/>
      </c>
      <c r="C814" s="21" t="s">
        <v>833</v>
      </c>
      <c r="D814" s="21" t="s">
        <v>51</v>
      </c>
      <c r="E814" s="21">
        <v>10.0</v>
      </c>
      <c r="F814" s="21" t="s">
        <v>2289</v>
      </c>
      <c r="G814" s="19"/>
      <c r="H814" s="19"/>
      <c r="I814" s="19"/>
    </row>
    <row r="815" ht="56.25" customHeight="1">
      <c r="A815" s="21" t="s">
        <v>3384</v>
      </c>
      <c r="B815" s="19" t="str">
        <f>image("https://storage.googleapis.com/acdb/photos/BromideNpcNmlShp08_Remake_5_0.png")</f>
        <v/>
      </c>
      <c r="C815" s="21" t="s">
        <v>258</v>
      </c>
      <c r="D815" s="21" t="s">
        <v>51</v>
      </c>
      <c r="E815" s="21">
        <v>10.0</v>
      </c>
      <c r="F815" s="21" t="s">
        <v>2289</v>
      </c>
      <c r="G815" s="19"/>
      <c r="H815" s="19"/>
      <c r="I815" s="19"/>
    </row>
    <row r="816" ht="56.25" customHeight="1">
      <c r="A816" s="21" t="s">
        <v>3384</v>
      </c>
      <c r="B816" s="19" t="str">
        <f>image("https://storage.googleapis.com/acdb/photos/BromideNpcNmlShp08_Remake_6_0.png")</f>
        <v/>
      </c>
      <c r="C816" s="21" t="s">
        <v>182</v>
      </c>
      <c r="D816" s="21" t="s">
        <v>51</v>
      </c>
      <c r="E816" s="21">
        <v>10.0</v>
      </c>
      <c r="F816" s="21" t="s">
        <v>2289</v>
      </c>
      <c r="G816" s="19"/>
      <c r="H816" s="19"/>
      <c r="I816" s="19"/>
    </row>
    <row r="817" ht="56.25" customHeight="1">
      <c r="A817" s="21" t="s">
        <v>3384</v>
      </c>
      <c r="B817" s="19" t="str">
        <f>image("https://storage.googleapis.com/acdb/photos/BromideNpcNmlShp08_Remake_7_0.png")</f>
        <v/>
      </c>
      <c r="C817" s="21" t="s">
        <v>187</v>
      </c>
      <c r="D817" s="21" t="s">
        <v>51</v>
      </c>
      <c r="E817" s="21">
        <v>10.0</v>
      </c>
      <c r="F817" s="21" t="s">
        <v>2289</v>
      </c>
      <c r="G817" s="19"/>
      <c r="H817" s="19"/>
      <c r="I817" s="19"/>
    </row>
    <row r="818" ht="56.25" customHeight="1">
      <c r="A818" s="21" t="s">
        <v>3389</v>
      </c>
      <c r="B818" s="19" t="str">
        <f>image("https://storage.googleapis.com/acdb/photos/BromideNpcNmlPig00_Remake_0_0.png")</f>
        <v/>
      </c>
      <c r="C818" s="21" t="s">
        <v>219</v>
      </c>
      <c r="D818" s="21" t="s">
        <v>51</v>
      </c>
      <c r="E818" s="21">
        <v>10.0</v>
      </c>
      <c r="F818" s="21" t="s">
        <v>2289</v>
      </c>
      <c r="G818" s="19"/>
      <c r="H818" s="19"/>
      <c r="I818" s="19"/>
    </row>
    <row r="819" ht="56.25" customHeight="1">
      <c r="A819" s="21" t="s">
        <v>3389</v>
      </c>
      <c r="B819" s="19" t="str">
        <f>image("https://storage.googleapis.com/acdb/photos/BromideNpcNmlPig00_Remake_1_0.png")</f>
        <v/>
      </c>
      <c r="C819" s="21" t="s">
        <v>795</v>
      </c>
      <c r="D819" s="21" t="s">
        <v>51</v>
      </c>
      <c r="E819" s="21">
        <v>10.0</v>
      </c>
      <c r="F819" s="21" t="s">
        <v>2289</v>
      </c>
      <c r="G819" s="19"/>
      <c r="H819" s="19"/>
      <c r="I819" s="19"/>
    </row>
    <row r="820" ht="56.25" customHeight="1">
      <c r="A820" s="21" t="s">
        <v>3389</v>
      </c>
      <c r="B820" s="19" t="str">
        <f>image("https://storage.googleapis.com/acdb/photos/BromideNpcNmlPig00_Remake_2_0.png")</f>
        <v/>
      </c>
      <c r="C820" s="21" t="s">
        <v>954</v>
      </c>
      <c r="D820" s="21" t="s">
        <v>51</v>
      </c>
      <c r="E820" s="21">
        <v>10.0</v>
      </c>
      <c r="F820" s="21" t="s">
        <v>2289</v>
      </c>
      <c r="G820" s="19"/>
      <c r="H820" s="19"/>
      <c r="I820" s="19"/>
    </row>
    <row r="821" ht="56.25" customHeight="1">
      <c r="A821" s="21" t="s">
        <v>3389</v>
      </c>
      <c r="B821" s="19" t="str">
        <f>image("https://storage.googleapis.com/acdb/photos/BromideNpcNmlPig00_Remake_3_0.png")</f>
        <v/>
      </c>
      <c r="C821" s="21" t="s">
        <v>82</v>
      </c>
      <c r="D821" s="21" t="s">
        <v>51</v>
      </c>
      <c r="E821" s="21">
        <v>10.0</v>
      </c>
      <c r="F821" s="21" t="s">
        <v>2289</v>
      </c>
      <c r="G821" s="19"/>
      <c r="H821" s="19"/>
      <c r="I821" s="19"/>
    </row>
    <row r="822" ht="56.25" customHeight="1">
      <c r="A822" s="21" t="s">
        <v>3389</v>
      </c>
      <c r="B822" s="19" t="str">
        <f>image("https://storage.googleapis.com/acdb/photos/BromideNpcNmlPig00_Remake_4_0.png")</f>
        <v/>
      </c>
      <c r="C822" s="21" t="s">
        <v>833</v>
      </c>
      <c r="D822" s="21" t="s">
        <v>51</v>
      </c>
      <c r="E822" s="21">
        <v>10.0</v>
      </c>
      <c r="F822" s="21" t="s">
        <v>2289</v>
      </c>
      <c r="G822" s="19"/>
      <c r="H822" s="19"/>
      <c r="I822" s="19"/>
    </row>
    <row r="823" ht="56.25" customHeight="1">
      <c r="A823" s="21" t="s">
        <v>3389</v>
      </c>
      <c r="B823" s="19" t="str">
        <f>image("https://storage.googleapis.com/acdb/photos/BromideNpcNmlPig00_Remake_5_0.png")</f>
        <v/>
      </c>
      <c r="C823" s="21" t="s">
        <v>258</v>
      </c>
      <c r="D823" s="21" t="s">
        <v>51</v>
      </c>
      <c r="E823" s="21">
        <v>10.0</v>
      </c>
      <c r="F823" s="21" t="s">
        <v>2289</v>
      </c>
      <c r="G823" s="19"/>
      <c r="H823" s="19"/>
      <c r="I823" s="19"/>
    </row>
    <row r="824" ht="56.25" customHeight="1">
      <c r="A824" s="21" t="s">
        <v>3389</v>
      </c>
      <c r="B824" s="19" t="str">
        <f>image("https://storage.googleapis.com/acdb/photos/BromideNpcNmlPig00_Remake_6_0.png")</f>
        <v/>
      </c>
      <c r="C824" s="21" t="s">
        <v>182</v>
      </c>
      <c r="D824" s="21" t="s">
        <v>51</v>
      </c>
      <c r="E824" s="21">
        <v>10.0</v>
      </c>
      <c r="F824" s="21" t="s">
        <v>2289</v>
      </c>
      <c r="G824" s="19"/>
      <c r="H824" s="19"/>
      <c r="I824" s="19"/>
    </row>
    <row r="825" ht="56.25" customHeight="1">
      <c r="A825" s="21" t="s">
        <v>3389</v>
      </c>
      <c r="B825" s="19" t="str">
        <f>image("https://storage.googleapis.com/acdb/photos/BromideNpcNmlPig00_Remake_7_0.png")</f>
        <v/>
      </c>
      <c r="C825" s="21" t="s">
        <v>187</v>
      </c>
      <c r="D825" s="21" t="s">
        <v>51</v>
      </c>
      <c r="E825" s="21">
        <v>10.0</v>
      </c>
      <c r="F825" s="21" t="s">
        <v>2289</v>
      </c>
      <c r="G825" s="19"/>
      <c r="H825" s="19"/>
      <c r="I825" s="19"/>
    </row>
    <row r="826" ht="56.25" customHeight="1">
      <c r="A826" s="21" t="s">
        <v>3394</v>
      </c>
      <c r="B826" s="19" t="str">
        <f>image("https://storage.googleapis.com/acdb/photos/BromideNpcNmlBea02_Remake_0_0.png")</f>
        <v/>
      </c>
      <c r="C826" s="21" t="s">
        <v>219</v>
      </c>
      <c r="D826" s="21" t="s">
        <v>51</v>
      </c>
      <c r="E826" s="21">
        <v>10.0</v>
      </c>
      <c r="F826" s="21" t="s">
        <v>2289</v>
      </c>
      <c r="G826" s="19"/>
      <c r="H826" s="19"/>
      <c r="I826" s="19"/>
    </row>
    <row r="827" ht="56.25" customHeight="1">
      <c r="A827" s="21" t="s">
        <v>3394</v>
      </c>
      <c r="B827" s="19" t="str">
        <f>image("https://storage.googleapis.com/acdb/photos/BromideNpcNmlBea02_Remake_1_0.png")</f>
        <v/>
      </c>
      <c r="C827" s="21" t="s">
        <v>795</v>
      </c>
      <c r="D827" s="21" t="s">
        <v>51</v>
      </c>
      <c r="E827" s="21">
        <v>10.0</v>
      </c>
      <c r="F827" s="21" t="s">
        <v>2289</v>
      </c>
      <c r="G827" s="19"/>
      <c r="H827" s="19"/>
      <c r="I827" s="19"/>
    </row>
    <row r="828" ht="56.25" customHeight="1">
      <c r="A828" s="21" t="s">
        <v>3394</v>
      </c>
      <c r="B828" s="19" t="str">
        <f>image("https://storage.googleapis.com/acdb/photos/BromideNpcNmlBea02_Remake_2_0.png")</f>
        <v/>
      </c>
      <c r="C828" s="21" t="s">
        <v>954</v>
      </c>
      <c r="D828" s="21" t="s">
        <v>51</v>
      </c>
      <c r="E828" s="21">
        <v>10.0</v>
      </c>
      <c r="F828" s="21" t="s">
        <v>2289</v>
      </c>
      <c r="G828" s="19"/>
      <c r="H828" s="19"/>
      <c r="I828" s="19"/>
    </row>
    <row r="829" ht="56.25" customHeight="1">
      <c r="A829" s="21" t="s">
        <v>3394</v>
      </c>
      <c r="B829" s="19" t="str">
        <f>image("https://storage.googleapis.com/acdb/photos/BromideNpcNmlBea02_Remake_3_0.png")</f>
        <v/>
      </c>
      <c r="C829" s="21" t="s">
        <v>82</v>
      </c>
      <c r="D829" s="21" t="s">
        <v>51</v>
      </c>
      <c r="E829" s="21">
        <v>10.0</v>
      </c>
      <c r="F829" s="21" t="s">
        <v>2289</v>
      </c>
      <c r="G829" s="19"/>
      <c r="H829" s="19"/>
      <c r="I829" s="19"/>
    </row>
    <row r="830" ht="56.25" customHeight="1">
      <c r="A830" s="21" t="s">
        <v>3394</v>
      </c>
      <c r="B830" s="19" t="str">
        <f>image("https://storage.googleapis.com/acdb/photos/BromideNpcNmlBea02_Remake_4_0.png")</f>
        <v/>
      </c>
      <c r="C830" s="21" t="s">
        <v>833</v>
      </c>
      <c r="D830" s="21" t="s">
        <v>51</v>
      </c>
      <c r="E830" s="21">
        <v>10.0</v>
      </c>
      <c r="F830" s="21" t="s">
        <v>2289</v>
      </c>
      <c r="G830" s="19"/>
      <c r="H830" s="19"/>
      <c r="I830" s="19"/>
    </row>
    <row r="831" ht="56.25" customHeight="1">
      <c r="A831" s="21" t="s">
        <v>3394</v>
      </c>
      <c r="B831" s="19" t="str">
        <f>image("https://storage.googleapis.com/acdb/photos/BromideNpcNmlBea02_Remake_5_0.png")</f>
        <v/>
      </c>
      <c r="C831" s="21" t="s">
        <v>258</v>
      </c>
      <c r="D831" s="21" t="s">
        <v>51</v>
      </c>
      <c r="E831" s="21">
        <v>10.0</v>
      </c>
      <c r="F831" s="21" t="s">
        <v>2289</v>
      </c>
      <c r="G831" s="19"/>
      <c r="H831" s="19"/>
      <c r="I831" s="19"/>
    </row>
    <row r="832" ht="56.25" customHeight="1">
      <c r="A832" s="21" t="s">
        <v>3394</v>
      </c>
      <c r="B832" s="19" t="str">
        <f>image("https://storage.googleapis.com/acdb/photos/BromideNpcNmlBea02_Remake_6_0.png")</f>
        <v/>
      </c>
      <c r="C832" s="21" t="s">
        <v>182</v>
      </c>
      <c r="D832" s="21" t="s">
        <v>51</v>
      </c>
      <c r="E832" s="21">
        <v>10.0</v>
      </c>
      <c r="F832" s="21" t="s">
        <v>2289</v>
      </c>
      <c r="G832" s="19"/>
      <c r="H832" s="19"/>
      <c r="I832" s="19"/>
    </row>
    <row r="833" ht="56.25" customHeight="1">
      <c r="A833" s="21" t="s">
        <v>3394</v>
      </c>
      <c r="B833" s="19" t="str">
        <f>image("https://storage.googleapis.com/acdb/photos/BromideNpcNmlBea02_Remake_7_0.png")</f>
        <v/>
      </c>
      <c r="C833" s="21" t="s">
        <v>187</v>
      </c>
      <c r="D833" s="21" t="s">
        <v>51</v>
      </c>
      <c r="E833" s="21">
        <v>10.0</v>
      </c>
      <c r="F833" s="21" t="s">
        <v>2289</v>
      </c>
      <c r="G833" s="19"/>
      <c r="H833" s="19"/>
      <c r="I833" s="19"/>
    </row>
    <row r="834" ht="56.25" customHeight="1">
      <c r="A834" s="21" t="s">
        <v>3400</v>
      </c>
      <c r="B834" s="19" t="str">
        <f>image("https://storage.googleapis.com/acdb/photos/BromideNpcNmlElp12_Remake_0_0.png")</f>
        <v/>
      </c>
      <c r="C834" s="21" t="s">
        <v>219</v>
      </c>
      <c r="D834" s="21" t="s">
        <v>51</v>
      </c>
      <c r="E834" s="21">
        <v>10.0</v>
      </c>
      <c r="F834" s="21" t="s">
        <v>2289</v>
      </c>
      <c r="G834" s="19"/>
      <c r="H834" s="19"/>
      <c r="I834" s="19"/>
    </row>
    <row r="835" ht="56.25" customHeight="1">
      <c r="A835" s="21" t="s">
        <v>3400</v>
      </c>
      <c r="B835" s="19" t="str">
        <f>image("https://storage.googleapis.com/acdb/photos/BromideNpcNmlElp12_Remake_1_0.png")</f>
        <v/>
      </c>
      <c r="C835" s="21" t="s">
        <v>795</v>
      </c>
      <c r="D835" s="21" t="s">
        <v>51</v>
      </c>
      <c r="E835" s="21">
        <v>10.0</v>
      </c>
      <c r="F835" s="21" t="s">
        <v>2289</v>
      </c>
      <c r="G835" s="19"/>
      <c r="H835" s="19"/>
      <c r="I835" s="19"/>
    </row>
    <row r="836" ht="56.25" customHeight="1">
      <c r="A836" s="21" t="s">
        <v>3400</v>
      </c>
      <c r="B836" s="19" t="str">
        <f>image("https://storage.googleapis.com/acdb/photos/BromideNpcNmlElp12_Remake_2_0.png")</f>
        <v/>
      </c>
      <c r="C836" s="21" t="s">
        <v>954</v>
      </c>
      <c r="D836" s="21" t="s">
        <v>51</v>
      </c>
      <c r="E836" s="21">
        <v>10.0</v>
      </c>
      <c r="F836" s="21" t="s">
        <v>2289</v>
      </c>
      <c r="G836" s="19"/>
      <c r="H836" s="19"/>
      <c r="I836" s="19"/>
    </row>
    <row r="837" ht="56.25" customHeight="1">
      <c r="A837" s="21" t="s">
        <v>3400</v>
      </c>
      <c r="B837" s="19" t="str">
        <f>image("https://storage.googleapis.com/acdb/photos/BromideNpcNmlElp12_Remake_3_0.png")</f>
        <v/>
      </c>
      <c r="C837" s="21" t="s">
        <v>82</v>
      </c>
      <c r="D837" s="21" t="s">
        <v>51</v>
      </c>
      <c r="E837" s="21">
        <v>10.0</v>
      </c>
      <c r="F837" s="21" t="s">
        <v>2289</v>
      </c>
      <c r="G837" s="19"/>
      <c r="H837" s="19"/>
      <c r="I837" s="19"/>
    </row>
    <row r="838" ht="56.25" customHeight="1">
      <c r="A838" s="21" t="s">
        <v>3400</v>
      </c>
      <c r="B838" s="19" t="str">
        <f>image("https://storage.googleapis.com/acdb/photos/BromideNpcNmlElp12_Remake_4_0.png")</f>
        <v/>
      </c>
      <c r="C838" s="21" t="s">
        <v>833</v>
      </c>
      <c r="D838" s="21" t="s">
        <v>51</v>
      </c>
      <c r="E838" s="21">
        <v>10.0</v>
      </c>
      <c r="F838" s="21" t="s">
        <v>2289</v>
      </c>
      <c r="G838" s="19"/>
      <c r="H838" s="19"/>
      <c r="I838" s="19"/>
    </row>
    <row r="839" ht="56.25" customHeight="1">
      <c r="A839" s="21" t="s">
        <v>3400</v>
      </c>
      <c r="B839" s="19" t="str">
        <f>image("https://storage.googleapis.com/acdb/photos/BromideNpcNmlElp12_Remake_5_0.png")</f>
        <v/>
      </c>
      <c r="C839" s="21" t="s">
        <v>258</v>
      </c>
      <c r="D839" s="21" t="s">
        <v>51</v>
      </c>
      <c r="E839" s="21">
        <v>10.0</v>
      </c>
      <c r="F839" s="21" t="s">
        <v>2289</v>
      </c>
      <c r="G839" s="19"/>
      <c r="H839" s="19"/>
      <c r="I839" s="19"/>
    </row>
    <row r="840" ht="56.25" customHeight="1">
      <c r="A840" s="21" t="s">
        <v>3400</v>
      </c>
      <c r="B840" s="19" t="str">
        <f>image("https://storage.googleapis.com/acdb/photos/BromideNpcNmlElp12_Remake_6_0.png")</f>
        <v/>
      </c>
      <c r="C840" s="21" t="s">
        <v>182</v>
      </c>
      <c r="D840" s="21" t="s">
        <v>51</v>
      </c>
      <c r="E840" s="21">
        <v>10.0</v>
      </c>
      <c r="F840" s="21" t="s">
        <v>2289</v>
      </c>
      <c r="G840" s="19"/>
      <c r="H840" s="19"/>
      <c r="I840" s="19"/>
    </row>
    <row r="841" ht="56.25" customHeight="1">
      <c r="A841" s="21" t="s">
        <v>3400</v>
      </c>
      <c r="B841" s="19" t="str">
        <f>image("https://storage.googleapis.com/acdb/photos/BromideNpcNmlElp12_Remake_7_0.png")</f>
        <v/>
      </c>
      <c r="C841" s="21" t="s">
        <v>187</v>
      </c>
      <c r="D841" s="21" t="s">
        <v>51</v>
      </c>
      <c r="E841" s="21">
        <v>10.0</v>
      </c>
      <c r="F841" s="21" t="s">
        <v>2289</v>
      </c>
      <c r="G841" s="19"/>
      <c r="H841" s="19"/>
      <c r="I841" s="19"/>
    </row>
    <row r="842" ht="56.25" customHeight="1">
      <c r="A842" s="21" t="s">
        <v>3408</v>
      </c>
      <c r="B842" s="19" t="str">
        <f>image("https://storage.googleapis.com/acdb/photos/BromideNpcNmlAnt00_Remake_0_0.png")</f>
        <v/>
      </c>
      <c r="C842" s="21" t="s">
        <v>219</v>
      </c>
      <c r="D842" s="21" t="s">
        <v>51</v>
      </c>
      <c r="E842" s="21">
        <v>10.0</v>
      </c>
      <c r="F842" s="21" t="s">
        <v>2289</v>
      </c>
      <c r="G842" s="19"/>
      <c r="H842" s="19"/>
      <c r="I842" s="19"/>
    </row>
    <row r="843" ht="56.25" customHeight="1">
      <c r="A843" s="21" t="s">
        <v>3408</v>
      </c>
      <c r="B843" s="19" t="str">
        <f>image("https://storage.googleapis.com/acdb/photos/BromideNpcNmlAnt00_Remake_1_0.png")</f>
        <v/>
      </c>
      <c r="C843" s="21" t="s">
        <v>795</v>
      </c>
      <c r="D843" s="21" t="s">
        <v>51</v>
      </c>
      <c r="E843" s="21">
        <v>10.0</v>
      </c>
      <c r="F843" s="21" t="s">
        <v>2289</v>
      </c>
      <c r="G843" s="19"/>
      <c r="H843" s="19"/>
      <c r="I843" s="19"/>
    </row>
    <row r="844" ht="56.25" customHeight="1">
      <c r="A844" s="21" t="s">
        <v>3408</v>
      </c>
      <c r="B844" s="19" t="str">
        <f>image("https://storage.googleapis.com/acdb/photos/BromideNpcNmlAnt00_Remake_2_0.png")</f>
        <v/>
      </c>
      <c r="C844" s="21" t="s">
        <v>954</v>
      </c>
      <c r="D844" s="21" t="s">
        <v>51</v>
      </c>
      <c r="E844" s="21">
        <v>10.0</v>
      </c>
      <c r="F844" s="21" t="s">
        <v>2289</v>
      </c>
      <c r="G844" s="19"/>
      <c r="H844" s="19"/>
      <c r="I844" s="19"/>
    </row>
    <row r="845" ht="56.25" customHeight="1">
      <c r="A845" s="21" t="s">
        <v>3408</v>
      </c>
      <c r="B845" s="19" t="str">
        <f>image("https://storage.googleapis.com/acdb/photos/BromideNpcNmlAnt00_Remake_3_0.png")</f>
        <v/>
      </c>
      <c r="C845" s="21" t="s">
        <v>82</v>
      </c>
      <c r="D845" s="21" t="s">
        <v>51</v>
      </c>
      <c r="E845" s="21">
        <v>10.0</v>
      </c>
      <c r="F845" s="21" t="s">
        <v>2289</v>
      </c>
      <c r="G845" s="19"/>
      <c r="H845" s="19"/>
      <c r="I845" s="19"/>
    </row>
    <row r="846" ht="56.25" customHeight="1">
      <c r="A846" s="21" t="s">
        <v>3408</v>
      </c>
      <c r="B846" s="19" t="str">
        <f>image("https://storage.googleapis.com/acdb/photos/BromideNpcNmlAnt00_Remake_4_0.png")</f>
        <v/>
      </c>
      <c r="C846" s="21" t="s">
        <v>833</v>
      </c>
      <c r="D846" s="21" t="s">
        <v>51</v>
      </c>
      <c r="E846" s="21">
        <v>10.0</v>
      </c>
      <c r="F846" s="21" t="s">
        <v>2289</v>
      </c>
      <c r="G846" s="19"/>
      <c r="H846" s="19"/>
      <c r="I846" s="19"/>
    </row>
    <row r="847" ht="56.25" customHeight="1">
      <c r="A847" s="21" t="s">
        <v>3408</v>
      </c>
      <c r="B847" s="19" t="str">
        <f>image("https://storage.googleapis.com/acdb/photos/BromideNpcNmlAnt00_Remake_5_0.png")</f>
        <v/>
      </c>
      <c r="C847" s="21" t="s">
        <v>258</v>
      </c>
      <c r="D847" s="21" t="s">
        <v>51</v>
      </c>
      <c r="E847" s="21">
        <v>10.0</v>
      </c>
      <c r="F847" s="21" t="s">
        <v>2289</v>
      </c>
      <c r="G847" s="19"/>
      <c r="H847" s="19"/>
      <c r="I847" s="19"/>
    </row>
    <row r="848" ht="56.25" customHeight="1">
      <c r="A848" s="21" t="s">
        <v>3408</v>
      </c>
      <c r="B848" s="19" t="str">
        <f>image("https://storage.googleapis.com/acdb/photos/BromideNpcNmlAnt00_Remake_6_0.png")</f>
        <v/>
      </c>
      <c r="C848" s="21" t="s">
        <v>182</v>
      </c>
      <c r="D848" s="21" t="s">
        <v>51</v>
      </c>
      <c r="E848" s="21">
        <v>10.0</v>
      </c>
      <c r="F848" s="21" t="s">
        <v>2289</v>
      </c>
      <c r="G848" s="19"/>
      <c r="H848" s="19"/>
      <c r="I848" s="19"/>
    </row>
    <row r="849" ht="56.25" customHeight="1">
      <c r="A849" s="21" t="s">
        <v>3408</v>
      </c>
      <c r="B849" s="19" t="str">
        <f>image("https://storage.googleapis.com/acdb/photos/BromideNpcNmlAnt00_Remake_7_0.png")</f>
        <v/>
      </c>
      <c r="C849" s="21" t="s">
        <v>187</v>
      </c>
      <c r="D849" s="21" t="s">
        <v>51</v>
      </c>
      <c r="E849" s="21">
        <v>10.0</v>
      </c>
      <c r="F849" s="21" t="s">
        <v>2289</v>
      </c>
      <c r="G849" s="19"/>
      <c r="H849" s="19"/>
      <c r="I849" s="19"/>
    </row>
    <row r="850" ht="56.25" customHeight="1">
      <c r="A850" s="21" t="s">
        <v>3416</v>
      </c>
      <c r="B850" s="19" t="str">
        <f>image("https://storage.googleapis.com/acdb/photos/BromideNpcNmlDog07_Remake_0_0.png")</f>
        <v/>
      </c>
      <c r="C850" s="21" t="s">
        <v>219</v>
      </c>
      <c r="D850" s="21" t="s">
        <v>51</v>
      </c>
      <c r="E850" s="21">
        <v>10.0</v>
      </c>
      <c r="F850" s="21" t="s">
        <v>2289</v>
      </c>
      <c r="G850" s="19"/>
      <c r="H850" s="19"/>
      <c r="I850" s="19"/>
    </row>
    <row r="851" ht="56.25" customHeight="1">
      <c r="A851" s="21" t="s">
        <v>3416</v>
      </c>
      <c r="B851" s="19" t="str">
        <f>image("https://storage.googleapis.com/acdb/photos/BromideNpcNmlDog07_Remake_1_0.png")</f>
        <v/>
      </c>
      <c r="C851" s="21" t="s">
        <v>795</v>
      </c>
      <c r="D851" s="21" t="s">
        <v>51</v>
      </c>
      <c r="E851" s="21">
        <v>10.0</v>
      </c>
      <c r="F851" s="21" t="s">
        <v>2289</v>
      </c>
      <c r="G851" s="19"/>
      <c r="H851" s="19"/>
      <c r="I851" s="19"/>
    </row>
    <row r="852" ht="56.25" customHeight="1">
      <c r="A852" s="21" t="s">
        <v>3416</v>
      </c>
      <c r="B852" s="19" t="str">
        <f>image("https://storage.googleapis.com/acdb/photos/BromideNpcNmlDog07_Remake_2_0.png")</f>
        <v/>
      </c>
      <c r="C852" s="21" t="s">
        <v>954</v>
      </c>
      <c r="D852" s="21" t="s">
        <v>51</v>
      </c>
      <c r="E852" s="21">
        <v>10.0</v>
      </c>
      <c r="F852" s="21" t="s">
        <v>2289</v>
      </c>
      <c r="G852" s="19"/>
      <c r="H852" s="19"/>
      <c r="I852" s="19"/>
    </row>
    <row r="853" ht="56.25" customHeight="1">
      <c r="A853" s="21" t="s">
        <v>3416</v>
      </c>
      <c r="B853" s="19" t="str">
        <f>image("https://storage.googleapis.com/acdb/photos/BromideNpcNmlDog07_Remake_3_0.png")</f>
        <v/>
      </c>
      <c r="C853" s="21" t="s">
        <v>82</v>
      </c>
      <c r="D853" s="21" t="s">
        <v>51</v>
      </c>
      <c r="E853" s="21">
        <v>10.0</v>
      </c>
      <c r="F853" s="21" t="s">
        <v>2289</v>
      </c>
      <c r="G853" s="19"/>
      <c r="H853" s="19"/>
      <c r="I853" s="19"/>
    </row>
    <row r="854" ht="56.25" customHeight="1">
      <c r="A854" s="21" t="s">
        <v>3416</v>
      </c>
      <c r="B854" s="19" t="str">
        <f>image("https://storage.googleapis.com/acdb/photos/BromideNpcNmlDog07_Remake_4_0.png")</f>
        <v/>
      </c>
      <c r="C854" s="21" t="s">
        <v>833</v>
      </c>
      <c r="D854" s="21" t="s">
        <v>51</v>
      </c>
      <c r="E854" s="21">
        <v>10.0</v>
      </c>
      <c r="F854" s="21" t="s">
        <v>2289</v>
      </c>
      <c r="G854" s="19"/>
      <c r="H854" s="19"/>
      <c r="I854" s="19"/>
    </row>
    <row r="855" ht="56.25" customHeight="1">
      <c r="A855" s="21" t="s">
        <v>3416</v>
      </c>
      <c r="B855" s="19" t="str">
        <f>image("https://storage.googleapis.com/acdb/photos/BromideNpcNmlDog07_Remake_5_0.png")</f>
        <v/>
      </c>
      <c r="C855" s="21" t="s">
        <v>258</v>
      </c>
      <c r="D855" s="21" t="s">
        <v>51</v>
      </c>
      <c r="E855" s="21">
        <v>10.0</v>
      </c>
      <c r="F855" s="21" t="s">
        <v>2289</v>
      </c>
      <c r="G855" s="19"/>
      <c r="H855" s="19"/>
      <c r="I855" s="19"/>
    </row>
    <row r="856" ht="56.25" customHeight="1">
      <c r="A856" s="21" t="s">
        <v>3416</v>
      </c>
      <c r="B856" s="19" t="str">
        <f>image("https://storage.googleapis.com/acdb/photos/BromideNpcNmlDog07_Remake_6_0.png")</f>
        <v/>
      </c>
      <c r="C856" s="21" t="s">
        <v>182</v>
      </c>
      <c r="D856" s="21" t="s">
        <v>51</v>
      </c>
      <c r="E856" s="21">
        <v>10.0</v>
      </c>
      <c r="F856" s="21" t="s">
        <v>2289</v>
      </c>
      <c r="G856" s="19"/>
      <c r="H856" s="19"/>
      <c r="I856" s="19"/>
    </row>
    <row r="857" ht="56.25" customHeight="1">
      <c r="A857" s="21" t="s">
        <v>3416</v>
      </c>
      <c r="B857" s="19" t="str">
        <f>image("https://storage.googleapis.com/acdb/photos/BromideNpcNmlDog07_Remake_7_0.png")</f>
        <v/>
      </c>
      <c r="C857" s="21" t="s">
        <v>187</v>
      </c>
      <c r="D857" s="21" t="s">
        <v>51</v>
      </c>
      <c r="E857" s="21">
        <v>10.0</v>
      </c>
      <c r="F857" s="21" t="s">
        <v>2289</v>
      </c>
      <c r="G857" s="19"/>
      <c r="H857" s="19"/>
      <c r="I857" s="19"/>
    </row>
    <row r="858" ht="56.25" customHeight="1">
      <c r="A858" s="21" t="s">
        <v>3422</v>
      </c>
      <c r="B858" s="19" t="str">
        <f>image("https://storage.googleapis.com/acdb/photos/BromideNpcNmlDuk04_Remake_0_0.png")</f>
        <v/>
      </c>
      <c r="C858" s="21" t="s">
        <v>219</v>
      </c>
      <c r="D858" s="21" t="s">
        <v>51</v>
      </c>
      <c r="E858" s="21">
        <v>10.0</v>
      </c>
      <c r="F858" s="21" t="s">
        <v>2289</v>
      </c>
      <c r="G858" s="19"/>
      <c r="H858" s="19"/>
      <c r="I858" s="19"/>
    </row>
    <row r="859" ht="56.25" customHeight="1">
      <c r="A859" s="21" t="s">
        <v>3422</v>
      </c>
      <c r="B859" s="19" t="str">
        <f>image("https://storage.googleapis.com/acdb/photos/BromideNpcNmlDuk04_Remake_1_0.png")</f>
        <v/>
      </c>
      <c r="C859" s="21" t="s">
        <v>795</v>
      </c>
      <c r="D859" s="21" t="s">
        <v>51</v>
      </c>
      <c r="E859" s="21">
        <v>10.0</v>
      </c>
      <c r="F859" s="21" t="s">
        <v>2289</v>
      </c>
      <c r="G859" s="19"/>
      <c r="H859" s="19"/>
      <c r="I859" s="19"/>
    </row>
    <row r="860" ht="56.25" customHeight="1">
      <c r="A860" s="21" t="s">
        <v>3422</v>
      </c>
      <c r="B860" s="19" t="str">
        <f>image("https://storage.googleapis.com/acdb/photos/BromideNpcNmlDuk04_Remake_2_0.png")</f>
        <v/>
      </c>
      <c r="C860" s="21" t="s">
        <v>954</v>
      </c>
      <c r="D860" s="21" t="s">
        <v>51</v>
      </c>
      <c r="E860" s="21">
        <v>10.0</v>
      </c>
      <c r="F860" s="21" t="s">
        <v>2289</v>
      </c>
      <c r="G860" s="19"/>
      <c r="H860" s="19"/>
      <c r="I860" s="19"/>
    </row>
    <row r="861" ht="56.25" customHeight="1">
      <c r="A861" s="21" t="s">
        <v>3422</v>
      </c>
      <c r="B861" s="19" t="str">
        <f>image("https://storage.googleapis.com/acdb/photos/BromideNpcNmlDuk04_Remake_3_0.png")</f>
        <v/>
      </c>
      <c r="C861" s="21" t="s">
        <v>82</v>
      </c>
      <c r="D861" s="21" t="s">
        <v>51</v>
      </c>
      <c r="E861" s="21">
        <v>10.0</v>
      </c>
      <c r="F861" s="21" t="s">
        <v>2289</v>
      </c>
      <c r="G861" s="19"/>
      <c r="H861" s="19"/>
      <c r="I861" s="19"/>
    </row>
    <row r="862" ht="56.25" customHeight="1">
      <c r="A862" s="21" t="s">
        <v>3422</v>
      </c>
      <c r="B862" s="19" t="str">
        <f>image("https://storage.googleapis.com/acdb/photos/BromideNpcNmlDuk04_Remake_4_0.png")</f>
        <v/>
      </c>
      <c r="C862" s="21" t="s">
        <v>833</v>
      </c>
      <c r="D862" s="21" t="s">
        <v>51</v>
      </c>
      <c r="E862" s="21">
        <v>10.0</v>
      </c>
      <c r="F862" s="21" t="s">
        <v>2289</v>
      </c>
      <c r="G862" s="19"/>
      <c r="H862" s="19"/>
      <c r="I862" s="19"/>
    </row>
    <row r="863" ht="56.25" customHeight="1">
      <c r="A863" s="21" t="s">
        <v>3422</v>
      </c>
      <c r="B863" s="19" t="str">
        <f>image("https://storage.googleapis.com/acdb/photos/BromideNpcNmlDuk04_Remake_5_0.png")</f>
        <v/>
      </c>
      <c r="C863" s="21" t="s">
        <v>258</v>
      </c>
      <c r="D863" s="21" t="s">
        <v>51</v>
      </c>
      <c r="E863" s="21">
        <v>10.0</v>
      </c>
      <c r="F863" s="21" t="s">
        <v>2289</v>
      </c>
      <c r="G863" s="19"/>
      <c r="H863" s="19"/>
      <c r="I863" s="19"/>
    </row>
    <row r="864" ht="56.25" customHeight="1">
      <c r="A864" s="21" t="s">
        <v>3422</v>
      </c>
      <c r="B864" s="19" t="str">
        <f>image("https://storage.googleapis.com/acdb/photos/BromideNpcNmlDuk04_Remake_6_0.png")</f>
        <v/>
      </c>
      <c r="C864" s="21" t="s">
        <v>182</v>
      </c>
      <c r="D864" s="21" t="s">
        <v>51</v>
      </c>
      <c r="E864" s="21">
        <v>10.0</v>
      </c>
      <c r="F864" s="21" t="s">
        <v>2289</v>
      </c>
      <c r="G864" s="19"/>
      <c r="H864" s="19"/>
      <c r="I864" s="19"/>
    </row>
    <row r="865" ht="56.25" customHeight="1">
      <c r="A865" s="21" t="s">
        <v>3422</v>
      </c>
      <c r="B865" s="19" t="str">
        <f>image("https://storage.googleapis.com/acdb/photos/BromideNpcNmlDuk04_Remake_7_0.png")</f>
        <v/>
      </c>
      <c r="C865" s="21" t="s">
        <v>187</v>
      </c>
      <c r="D865" s="21" t="s">
        <v>51</v>
      </c>
      <c r="E865" s="21">
        <v>10.0</v>
      </c>
      <c r="F865" s="21" t="s">
        <v>2289</v>
      </c>
      <c r="G865" s="19"/>
      <c r="H865" s="19"/>
      <c r="I865" s="19"/>
    </row>
    <row r="866" ht="56.25" customHeight="1">
      <c r="A866" s="21" t="s">
        <v>3428</v>
      </c>
      <c r="B866" s="19" t="str">
        <f>image("https://storage.googleapis.com/acdb/photos/BromideNpcNmlDer04_Remake_0_0.png")</f>
        <v/>
      </c>
      <c r="C866" s="21" t="s">
        <v>219</v>
      </c>
      <c r="D866" s="21" t="s">
        <v>51</v>
      </c>
      <c r="E866" s="21">
        <v>10.0</v>
      </c>
      <c r="F866" s="21" t="s">
        <v>2289</v>
      </c>
      <c r="G866" s="19"/>
      <c r="H866" s="19"/>
      <c r="I866" s="19"/>
    </row>
    <row r="867" ht="56.25" customHeight="1">
      <c r="A867" s="21" t="s">
        <v>3428</v>
      </c>
      <c r="B867" s="19" t="str">
        <f>image("https://storage.googleapis.com/acdb/photos/BromideNpcNmlDer04_Remake_1_0.png")</f>
        <v/>
      </c>
      <c r="C867" s="21" t="s">
        <v>795</v>
      </c>
      <c r="D867" s="21" t="s">
        <v>51</v>
      </c>
      <c r="E867" s="21">
        <v>10.0</v>
      </c>
      <c r="F867" s="21" t="s">
        <v>2289</v>
      </c>
      <c r="G867" s="19"/>
      <c r="H867" s="19"/>
      <c r="I867" s="19"/>
    </row>
    <row r="868" ht="56.25" customHeight="1">
      <c r="A868" s="21" t="s">
        <v>3428</v>
      </c>
      <c r="B868" s="19" t="str">
        <f>image("https://storage.googleapis.com/acdb/photos/BromideNpcNmlDer04_Remake_2_0.png")</f>
        <v/>
      </c>
      <c r="C868" s="21" t="s">
        <v>954</v>
      </c>
      <c r="D868" s="21" t="s">
        <v>51</v>
      </c>
      <c r="E868" s="21">
        <v>10.0</v>
      </c>
      <c r="F868" s="21" t="s">
        <v>2289</v>
      </c>
      <c r="G868" s="19"/>
      <c r="H868" s="19"/>
      <c r="I868" s="19"/>
    </row>
    <row r="869" ht="56.25" customHeight="1">
      <c r="A869" s="21" t="s">
        <v>3428</v>
      </c>
      <c r="B869" s="19" t="str">
        <f>image("https://storage.googleapis.com/acdb/photos/BromideNpcNmlDer04_Remake_3_0.png")</f>
        <v/>
      </c>
      <c r="C869" s="21" t="s">
        <v>82</v>
      </c>
      <c r="D869" s="21" t="s">
        <v>51</v>
      </c>
      <c r="E869" s="21">
        <v>10.0</v>
      </c>
      <c r="F869" s="21" t="s">
        <v>2289</v>
      </c>
      <c r="G869" s="19"/>
      <c r="H869" s="19"/>
      <c r="I869" s="19"/>
    </row>
    <row r="870" ht="56.25" customHeight="1">
      <c r="A870" s="21" t="s">
        <v>3428</v>
      </c>
      <c r="B870" s="19" t="str">
        <f>image("https://storage.googleapis.com/acdb/photos/BromideNpcNmlDer04_Remake_4_0.png")</f>
        <v/>
      </c>
      <c r="C870" s="21" t="s">
        <v>833</v>
      </c>
      <c r="D870" s="21" t="s">
        <v>51</v>
      </c>
      <c r="E870" s="21">
        <v>10.0</v>
      </c>
      <c r="F870" s="21" t="s">
        <v>2289</v>
      </c>
      <c r="G870" s="19"/>
      <c r="H870" s="19"/>
      <c r="I870" s="19"/>
    </row>
    <row r="871" ht="56.25" customHeight="1">
      <c r="A871" s="21" t="s">
        <v>3428</v>
      </c>
      <c r="B871" s="19" t="str">
        <f>image("https://storage.googleapis.com/acdb/photos/BromideNpcNmlDer04_Remake_5_0.png")</f>
        <v/>
      </c>
      <c r="C871" s="21" t="s">
        <v>258</v>
      </c>
      <c r="D871" s="21" t="s">
        <v>51</v>
      </c>
      <c r="E871" s="21">
        <v>10.0</v>
      </c>
      <c r="F871" s="21" t="s">
        <v>2289</v>
      </c>
      <c r="G871" s="19"/>
      <c r="H871" s="19"/>
      <c r="I871" s="19"/>
    </row>
    <row r="872" ht="56.25" customHeight="1">
      <c r="A872" s="21" t="s">
        <v>3428</v>
      </c>
      <c r="B872" s="19" t="str">
        <f>image("https://storage.googleapis.com/acdb/photos/BromideNpcNmlDer04_Remake_6_0.png")</f>
        <v/>
      </c>
      <c r="C872" s="21" t="s">
        <v>182</v>
      </c>
      <c r="D872" s="21" t="s">
        <v>51</v>
      </c>
      <c r="E872" s="21">
        <v>10.0</v>
      </c>
      <c r="F872" s="21" t="s">
        <v>2289</v>
      </c>
      <c r="G872" s="19"/>
      <c r="H872" s="19"/>
      <c r="I872" s="19"/>
    </row>
    <row r="873" ht="56.25" customHeight="1">
      <c r="A873" s="21" t="s">
        <v>3428</v>
      </c>
      <c r="B873" s="19" t="str">
        <f>image("https://storage.googleapis.com/acdb/photos/BromideNpcNmlDer04_Remake_7_0.png")</f>
        <v/>
      </c>
      <c r="C873" s="21" t="s">
        <v>187</v>
      </c>
      <c r="D873" s="21" t="s">
        <v>51</v>
      </c>
      <c r="E873" s="21">
        <v>10.0</v>
      </c>
      <c r="F873" s="21" t="s">
        <v>2289</v>
      </c>
      <c r="G873" s="19"/>
      <c r="H873" s="19"/>
      <c r="I873" s="19"/>
    </row>
    <row r="874" ht="56.25" customHeight="1">
      <c r="A874" s="21" t="s">
        <v>3433</v>
      </c>
      <c r="B874" s="19" t="str">
        <f>image("https://storage.googleapis.com/acdb/photos/BromideNpcNmlCrd04_Remake_0_0.png")</f>
        <v/>
      </c>
      <c r="C874" s="21" t="s">
        <v>219</v>
      </c>
      <c r="D874" s="21" t="s">
        <v>51</v>
      </c>
      <c r="E874" s="21">
        <v>10.0</v>
      </c>
      <c r="F874" s="21" t="s">
        <v>2289</v>
      </c>
      <c r="G874" s="19"/>
      <c r="H874" s="19"/>
      <c r="I874" s="19"/>
    </row>
    <row r="875" ht="56.25" customHeight="1">
      <c r="A875" s="21" t="s">
        <v>3433</v>
      </c>
      <c r="B875" s="19" t="str">
        <f>image("https://storage.googleapis.com/acdb/photos/BromideNpcNmlCrd04_Remake_1_0.png")</f>
        <v/>
      </c>
      <c r="C875" s="21" t="s">
        <v>795</v>
      </c>
      <c r="D875" s="21" t="s">
        <v>51</v>
      </c>
      <c r="E875" s="21">
        <v>10.0</v>
      </c>
      <c r="F875" s="21" t="s">
        <v>2289</v>
      </c>
      <c r="G875" s="19"/>
      <c r="H875" s="19"/>
      <c r="I875" s="19"/>
    </row>
    <row r="876" ht="56.25" customHeight="1">
      <c r="A876" s="21" t="s">
        <v>3433</v>
      </c>
      <c r="B876" s="19" t="str">
        <f>image("https://storage.googleapis.com/acdb/photos/BromideNpcNmlCrd04_Remake_2_0.png")</f>
        <v/>
      </c>
      <c r="C876" s="21" t="s">
        <v>954</v>
      </c>
      <c r="D876" s="21" t="s">
        <v>51</v>
      </c>
      <c r="E876" s="21">
        <v>10.0</v>
      </c>
      <c r="F876" s="21" t="s">
        <v>2289</v>
      </c>
      <c r="G876" s="19"/>
      <c r="H876" s="19"/>
      <c r="I876" s="19"/>
    </row>
    <row r="877" ht="56.25" customHeight="1">
      <c r="A877" s="21" t="s">
        <v>3433</v>
      </c>
      <c r="B877" s="19" t="str">
        <f>image("https://storage.googleapis.com/acdb/photos/BromideNpcNmlCrd04_Remake_3_0.png")</f>
        <v/>
      </c>
      <c r="C877" s="21" t="s">
        <v>82</v>
      </c>
      <c r="D877" s="21" t="s">
        <v>51</v>
      </c>
      <c r="E877" s="21">
        <v>10.0</v>
      </c>
      <c r="F877" s="21" t="s">
        <v>2289</v>
      </c>
      <c r="G877" s="19"/>
      <c r="H877" s="19"/>
      <c r="I877" s="19"/>
    </row>
    <row r="878" ht="56.25" customHeight="1">
      <c r="A878" s="21" t="s">
        <v>3433</v>
      </c>
      <c r="B878" s="19" t="str">
        <f>image("https://storage.googleapis.com/acdb/photos/BromideNpcNmlCrd04_Remake_4_0.png")</f>
        <v/>
      </c>
      <c r="C878" s="21" t="s">
        <v>833</v>
      </c>
      <c r="D878" s="21" t="s">
        <v>51</v>
      </c>
      <c r="E878" s="21">
        <v>10.0</v>
      </c>
      <c r="F878" s="21" t="s">
        <v>2289</v>
      </c>
      <c r="G878" s="19"/>
      <c r="H878" s="19"/>
      <c r="I878" s="19"/>
    </row>
    <row r="879" ht="56.25" customHeight="1">
      <c r="A879" s="21" t="s">
        <v>3433</v>
      </c>
      <c r="B879" s="19" t="str">
        <f>image("https://storage.googleapis.com/acdb/photos/BromideNpcNmlCrd04_Remake_5_0.png")</f>
        <v/>
      </c>
      <c r="C879" s="21" t="s">
        <v>258</v>
      </c>
      <c r="D879" s="21" t="s">
        <v>51</v>
      </c>
      <c r="E879" s="21">
        <v>10.0</v>
      </c>
      <c r="F879" s="21" t="s">
        <v>2289</v>
      </c>
      <c r="G879" s="19"/>
      <c r="H879" s="19"/>
      <c r="I879" s="19"/>
    </row>
    <row r="880" ht="56.25" customHeight="1">
      <c r="A880" s="21" t="s">
        <v>3433</v>
      </c>
      <c r="B880" s="19" t="str">
        <f>image("https://storage.googleapis.com/acdb/photos/BromideNpcNmlCrd04_Remake_6_0.png")</f>
        <v/>
      </c>
      <c r="C880" s="21" t="s">
        <v>182</v>
      </c>
      <c r="D880" s="21" t="s">
        <v>51</v>
      </c>
      <c r="E880" s="21">
        <v>10.0</v>
      </c>
      <c r="F880" s="21" t="s">
        <v>2289</v>
      </c>
      <c r="G880" s="19"/>
      <c r="H880" s="19"/>
      <c r="I880" s="19"/>
    </row>
    <row r="881" ht="56.25" customHeight="1">
      <c r="A881" s="21" t="s">
        <v>3433</v>
      </c>
      <c r="B881" s="19" t="str">
        <f>image("https://storage.googleapis.com/acdb/photos/BromideNpcNmlCrd04_Remake_7_0.png")</f>
        <v/>
      </c>
      <c r="C881" s="21" t="s">
        <v>187</v>
      </c>
      <c r="D881" s="21" t="s">
        <v>51</v>
      </c>
      <c r="E881" s="21">
        <v>10.0</v>
      </c>
      <c r="F881" s="21" t="s">
        <v>2289</v>
      </c>
      <c r="G881" s="19"/>
      <c r="H881" s="19"/>
      <c r="I881" s="19"/>
    </row>
    <row r="882" ht="56.25" customHeight="1">
      <c r="A882" s="21" t="s">
        <v>3442</v>
      </c>
      <c r="B882" s="19" t="str">
        <f>image("https://storage.googleapis.com/acdb/photos/BromideNpcNmlMnk08_Remake_0_0.png")</f>
        <v/>
      </c>
      <c r="C882" s="21" t="s">
        <v>219</v>
      </c>
      <c r="D882" s="21" t="s">
        <v>51</v>
      </c>
      <c r="E882" s="21">
        <v>10.0</v>
      </c>
      <c r="F882" s="21" t="s">
        <v>2289</v>
      </c>
      <c r="G882" s="19"/>
      <c r="H882" s="19"/>
      <c r="I882" s="19"/>
    </row>
    <row r="883" ht="56.25" customHeight="1">
      <c r="A883" s="21" t="s">
        <v>3442</v>
      </c>
      <c r="B883" s="19" t="str">
        <f>image("https://storage.googleapis.com/acdb/photos/BromideNpcNmlMnk08_Remake_1_0.png")</f>
        <v/>
      </c>
      <c r="C883" s="21" t="s">
        <v>795</v>
      </c>
      <c r="D883" s="21" t="s">
        <v>51</v>
      </c>
      <c r="E883" s="21">
        <v>10.0</v>
      </c>
      <c r="F883" s="21" t="s">
        <v>2289</v>
      </c>
      <c r="G883" s="19"/>
      <c r="H883" s="19"/>
      <c r="I883" s="19"/>
    </row>
    <row r="884" ht="56.25" customHeight="1">
      <c r="A884" s="21" t="s">
        <v>3442</v>
      </c>
      <c r="B884" s="19" t="str">
        <f>image("https://storage.googleapis.com/acdb/photos/BromideNpcNmlMnk08_Remake_2_0.png")</f>
        <v/>
      </c>
      <c r="C884" s="21" t="s">
        <v>954</v>
      </c>
      <c r="D884" s="21" t="s">
        <v>51</v>
      </c>
      <c r="E884" s="21">
        <v>10.0</v>
      </c>
      <c r="F884" s="21" t="s">
        <v>2289</v>
      </c>
      <c r="G884" s="19"/>
      <c r="H884" s="19"/>
      <c r="I884" s="19"/>
    </row>
    <row r="885" ht="56.25" customHeight="1">
      <c r="A885" s="21" t="s">
        <v>3442</v>
      </c>
      <c r="B885" s="19" t="str">
        <f>image("https://storage.googleapis.com/acdb/photos/BromideNpcNmlMnk08_Remake_3_0.png")</f>
        <v/>
      </c>
      <c r="C885" s="21" t="s">
        <v>82</v>
      </c>
      <c r="D885" s="21" t="s">
        <v>51</v>
      </c>
      <c r="E885" s="21">
        <v>10.0</v>
      </c>
      <c r="F885" s="21" t="s">
        <v>2289</v>
      </c>
      <c r="G885" s="19"/>
      <c r="H885" s="19"/>
      <c r="I885" s="19"/>
    </row>
    <row r="886" ht="56.25" customHeight="1">
      <c r="A886" s="21" t="s">
        <v>3442</v>
      </c>
      <c r="B886" s="19" t="str">
        <f>image("https://storage.googleapis.com/acdb/photos/BromideNpcNmlMnk08_Remake_4_0.png")</f>
        <v/>
      </c>
      <c r="C886" s="21" t="s">
        <v>833</v>
      </c>
      <c r="D886" s="21" t="s">
        <v>51</v>
      </c>
      <c r="E886" s="21">
        <v>10.0</v>
      </c>
      <c r="F886" s="21" t="s">
        <v>2289</v>
      </c>
      <c r="G886" s="19"/>
      <c r="H886" s="19"/>
      <c r="I886" s="19"/>
    </row>
    <row r="887" ht="56.25" customHeight="1">
      <c r="A887" s="21" t="s">
        <v>3442</v>
      </c>
      <c r="B887" s="19" t="str">
        <f>image("https://storage.googleapis.com/acdb/photos/BromideNpcNmlMnk08_Remake_5_0.png")</f>
        <v/>
      </c>
      <c r="C887" s="21" t="s">
        <v>258</v>
      </c>
      <c r="D887" s="21" t="s">
        <v>51</v>
      </c>
      <c r="E887" s="21">
        <v>10.0</v>
      </c>
      <c r="F887" s="21" t="s">
        <v>2289</v>
      </c>
      <c r="G887" s="19"/>
      <c r="H887" s="19"/>
      <c r="I887" s="19"/>
    </row>
    <row r="888" ht="56.25" customHeight="1">
      <c r="A888" s="21" t="s">
        <v>3442</v>
      </c>
      <c r="B888" s="19" t="str">
        <f>image("https://storage.googleapis.com/acdb/photos/BromideNpcNmlMnk08_Remake_6_0.png")</f>
        <v/>
      </c>
      <c r="C888" s="21" t="s">
        <v>182</v>
      </c>
      <c r="D888" s="21" t="s">
        <v>51</v>
      </c>
      <c r="E888" s="21">
        <v>10.0</v>
      </c>
      <c r="F888" s="21" t="s">
        <v>2289</v>
      </c>
      <c r="G888" s="19"/>
      <c r="H888" s="19"/>
      <c r="I888" s="19"/>
    </row>
    <row r="889" ht="56.25" customHeight="1">
      <c r="A889" s="21" t="s">
        <v>3442</v>
      </c>
      <c r="B889" s="19" t="str">
        <f>image("https://storage.googleapis.com/acdb/photos/BromideNpcNmlMnk08_Remake_7_0.png")</f>
        <v/>
      </c>
      <c r="C889" s="21" t="s">
        <v>187</v>
      </c>
      <c r="D889" s="21" t="s">
        <v>51</v>
      </c>
      <c r="E889" s="21">
        <v>10.0</v>
      </c>
      <c r="F889" s="21" t="s">
        <v>2289</v>
      </c>
      <c r="G889" s="19"/>
      <c r="H889" s="19"/>
      <c r="I889" s="19"/>
    </row>
    <row r="890" ht="56.25" customHeight="1">
      <c r="A890" s="21" t="s">
        <v>3450</v>
      </c>
      <c r="B890" s="19" t="str">
        <f>image("https://storage.googleapis.com/acdb/photos/BromideNpcNmlDuk08_Remake_0_0.png")</f>
        <v/>
      </c>
      <c r="C890" s="21" t="s">
        <v>219</v>
      </c>
      <c r="D890" s="21" t="s">
        <v>51</v>
      </c>
      <c r="E890" s="21">
        <v>10.0</v>
      </c>
      <c r="F890" s="21" t="s">
        <v>2289</v>
      </c>
      <c r="G890" s="19"/>
      <c r="H890" s="19"/>
      <c r="I890" s="19"/>
    </row>
    <row r="891" ht="56.25" customHeight="1">
      <c r="A891" s="21" t="s">
        <v>3450</v>
      </c>
      <c r="B891" s="19" t="str">
        <f>image("https://storage.googleapis.com/acdb/photos/BromideNpcNmlDuk08_Remake_1_0.png")</f>
        <v/>
      </c>
      <c r="C891" s="21" t="s">
        <v>795</v>
      </c>
      <c r="D891" s="21" t="s">
        <v>51</v>
      </c>
      <c r="E891" s="21">
        <v>10.0</v>
      </c>
      <c r="F891" s="21" t="s">
        <v>2289</v>
      </c>
      <c r="G891" s="19"/>
      <c r="H891" s="19"/>
      <c r="I891" s="19"/>
    </row>
    <row r="892" ht="56.25" customHeight="1">
      <c r="A892" s="21" t="s">
        <v>3450</v>
      </c>
      <c r="B892" s="19" t="str">
        <f>image("https://storage.googleapis.com/acdb/photos/BromideNpcNmlDuk08_Remake_2_0.png")</f>
        <v/>
      </c>
      <c r="C892" s="21" t="s">
        <v>954</v>
      </c>
      <c r="D892" s="21" t="s">
        <v>51</v>
      </c>
      <c r="E892" s="21">
        <v>10.0</v>
      </c>
      <c r="F892" s="21" t="s">
        <v>2289</v>
      </c>
      <c r="G892" s="19"/>
      <c r="H892" s="19"/>
      <c r="I892" s="19"/>
    </row>
    <row r="893" ht="56.25" customHeight="1">
      <c r="A893" s="21" t="s">
        <v>3450</v>
      </c>
      <c r="B893" s="19" t="str">
        <f>image("https://storage.googleapis.com/acdb/photos/BromideNpcNmlDuk08_Remake_3_0.png")</f>
        <v/>
      </c>
      <c r="C893" s="21" t="s">
        <v>82</v>
      </c>
      <c r="D893" s="21" t="s">
        <v>51</v>
      </c>
      <c r="E893" s="21">
        <v>10.0</v>
      </c>
      <c r="F893" s="21" t="s">
        <v>2289</v>
      </c>
      <c r="G893" s="19"/>
      <c r="H893" s="19"/>
      <c r="I893" s="19"/>
    </row>
    <row r="894" ht="56.25" customHeight="1">
      <c r="A894" s="21" t="s">
        <v>3450</v>
      </c>
      <c r="B894" s="19" t="str">
        <f>image("https://storage.googleapis.com/acdb/photos/BromideNpcNmlDuk08_Remake_4_0.png")</f>
        <v/>
      </c>
      <c r="C894" s="21" t="s">
        <v>833</v>
      </c>
      <c r="D894" s="21" t="s">
        <v>51</v>
      </c>
      <c r="E894" s="21">
        <v>10.0</v>
      </c>
      <c r="F894" s="21" t="s">
        <v>2289</v>
      </c>
      <c r="G894" s="19"/>
      <c r="H894" s="19"/>
      <c r="I894" s="19"/>
    </row>
    <row r="895" ht="56.25" customHeight="1">
      <c r="A895" s="21" t="s">
        <v>3450</v>
      </c>
      <c r="B895" s="19" t="str">
        <f>image("https://storage.googleapis.com/acdb/photos/BromideNpcNmlDuk08_Remake_5_0.png")</f>
        <v/>
      </c>
      <c r="C895" s="21" t="s">
        <v>258</v>
      </c>
      <c r="D895" s="21" t="s">
        <v>51</v>
      </c>
      <c r="E895" s="21">
        <v>10.0</v>
      </c>
      <c r="F895" s="21" t="s">
        <v>2289</v>
      </c>
      <c r="G895" s="19"/>
      <c r="H895" s="19"/>
      <c r="I895" s="19"/>
    </row>
    <row r="896" ht="56.25" customHeight="1">
      <c r="A896" s="21" t="s">
        <v>3450</v>
      </c>
      <c r="B896" s="19" t="str">
        <f>image("https://storage.googleapis.com/acdb/photos/BromideNpcNmlDuk08_Remake_6_0.png")</f>
        <v/>
      </c>
      <c r="C896" s="21" t="s">
        <v>182</v>
      </c>
      <c r="D896" s="21" t="s">
        <v>51</v>
      </c>
      <c r="E896" s="21">
        <v>10.0</v>
      </c>
      <c r="F896" s="21" t="s">
        <v>2289</v>
      </c>
      <c r="G896" s="19"/>
      <c r="H896" s="19"/>
      <c r="I896" s="19"/>
    </row>
    <row r="897" ht="56.25" customHeight="1">
      <c r="A897" s="21" t="s">
        <v>3450</v>
      </c>
      <c r="B897" s="19" t="str">
        <f>image("https://storage.googleapis.com/acdb/photos/BromideNpcNmlDuk08_Remake_7_0.png")</f>
        <v/>
      </c>
      <c r="C897" s="21" t="s">
        <v>187</v>
      </c>
      <c r="D897" s="21" t="s">
        <v>51</v>
      </c>
      <c r="E897" s="21">
        <v>10.0</v>
      </c>
      <c r="F897" s="21" t="s">
        <v>2289</v>
      </c>
      <c r="G897" s="19"/>
      <c r="H897" s="19"/>
      <c r="I897" s="19"/>
    </row>
    <row r="898" ht="56.25" customHeight="1">
      <c r="A898" s="21" t="s">
        <v>3456</v>
      </c>
      <c r="B898" s="19" t="str">
        <f>image("https://storage.googleapis.com/acdb/photos/BromideNpcNmlDer08_Remake_0_0.png")</f>
        <v/>
      </c>
      <c r="C898" s="21" t="s">
        <v>219</v>
      </c>
      <c r="D898" s="21" t="s">
        <v>51</v>
      </c>
      <c r="E898" s="21">
        <v>10.0</v>
      </c>
      <c r="F898" s="21" t="s">
        <v>2289</v>
      </c>
      <c r="G898" s="19"/>
      <c r="H898" s="19"/>
      <c r="I898" s="19"/>
    </row>
    <row r="899" ht="56.25" customHeight="1">
      <c r="A899" s="21" t="s">
        <v>3456</v>
      </c>
      <c r="B899" s="19" t="str">
        <f>image("https://storage.googleapis.com/acdb/photos/BromideNpcNmlDer08_Remake_1_0.png")</f>
        <v/>
      </c>
      <c r="C899" s="21" t="s">
        <v>795</v>
      </c>
      <c r="D899" s="21" t="s">
        <v>51</v>
      </c>
      <c r="E899" s="21">
        <v>10.0</v>
      </c>
      <c r="F899" s="21" t="s">
        <v>2289</v>
      </c>
      <c r="G899" s="19"/>
      <c r="H899" s="19"/>
      <c r="I899" s="19"/>
    </row>
    <row r="900" ht="56.25" customHeight="1">
      <c r="A900" s="21" t="s">
        <v>3456</v>
      </c>
      <c r="B900" s="19" t="str">
        <f>image("https://storage.googleapis.com/acdb/photos/BromideNpcNmlDer08_Remake_2_0.png")</f>
        <v/>
      </c>
      <c r="C900" s="21" t="s">
        <v>954</v>
      </c>
      <c r="D900" s="21" t="s">
        <v>51</v>
      </c>
      <c r="E900" s="21">
        <v>10.0</v>
      </c>
      <c r="F900" s="21" t="s">
        <v>2289</v>
      </c>
      <c r="G900" s="19"/>
      <c r="H900" s="19"/>
      <c r="I900" s="19"/>
    </row>
    <row r="901" ht="56.25" customHeight="1">
      <c r="A901" s="21" t="s">
        <v>3456</v>
      </c>
      <c r="B901" s="19" t="str">
        <f>image("https://storage.googleapis.com/acdb/photos/BromideNpcNmlDer08_Remake_3_0.png")</f>
        <v/>
      </c>
      <c r="C901" s="21" t="s">
        <v>82</v>
      </c>
      <c r="D901" s="21" t="s">
        <v>51</v>
      </c>
      <c r="E901" s="21">
        <v>10.0</v>
      </c>
      <c r="F901" s="21" t="s">
        <v>2289</v>
      </c>
      <c r="G901" s="19"/>
      <c r="H901" s="19"/>
      <c r="I901" s="19"/>
    </row>
    <row r="902" ht="56.25" customHeight="1">
      <c r="A902" s="21" t="s">
        <v>3456</v>
      </c>
      <c r="B902" s="19" t="str">
        <f>image("https://storage.googleapis.com/acdb/photos/BromideNpcNmlDer08_Remake_4_0.png")</f>
        <v/>
      </c>
      <c r="C902" s="21" t="s">
        <v>833</v>
      </c>
      <c r="D902" s="21" t="s">
        <v>51</v>
      </c>
      <c r="E902" s="21">
        <v>10.0</v>
      </c>
      <c r="F902" s="21" t="s">
        <v>2289</v>
      </c>
      <c r="G902" s="19"/>
      <c r="H902" s="19"/>
      <c r="I902" s="19"/>
    </row>
    <row r="903" ht="56.25" customHeight="1">
      <c r="A903" s="21" t="s">
        <v>3456</v>
      </c>
      <c r="B903" s="19" t="str">
        <f>image("https://storage.googleapis.com/acdb/photos/BromideNpcNmlDer08_Remake_5_0.png")</f>
        <v/>
      </c>
      <c r="C903" s="21" t="s">
        <v>258</v>
      </c>
      <c r="D903" s="21" t="s">
        <v>51</v>
      </c>
      <c r="E903" s="21">
        <v>10.0</v>
      </c>
      <c r="F903" s="21" t="s">
        <v>2289</v>
      </c>
      <c r="G903" s="19"/>
      <c r="H903" s="19"/>
      <c r="I903" s="19"/>
    </row>
    <row r="904" ht="56.25" customHeight="1">
      <c r="A904" s="21" t="s">
        <v>3456</v>
      </c>
      <c r="B904" s="19" t="str">
        <f>image("https://storage.googleapis.com/acdb/photos/BromideNpcNmlDer08_Remake_6_0.png")</f>
        <v/>
      </c>
      <c r="C904" s="21" t="s">
        <v>182</v>
      </c>
      <c r="D904" s="21" t="s">
        <v>51</v>
      </c>
      <c r="E904" s="21">
        <v>10.0</v>
      </c>
      <c r="F904" s="21" t="s">
        <v>2289</v>
      </c>
      <c r="G904" s="19"/>
      <c r="H904" s="19"/>
      <c r="I904" s="19"/>
    </row>
    <row r="905" ht="56.25" customHeight="1">
      <c r="A905" s="21" t="s">
        <v>3456</v>
      </c>
      <c r="B905" s="19" t="str">
        <f>image("https://storage.googleapis.com/acdb/photos/BromideNpcNmlDer08_Remake_7_0.png")</f>
        <v/>
      </c>
      <c r="C905" s="21" t="s">
        <v>187</v>
      </c>
      <c r="D905" s="21" t="s">
        <v>51</v>
      </c>
      <c r="E905" s="21">
        <v>10.0</v>
      </c>
      <c r="F905" s="21" t="s">
        <v>2289</v>
      </c>
      <c r="G905" s="19"/>
      <c r="H905" s="19"/>
      <c r="I905" s="19"/>
    </row>
    <row r="906" ht="56.25" customHeight="1">
      <c r="A906" s="21" t="s">
        <v>3465</v>
      </c>
      <c r="B906" s="19" t="str">
        <f>image("https://storage.googleapis.com/acdb/photos/BromideNpcNmlFlg18_Remake_0_0.png")</f>
        <v/>
      </c>
      <c r="C906" s="21" t="s">
        <v>219</v>
      </c>
      <c r="D906" s="21" t="s">
        <v>51</v>
      </c>
      <c r="E906" s="21">
        <v>10.0</v>
      </c>
      <c r="F906" s="21" t="s">
        <v>2289</v>
      </c>
      <c r="G906" s="19"/>
      <c r="H906" s="19"/>
      <c r="I906" s="19"/>
    </row>
    <row r="907" ht="56.25" customHeight="1">
      <c r="A907" s="21" t="s">
        <v>3465</v>
      </c>
      <c r="B907" s="19" t="str">
        <f>image("https://storage.googleapis.com/acdb/photos/BromideNpcNmlFlg18_Remake_1_0.png")</f>
        <v/>
      </c>
      <c r="C907" s="21" t="s">
        <v>795</v>
      </c>
      <c r="D907" s="21" t="s">
        <v>51</v>
      </c>
      <c r="E907" s="21">
        <v>10.0</v>
      </c>
      <c r="F907" s="21" t="s">
        <v>2289</v>
      </c>
      <c r="G907" s="19"/>
      <c r="H907" s="19"/>
      <c r="I907" s="19"/>
    </row>
    <row r="908" ht="56.25" customHeight="1">
      <c r="A908" s="21" t="s">
        <v>3465</v>
      </c>
      <c r="B908" s="19" t="str">
        <f>image("https://storage.googleapis.com/acdb/photos/BromideNpcNmlFlg18_Remake_2_0.png")</f>
        <v/>
      </c>
      <c r="C908" s="21" t="s">
        <v>954</v>
      </c>
      <c r="D908" s="21" t="s">
        <v>51</v>
      </c>
      <c r="E908" s="21">
        <v>10.0</v>
      </c>
      <c r="F908" s="21" t="s">
        <v>2289</v>
      </c>
      <c r="G908" s="19"/>
      <c r="H908" s="19"/>
      <c r="I908" s="19"/>
    </row>
    <row r="909" ht="56.25" customHeight="1">
      <c r="A909" s="21" t="s">
        <v>3465</v>
      </c>
      <c r="B909" s="19" t="str">
        <f>image("https://storage.googleapis.com/acdb/photos/BromideNpcNmlFlg18_Remake_3_0.png")</f>
        <v/>
      </c>
      <c r="C909" s="21" t="s">
        <v>82</v>
      </c>
      <c r="D909" s="21" t="s">
        <v>51</v>
      </c>
      <c r="E909" s="21">
        <v>10.0</v>
      </c>
      <c r="F909" s="21" t="s">
        <v>2289</v>
      </c>
      <c r="G909" s="19"/>
      <c r="H909" s="19"/>
      <c r="I909" s="19"/>
    </row>
    <row r="910" ht="56.25" customHeight="1">
      <c r="A910" s="21" t="s">
        <v>3465</v>
      </c>
      <c r="B910" s="19" t="str">
        <f>image("https://storage.googleapis.com/acdb/photos/BromideNpcNmlFlg18_Remake_4_0.png")</f>
        <v/>
      </c>
      <c r="C910" s="21" t="s">
        <v>833</v>
      </c>
      <c r="D910" s="21" t="s">
        <v>51</v>
      </c>
      <c r="E910" s="21">
        <v>10.0</v>
      </c>
      <c r="F910" s="21" t="s">
        <v>2289</v>
      </c>
      <c r="G910" s="19"/>
      <c r="H910" s="19"/>
      <c r="I910" s="19"/>
    </row>
    <row r="911" ht="56.25" customHeight="1">
      <c r="A911" s="21" t="s">
        <v>3465</v>
      </c>
      <c r="B911" s="19" t="str">
        <f>image("https://storage.googleapis.com/acdb/photos/BromideNpcNmlFlg18_Remake_5_0.png")</f>
        <v/>
      </c>
      <c r="C911" s="21" t="s">
        <v>258</v>
      </c>
      <c r="D911" s="21" t="s">
        <v>51</v>
      </c>
      <c r="E911" s="21">
        <v>10.0</v>
      </c>
      <c r="F911" s="21" t="s">
        <v>2289</v>
      </c>
      <c r="G911" s="19"/>
      <c r="H911" s="19"/>
      <c r="I911" s="19"/>
    </row>
    <row r="912" ht="56.25" customHeight="1">
      <c r="A912" s="21" t="s">
        <v>3465</v>
      </c>
      <c r="B912" s="19" t="str">
        <f>image("https://storage.googleapis.com/acdb/photos/BromideNpcNmlFlg18_Remake_6_0.png")</f>
        <v/>
      </c>
      <c r="C912" s="21" t="s">
        <v>182</v>
      </c>
      <c r="D912" s="21" t="s">
        <v>51</v>
      </c>
      <c r="E912" s="21">
        <v>10.0</v>
      </c>
      <c r="F912" s="21" t="s">
        <v>2289</v>
      </c>
      <c r="G912" s="19"/>
      <c r="H912" s="19"/>
      <c r="I912" s="19"/>
    </row>
    <row r="913" ht="56.25" customHeight="1">
      <c r="A913" s="21" t="s">
        <v>3465</v>
      </c>
      <c r="B913" s="19" t="str">
        <f>image("https://storage.googleapis.com/acdb/photos/BromideNpcNmlFlg18_Remake_7_0.png")</f>
        <v/>
      </c>
      <c r="C913" s="21" t="s">
        <v>187</v>
      </c>
      <c r="D913" s="21" t="s">
        <v>51</v>
      </c>
      <c r="E913" s="21">
        <v>10.0</v>
      </c>
      <c r="F913" s="21" t="s">
        <v>2289</v>
      </c>
      <c r="G913" s="19"/>
      <c r="H913" s="19"/>
      <c r="I913" s="19"/>
    </row>
    <row r="914" ht="56.25" customHeight="1">
      <c r="A914" s="21" t="s">
        <v>3472</v>
      </c>
      <c r="B914" s="19" t="str">
        <f>image("https://storage.googleapis.com/acdb/photos/BromideNpcNmlElp01_Remake_0_0.png")</f>
        <v/>
      </c>
      <c r="C914" s="21" t="s">
        <v>219</v>
      </c>
      <c r="D914" s="21" t="s">
        <v>51</v>
      </c>
      <c r="E914" s="21">
        <v>10.0</v>
      </c>
      <c r="F914" s="21" t="s">
        <v>2289</v>
      </c>
      <c r="G914" s="19"/>
      <c r="H914" s="19"/>
      <c r="I914" s="19"/>
    </row>
    <row r="915" ht="56.25" customHeight="1">
      <c r="A915" s="21" t="s">
        <v>3472</v>
      </c>
      <c r="B915" s="19" t="str">
        <f>image("https://storage.googleapis.com/acdb/photos/BromideNpcNmlElp01_Remake_1_0.png")</f>
        <v/>
      </c>
      <c r="C915" s="21" t="s">
        <v>795</v>
      </c>
      <c r="D915" s="21" t="s">
        <v>51</v>
      </c>
      <c r="E915" s="21">
        <v>10.0</v>
      </c>
      <c r="F915" s="21" t="s">
        <v>2289</v>
      </c>
      <c r="G915" s="19"/>
      <c r="H915" s="19"/>
      <c r="I915" s="19"/>
    </row>
    <row r="916" ht="56.25" customHeight="1">
      <c r="A916" s="21" t="s">
        <v>3472</v>
      </c>
      <c r="B916" s="19" t="str">
        <f>image("https://storage.googleapis.com/acdb/photos/BromideNpcNmlElp01_Remake_2_0.png")</f>
        <v/>
      </c>
      <c r="C916" s="21" t="s">
        <v>954</v>
      </c>
      <c r="D916" s="21" t="s">
        <v>51</v>
      </c>
      <c r="E916" s="21">
        <v>10.0</v>
      </c>
      <c r="F916" s="21" t="s">
        <v>2289</v>
      </c>
      <c r="G916" s="19"/>
      <c r="H916" s="19"/>
      <c r="I916" s="19"/>
    </row>
    <row r="917" ht="56.25" customHeight="1">
      <c r="A917" s="21" t="s">
        <v>3472</v>
      </c>
      <c r="B917" s="19" t="str">
        <f>image("https://storage.googleapis.com/acdb/photos/BromideNpcNmlElp01_Remake_3_0.png")</f>
        <v/>
      </c>
      <c r="C917" s="21" t="s">
        <v>82</v>
      </c>
      <c r="D917" s="21" t="s">
        <v>51</v>
      </c>
      <c r="E917" s="21">
        <v>10.0</v>
      </c>
      <c r="F917" s="21" t="s">
        <v>2289</v>
      </c>
      <c r="G917" s="19"/>
      <c r="H917" s="19"/>
      <c r="I917" s="19"/>
    </row>
    <row r="918" ht="56.25" customHeight="1">
      <c r="A918" s="21" t="s">
        <v>3472</v>
      </c>
      <c r="B918" s="19" t="str">
        <f>image("https://storage.googleapis.com/acdb/photos/BromideNpcNmlElp01_Remake_4_0.png")</f>
        <v/>
      </c>
      <c r="C918" s="21" t="s">
        <v>833</v>
      </c>
      <c r="D918" s="21" t="s">
        <v>51</v>
      </c>
      <c r="E918" s="21">
        <v>10.0</v>
      </c>
      <c r="F918" s="21" t="s">
        <v>2289</v>
      </c>
      <c r="G918" s="19"/>
      <c r="H918" s="19"/>
      <c r="I918" s="19"/>
    </row>
    <row r="919" ht="56.25" customHeight="1">
      <c r="A919" s="21" t="s">
        <v>3472</v>
      </c>
      <c r="B919" s="19" t="str">
        <f>image("https://storage.googleapis.com/acdb/photos/BromideNpcNmlElp01_Remake_5_0.png")</f>
        <v/>
      </c>
      <c r="C919" s="21" t="s">
        <v>258</v>
      </c>
      <c r="D919" s="21" t="s">
        <v>51</v>
      </c>
      <c r="E919" s="21">
        <v>10.0</v>
      </c>
      <c r="F919" s="21" t="s">
        <v>2289</v>
      </c>
      <c r="G919" s="19"/>
      <c r="H919" s="19"/>
      <c r="I919" s="19"/>
    </row>
    <row r="920" ht="56.25" customHeight="1">
      <c r="A920" s="21" t="s">
        <v>3472</v>
      </c>
      <c r="B920" s="19" t="str">
        <f>image("https://storage.googleapis.com/acdb/photos/BromideNpcNmlElp01_Remake_6_0.png")</f>
        <v/>
      </c>
      <c r="C920" s="21" t="s">
        <v>182</v>
      </c>
      <c r="D920" s="21" t="s">
        <v>51</v>
      </c>
      <c r="E920" s="21">
        <v>10.0</v>
      </c>
      <c r="F920" s="21" t="s">
        <v>2289</v>
      </c>
      <c r="G920" s="19"/>
      <c r="H920" s="19"/>
      <c r="I920" s="19"/>
    </row>
    <row r="921" ht="56.25" customHeight="1">
      <c r="A921" s="21" t="s">
        <v>3472</v>
      </c>
      <c r="B921" s="19" t="str">
        <f>image("https://storage.googleapis.com/acdb/photos/BromideNpcNmlElp01_Remake_7_0.png")</f>
        <v/>
      </c>
      <c r="C921" s="21" t="s">
        <v>187</v>
      </c>
      <c r="D921" s="21" t="s">
        <v>51</v>
      </c>
      <c r="E921" s="21">
        <v>10.0</v>
      </c>
      <c r="F921" s="21" t="s">
        <v>2289</v>
      </c>
      <c r="G921" s="19"/>
      <c r="H921" s="19"/>
      <c r="I921" s="19"/>
    </row>
    <row r="922" ht="56.25" customHeight="1">
      <c r="A922" s="21" t="s">
        <v>3478</v>
      </c>
      <c r="B922" s="19" t="str">
        <f>image("https://storage.googleapis.com/acdb/photos/BromideNpcNmlWol04_Remake_0_0.png")</f>
        <v/>
      </c>
      <c r="C922" s="21" t="s">
        <v>219</v>
      </c>
      <c r="D922" s="21" t="s">
        <v>51</v>
      </c>
      <c r="E922" s="21">
        <v>10.0</v>
      </c>
      <c r="F922" s="21" t="s">
        <v>2289</v>
      </c>
      <c r="G922" s="19"/>
      <c r="H922" s="19"/>
      <c r="I922" s="19"/>
    </row>
    <row r="923" ht="56.25" customHeight="1">
      <c r="A923" s="21" t="s">
        <v>3478</v>
      </c>
      <c r="B923" s="19" t="str">
        <f>image("https://storage.googleapis.com/acdb/photos/BromideNpcNmlWol04_Remake_1_0.png")</f>
        <v/>
      </c>
      <c r="C923" s="21" t="s">
        <v>795</v>
      </c>
      <c r="D923" s="21" t="s">
        <v>51</v>
      </c>
      <c r="E923" s="21">
        <v>10.0</v>
      </c>
      <c r="F923" s="21" t="s">
        <v>2289</v>
      </c>
      <c r="G923" s="19"/>
      <c r="H923" s="19"/>
      <c r="I923" s="19"/>
    </row>
    <row r="924" ht="56.25" customHeight="1">
      <c r="A924" s="21" t="s">
        <v>3478</v>
      </c>
      <c r="B924" s="19" t="str">
        <f>image("https://storage.googleapis.com/acdb/photos/BromideNpcNmlWol04_Remake_2_0.png")</f>
        <v/>
      </c>
      <c r="C924" s="21" t="s">
        <v>954</v>
      </c>
      <c r="D924" s="21" t="s">
        <v>51</v>
      </c>
      <c r="E924" s="21">
        <v>10.0</v>
      </c>
      <c r="F924" s="21" t="s">
        <v>2289</v>
      </c>
      <c r="G924" s="19"/>
      <c r="H924" s="19"/>
      <c r="I924" s="19"/>
    </row>
    <row r="925" ht="56.25" customHeight="1">
      <c r="A925" s="21" t="s">
        <v>3478</v>
      </c>
      <c r="B925" s="19" t="str">
        <f>image("https://storage.googleapis.com/acdb/photos/BromideNpcNmlWol04_Remake_3_0.png")</f>
        <v/>
      </c>
      <c r="C925" s="21" t="s">
        <v>82</v>
      </c>
      <c r="D925" s="21" t="s">
        <v>51</v>
      </c>
      <c r="E925" s="21">
        <v>10.0</v>
      </c>
      <c r="F925" s="21" t="s">
        <v>2289</v>
      </c>
      <c r="G925" s="19"/>
      <c r="H925" s="19"/>
      <c r="I925" s="19"/>
    </row>
    <row r="926" ht="56.25" customHeight="1">
      <c r="A926" s="21" t="s">
        <v>3478</v>
      </c>
      <c r="B926" s="19" t="str">
        <f>image("https://storage.googleapis.com/acdb/photos/BromideNpcNmlWol04_Remake_4_0.png")</f>
        <v/>
      </c>
      <c r="C926" s="21" t="s">
        <v>833</v>
      </c>
      <c r="D926" s="21" t="s">
        <v>51</v>
      </c>
      <c r="E926" s="21">
        <v>10.0</v>
      </c>
      <c r="F926" s="21" t="s">
        <v>2289</v>
      </c>
      <c r="G926" s="19"/>
      <c r="H926" s="19"/>
      <c r="I926" s="19"/>
    </row>
    <row r="927" ht="56.25" customHeight="1">
      <c r="A927" s="21" t="s">
        <v>3478</v>
      </c>
      <c r="B927" s="19" t="str">
        <f>image("https://storage.googleapis.com/acdb/photos/BromideNpcNmlWol04_Remake_5_0.png")</f>
        <v/>
      </c>
      <c r="C927" s="21" t="s">
        <v>258</v>
      </c>
      <c r="D927" s="21" t="s">
        <v>51</v>
      </c>
      <c r="E927" s="21">
        <v>10.0</v>
      </c>
      <c r="F927" s="21" t="s">
        <v>2289</v>
      </c>
      <c r="G927" s="19"/>
      <c r="H927" s="19"/>
      <c r="I927" s="19"/>
    </row>
    <row r="928" ht="56.25" customHeight="1">
      <c r="A928" s="21" t="s">
        <v>3478</v>
      </c>
      <c r="B928" s="19" t="str">
        <f>image("https://storage.googleapis.com/acdb/photos/BromideNpcNmlWol04_Remake_6_0.png")</f>
        <v/>
      </c>
      <c r="C928" s="21" t="s">
        <v>182</v>
      </c>
      <c r="D928" s="21" t="s">
        <v>51</v>
      </c>
      <c r="E928" s="21">
        <v>10.0</v>
      </c>
      <c r="F928" s="21" t="s">
        <v>2289</v>
      </c>
      <c r="G928" s="19"/>
      <c r="H928" s="19"/>
      <c r="I928" s="19"/>
    </row>
    <row r="929" ht="56.25" customHeight="1">
      <c r="A929" s="21" t="s">
        <v>3478</v>
      </c>
      <c r="B929" s="19" t="str">
        <f>image("https://storage.googleapis.com/acdb/photos/BromideNpcNmlWol04_Remake_7_0.png")</f>
        <v/>
      </c>
      <c r="C929" s="21" t="s">
        <v>187</v>
      </c>
      <c r="D929" s="21" t="s">
        <v>51</v>
      </c>
      <c r="E929" s="21">
        <v>10.0</v>
      </c>
      <c r="F929" s="21" t="s">
        <v>2289</v>
      </c>
      <c r="G929" s="19"/>
      <c r="H929" s="19"/>
      <c r="I929" s="19"/>
    </row>
    <row r="930" ht="56.25" customHeight="1">
      <c r="A930" s="21" t="s">
        <v>3484</v>
      </c>
      <c r="B930" s="19" t="str">
        <f>image("https://storage.googleapis.com/acdb/photos/BromideNpcNmlRbt10_Remake_0_0.png")</f>
        <v/>
      </c>
      <c r="C930" s="21" t="s">
        <v>219</v>
      </c>
      <c r="D930" s="21" t="s">
        <v>51</v>
      </c>
      <c r="E930" s="21">
        <v>10.0</v>
      </c>
      <c r="F930" s="21" t="s">
        <v>2289</v>
      </c>
      <c r="G930" s="19"/>
      <c r="H930" s="19"/>
      <c r="I930" s="19"/>
    </row>
    <row r="931" ht="56.25" customHeight="1">
      <c r="A931" s="21" t="s">
        <v>3484</v>
      </c>
      <c r="B931" s="19" t="str">
        <f>image("https://storage.googleapis.com/acdb/photos/BromideNpcNmlRbt10_Remake_1_0.png")</f>
        <v/>
      </c>
      <c r="C931" s="21" t="s">
        <v>795</v>
      </c>
      <c r="D931" s="21" t="s">
        <v>51</v>
      </c>
      <c r="E931" s="21">
        <v>10.0</v>
      </c>
      <c r="F931" s="21" t="s">
        <v>2289</v>
      </c>
      <c r="G931" s="19"/>
      <c r="H931" s="19"/>
      <c r="I931" s="19"/>
    </row>
    <row r="932" ht="56.25" customHeight="1">
      <c r="A932" s="21" t="s">
        <v>3484</v>
      </c>
      <c r="B932" s="19" t="str">
        <f>image("https://storage.googleapis.com/acdb/photos/BromideNpcNmlRbt10_Remake_2_0.png")</f>
        <v/>
      </c>
      <c r="C932" s="21" t="s">
        <v>954</v>
      </c>
      <c r="D932" s="21" t="s">
        <v>51</v>
      </c>
      <c r="E932" s="21">
        <v>10.0</v>
      </c>
      <c r="F932" s="21" t="s">
        <v>2289</v>
      </c>
      <c r="G932" s="19"/>
      <c r="H932" s="19"/>
      <c r="I932" s="19"/>
    </row>
    <row r="933" ht="56.25" customHeight="1">
      <c r="A933" s="21" t="s">
        <v>3484</v>
      </c>
      <c r="B933" s="19" t="str">
        <f>image("https://storage.googleapis.com/acdb/photos/BromideNpcNmlRbt10_Remake_3_0.png")</f>
        <v/>
      </c>
      <c r="C933" s="21" t="s">
        <v>82</v>
      </c>
      <c r="D933" s="21" t="s">
        <v>51</v>
      </c>
      <c r="E933" s="21">
        <v>10.0</v>
      </c>
      <c r="F933" s="21" t="s">
        <v>2289</v>
      </c>
      <c r="G933" s="19"/>
      <c r="H933" s="19"/>
      <c r="I933" s="19"/>
    </row>
    <row r="934" ht="56.25" customHeight="1">
      <c r="A934" s="21" t="s">
        <v>3484</v>
      </c>
      <c r="B934" s="19" t="str">
        <f>image("https://storage.googleapis.com/acdb/photos/BromideNpcNmlRbt10_Remake_4_0.png")</f>
        <v/>
      </c>
      <c r="C934" s="21" t="s">
        <v>833</v>
      </c>
      <c r="D934" s="21" t="s">
        <v>51</v>
      </c>
      <c r="E934" s="21">
        <v>10.0</v>
      </c>
      <c r="F934" s="21" t="s">
        <v>2289</v>
      </c>
      <c r="G934" s="19"/>
      <c r="H934" s="19"/>
      <c r="I934" s="19"/>
    </row>
    <row r="935" ht="56.25" customHeight="1">
      <c r="A935" s="21" t="s">
        <v>3484</v>
      </c>
      <c r="B935" s="19" t="str">
        <f>image("https://storage.googleapis.com/acdb/photos/BromideNpcNmlRbt10_Remake_5_0.png")</f>
        <v/>
      </c>
      <c r="C935" s="21" t="s">
        <v>258</v>
      </c>
      <c r="D935" s="21" t="s">
        <v>51</v>
      </c>
      <c r="E935" s="21">
        <v>10.0</v>
      </c>
      <c r="F935" s="21" t="s">
        <v>2289</v>
      </c>
      <c r="G935" s="19"/>
      <c r="H935" s="19"/>
      <c r="I935" s="19"/>
    </row>
    <row r="936" ht="56.25" customHeight="1">
      <c r="A936" s="21" t="s">
        <v>3484</v>
      </c>
      <c r="B936" s="19" t="str">
        <f>image("https://storage.googleapis.com/acdb/photos/BromideNpcNmlRbt10_Remake_6_0.png")</f>
        <v/>
      </c>
      <c r="C936" s="21" t="s">
        <v>182</v>
      </c>
      <c r="D936" s="21" t="s">
        <v>51</v>
      </c>
      <c r="E936" s="21">
        <v>10.0</v>
      </c>
      <c r="F936" s="21" t="s">
        <v>2289</v>
      </c>
      <c r="G936" s="19"/>
      <c r="H936" s="19"/>
      <c r="I936" s="19"/>
    </row>
    <row r="937" ht="56.25" customHeight="1">
      <c r="A937" s="21" t="s">
        <v>3484</v>
      </c>
      <c r="B937" s="19" t="str">
        <f>image("https://storage.googleapis.com/acdb/photos/BromideNpcNmlRbt10_Remake_7_0.png")</f>
        <v/>
      </c>
      <c r="C937" s="21" t="s">
        <v>187</v>
      </c>
      <c r="D937" s="21" t="s">
        <v>51</v>
      </c>
      <c r="E937" s="21">
        <v>10.0</v>
      </c>
      <c r="F937" s="21" t="s">
        <v>2289</v>
      </c>
      <c r="G937" s="19"/>
      <c r="H937" s="19"/>
      <c r="I937" s="19"/>
    </row>
    <row r="938" ht="56.25" customHeight="1">
      <c r="A938" s="21" t="s">
        <v>3490</v>
      </c>
      <c r="B938" s="19" t="str">
        <f>image("https://storage.googleapis.com/acdb/photos/BromideNpcNmlShp15_Remake_0_0.png")</f>
        <v/>
      </c>
      <c r="C938" s="21" t="s">
        <v>219</v>
      </c>
      <c r="D938" s="21" t="s">
        <v>51</v>
      </c>
      <c r="E938" s="21">
        <v>10.0</v>
      </c>
      <c r="F938" s="21" t="s">
        <v>2289</v>
      </c>
      <c r="G938" s="19"/>
      <c r="H938" s="19"/>
      <c r="I938" s="19"/>
    </row>
    <row r="939" ht="56.25" customHeight="1">
      <c r="A939" s="21" t="s">
        <v>3490</v>
      </c>
      <c r="B939" s="19" t="str">
        <f>image("https://storage.googleapis.com/acdb/photos/BromideNpcNmlShp15_Remake_1_0.png")</f>
        <v/>
      </c>
      <c r="C939" s="21" t="s">
        <v>795</v>
      </c>
      <c r="D939" s="21" t="s">
        <v>51</v>
      </c>
      <c r="E939" s="21">
        <v>10.0</v>
      </c>
      <c r="F939" s="21" t="s">
        <v>2289</v>
      </c>
      <c r="G939" s="19"/>
      <c r="H939" s="19"/>
      <c r="I939" s="19"/>
    </row>
    <row r="940" ht="56.25" customHeight="1">
      <c r="A940" s="21" t="s">
        <v>3490</v>
      </c>
      <c r="B940" s="19" t="str">
        <f>image("https://storage.googleapis.com/acdb/photos/BromideNpcNmlShp15_Remake_2_0.png")</f>
        <v/>
      </c>
      <c r="C940" s="21" t="s">
        <v>954</v>
      </c>
      <c r="D940" s="21" t="s">
        <v>51</v>
      </c>
      <c r="E940" s="21">
        <v>10.0</v>
      </c>
      <c r="F940" s="21" t="s">
        <v>2289</v>
      </c>
      <c r="G940" s="19"/>
      <c r="H940" s="19"/>
      <c r="I940" s="19"/>
    </row>
    <row r="941" ht="56.25" customHeight="1">
      <c r="A941" s="21" t="s">
        <v>3490</v>
      </c>
      <c r="B941" s="19" t="str">
        <f>image("https://storage.googleapis.com/acdb/photos/BromideNpcNmlShp15_Remake_3_0.png")</f>
        <v/>
      </c>
      <c r="C941" s="21" t="s">
        <v>82</v>
      </c>
      <c r="D941" s="21" t="s">
        <v>51</v>
      </c>
      <c r="E941" s="21">
        <v>10.0</v>
      </c>
      <c r="F941" s="21" t="s">
        <v>2289</v>
      </c>
      <c r="G941" s="19"/>
      <c r="H941" s="19"/>
      <c r="I941" s="19"/>
    </row>
    <row r="942" ht="56.25" customHeight="1">
      <c r="A942" s="21" t="s">
        <v>3490</v>
      </c>
      <c r="B942" s="19" t="str">
        <f>image("https://storage.googleapis.com/acdb/photos/BromideNpcNmlShp15_Remake_4_0.png")</f>
        <v/>
      </c>
      <c r="C942" s="21" t="s">
        <v>833</v>
      </c>
      <c r="D942" s="21" t="s">
        <v>51</v>
      </c>
      <c r="E942" s="21">
        <v>10.0</v>
      </c>
      <c r="F942" s="21" t="s">
        <v>2289</v>
      </c>
      <c r="G942" s="19"/>
      <c r="H942" s="19"/>
      <c r="I942" s="19"/>
    </row>
    <row r="943" ht="56.25" customHeight="1">
      <c r="A943" s="21" t="s">
        <v>3490</v>
      </c>
      <c r="B943" s="19" t="str">
        <f>image("https://storage.googleapis.com/acdb/photos/BromideNpcNmlShp15_Remake_5_0.png")</f>
        <v/>
      </c>
      <c r="C943" s="21" t="s">
        <v>258</v>
      </c>
      <c r="D943" s="21" t="s">
        <v>51</v>
      </c>
      <c r="E943" s="21">
        <v>10.0</v>
      </c>
      <c r="F943" s="21" t="s">
        <v>2289</v>
      </c>
      <c r="G943" s="19"/>
      <c r="H943" s="19"/>
      <c r="I943" s="19"/>
    </row>
    <row r="944" ht="56.25" customHeight="1">
      <c r="A944" s="21" t="s">
        <v>3490</v>
      </c>
      <c r="B944" s="19" t="str">
        <f>image("https://storage.googleapis.com/acdb/photos/BromideNpcNmlShp15_Remake_6_0.png")</f>
        <v/>
      </c>
      <c r="C944" s="21" t="s">
        <v>182</v>
      </c>
      <c r="D944" s="21" t="s">
        <v>51</v>
      </c>
      <c r="E944" s="21">
        <v>10.0</v>
      </c>
      <c r="F944" s="21" t="s">
        <v>2289</v>
      </c>
      <c r="G944" s="19"/>
      <c r="H944" s="19"/>
      <c r="I944" s="19"/>
    </row>
    <row r="945" ht="56.25" customHeight="1">
      <c r="A945" s="21" t="s">
        <v>3490</v>
      </c>
      <c r="B945" s="19" t="str">
        <f>image("https://storage.googleapis.com/acdb/photos/BromideNpcNmlShp15_Remake_7_0.png")</f>
        <v/>
      </c>
      <c r="C945" s="21" t="s">
        <v>187</v>
      </c>
      <c r="D945" s="21" t="s">
        <v>51</v>
      </c>
      <c r="E945" s="21">
        <v>10.0</v>
      </c>
      <c r="F945" s="21" t="s">
        <v>2289</v>
      </c>
      <c r="G945" s="19"/>
      <c r="H945" s="19"/>
      <c r="I945" s="19"/>
    </row>
    <row r="946" ht="56.25" customHeight="1">
      <c r="A946" s="21" t="s">
        <v>3498</v>
      </c>
      <c r="B946" s="19" t="str">
        <f>image("https://storage.googleapis.com/acdb/photos/BromideNpcNmlMus00_Remake_0_0.png")</f>
        <v/>
      </c>
      <c r="C946" s="21" t="s">
        <v>219</v>
      </c>
      <c r="D946" s="21" t="s">
        <v>51</v>
      </c>
      <c r="E946" s="21">
        <v>10.0</v>
      </c>
      <c r="F946" s="21" t="s">
        <v>2289</v>
      </c>
      <c r="G946" s="19"/>
      <c r="H946" s="19"/>
      <c r="I946" s="19"/>
    </row>
    <row r="947" ht="56.25" customHeight="1">
      <c r="A947" s="21" t="s">
        <v>3498</v>
      </c>
      <c r="B947" s="19" t="str">
        <f>image("https://storage.googleapis.com/acdb/photos/BromideNpcNmlMus00_Remake_1_0.png")</f>
        <v/>
      </c>
      <c r="C947" s="21" t="s">
        <v>795</v>
      </c>
      <c r="D947" s="21" t="s">
        <v>51</v>
      </c>
      <c r="E947" s="21">
        <v>10.0</v>
      </c>
      <c r="F947" s="21" t="s">
        <v>2289</v>
      </c>
      <c r="G947" s="19"/>
      <c r="H947" s="19"/>
      <c r="I947" s="19"/>
    </row>
    <row r="948" ht="56.25" customHeight="1">
      <c r="A948" s="21" t="s">
        <v>3498</v>
      </c>
      <c r="B948" s="19" t="str">
        <f>image("https://storage.googleapis.com/acdb/photos/BromideNpcNmlMus00_Remake_2_0.png")</f>
        <v/>
      </c>
      <c r="C948" s="21" t="s">
        <v>954</v>
      </c>
      <c r="D948" s="21" t="s">
        <v>51</v>
      </c>
      <c r="E948" s="21">
        <v>10.0</v>
      </c>
      <c r="F948" s="21" t="s">
        <v>2289</v>
      </c>
      <c r="G948" s="19"/>
      <c r="H948" s="19"/>
      <c r="I948" s="19"/>
    </row>
    <row r="949" ht="56.25" customHeight="1">
      <c r="A949" s="21" t="s">
        <v>3498</v>
      </c>
      <c r="B949" s="19" t="str">
        <f>image("https://storage.googleapis.com/acdb/photos/BromideNpcNmlMus00_Remake_3_0.png")</f>
        <v/>
      </c>
      <c r="C949" s="21" t="s">
        <v>82</v>
      </c>
      <c r="D949" s="21" t="s">
        <v>51</v>
      </c>
      <c r="E949" s="21">
        <v>10.0</v>
      </c>
      <c r="F949" s="21" t="s">
        <v>2289</v>
      </c>
      <c r="G949" s="19"/>
      <c r="H949" s="19"/>
      <c r="I949" s="19"/>
    </row>
    <row r="950" ht="56.25" customHeight="1">
      <c r="A950" s="21" t="s">
        <v>3498</v>
      </c>
      <c r="B950" s="19" t="str">
        <f>image("https://storage.googleapis.com/acdb/photos/BromideNpcNmlMus00_Remake_4_0.png")</f>
        <v/>
      </c>
      <c r="C950" s="21" t="s">
        <v>833</v>
      </c>
      <c r="D950" s="21" t="s">
        <v>51</v>
      </c>
      <c r="E950" s="21">
        <v>10.0</v>
      </c>
      <c r="F950" s="21" t="s">
        <v>2289</v>
      </c>
      <c r="G950" s="19"/>
      <c r="H950" s="19"/>
      <c r="I950" s="19"/>
    </row>
    <row r="951" ht="56.25" customHeight="1">
      <c r="A951" s="21" t="s">
        <v>3498</v>
      </c>
      <c r="B951" s="19" t="str">
        <f>image("https://storage.googleapis.com/acdb/photos/BromideNpcNmlMus00_Remake_5_0.png")</f>
        <v/>
      </c>
      <c r="C951" s="21" t="s">
        <v>258</v>
      </c>
      <c r="D951" s="21" t="s">
        <v>51</v>
      </c>
      <c r="E951" s="21">
        <v>10.0</v>
      </c>
      <c r="F951" s="21" t="s">
        <v>2289</v>
      </c>
      <c r="G951" s="19"/>
      <c r="H951" s="19"/>
      <c r="I951" s="19"/>
    </row>
    <row r="952" ht="56.25" customHeight="1">
      <c r="A952" s="21" t="s">
        <v>3498</v>
      </c>
      <c r="B952" s="19" t="str">
        <f>image("https://storage.googleapis.com/acdb/photos/BromideNpcNmlMus00_Remake_6_0.png")</f>
        <v/>
      </c>
      <c r="C952" s="21" t="s">
        <v>182</v>
      </c>
      <c r="D952" s="21" t="s">
        <v>51</v>
      </c>
      <c r="E952" s="21">
        <v>10.0</v>
      </c>
      <c r="F952" s="21" t="s">
        <v>2289</v>
      </c>
      <c r="G952" s="19"/>
      <c r="H952" s="19"/>
      <c r="I952" s="19"/>
    </row>
    <row r="953" ht="56.25" customHeight="1">
      <c r="A953" s="21" t="s">
        <v>3498</v>
      </c>
      <c r="B953" s="19" t="str">
        <f>image("https://storage.googleapis.com/acdb/photos/BromideNpcNmlMus00_Remake_7_0.png")</f>
        <v/>
      </c>
      <c r="C953" s="21" t="s">
        <v>187</v>
      </c>
      <c r="D953" s="21" t="s">
        <v>51</v>
      </c>
      <c r="E953" s="21">
        <v>10.0</v>
      </c>
      <c r="F953" s="21" t="s">
        <v>2289</v>
      </c>
      <c r="G953" s="19"/>
      <c r="H953" s="19"/>
      <c r="I953" s="19"/>
    </row>
    <row r="954" ht="56.25" customHeight="1">
      <c r="A954" s="21" t="s">
        <v>3505</v>
      </c>
      <c r="B954" s="19" t="str">
        <f>image("https://storage.googleapis.com/acdb/photos/BromideNpcNmlRbt01_Remake_0_0.png")</f>
        <v/>
      </c>
      <c r="C954" s="21" t="s">
        <v>219</v>
      </c>
      <c r="D954" s="21" t="s">
        <v>51</v>
      </c>
      <c r="E954" s="21">
        <v>10.0</v>
      </c>
      <c r="F954" s="21" t="s">
        <v>2289</v>
      </c>
      <c r="G954" s="19"/>
      <c r="H954" s="19"/>
      <c r="I954" s="19"/>
    </row>
    <row r="955" ht="56.25" customHeight="1">
      <c r="A955" s="21" t="s">
        <v>3505</v>
      </c>
      <c r="B955" s="19" t="str">
        <f>image("https://storage.googleapis.com/acdb/photos/BromideNpcNmlRbt01_Remake_1_0.png")</f>
        <v/>
      </c>
      <c r="C955" s="21" t="s">
        <v>795</v>
      </c>
      <c r="D955" s="21" t="s">
        <v>51</v>
      </c>
      <c r="E955" s="21">
        <v>10.0</v>
      </c>
      <c r="F955" s="21" t="s">
        <v>2289</v>
      </c>
      <c r="G955" s="19"/>
      <c r="H955" s="19"/>
      <c r="I955" s="19"/>
    </row>
    <row r="956" ht="56.25" customHeight="1">
      <c r="A956" s="21" t="s">
        <v>3505</v>
      </c>
      <c r="B956" s="19" t="str">
        <f>image("https://storage.googleapis.com/acdb/photos/BromideNpcNmlRbt01_Remake_2_0.png")</f>
        <v/>
      </c>
      <c r="C956" s="21" t="s">
        <v>954</v>
      </c>
      <c r="D956" s="21" t="s">
        <v>51</v>
      </c>
      <c r="E956" s="21">
        <v>10.0</v>
      </c>
      <c r="F956" s="21" t="s">
        <v>2289</v>
      </c>
      <c r="G956" s="19"/>
      <c r="H956" s="19"/>
      <c r="I956" s="19"/>
    </row>
    <row r="957" ht="56.25" customHeight="1">
      <c r="A957" s="21" t="s">
        <v>3505</v>
      </c>
      <c r="B957" s="19" t="str">
        <f>image("https://storage.googleapis.com/acdb/photos/BromideNpcNmlRbt01_Remake_3_0.png")</f>
        <v/>
      </c>
      <c r="C957" s="21" t="s">
        <v>82</v>
      </c>
      <c r="D957" s="21" t="s">
        <v>51</v>
      </c>
      <c r="E957" s="21">
        <v>10.0</v>
      </c>
      <c r="F957" s="21" t="s">
        <v>2289</v>
      </c>
      <c r="G957" s="19"/>
      <c r="H957" s="19"/>
      <c r="I957" s="19"/>
    </row>
    <row r="958" ht="56.25" customHeight="1">
      <c r="A958" s="21" t="s">
        <v>3505</v>
      </c>
      <c r="B958" s="19" t="str">
        <f>image("https://storage.googleapis.com/acdb/photos/BromideNpcNmlRbt01_Remake_4_0.png")</f>
        <v/>
      </c>
      <c r="C958" s="21" t="s">
        <v>833</v>
      </c>
      <c r="D958" s="21" t="s">
        <v>51</v>
      </c>
      <c r="E958" s="21">
        <v>10.0</v>
      </c>
      <c r="F958" s="21" t="s">
        <v>2289</v>
      </c>
      <c r="G958" s="19"/>
      <c r="H958" s="19"/>
      <c r="I958" s="19"/>
    </row>
    <row r="959" ht="56.25" customHeight="1">
      <c r="A959" s="21" t="s">
        <v>3505</v>
      </c>
      <c r="B959" s="19" t="str">
        <f>image("https://storage.googleapis.com/acdb/photos/BromideNpcNmlRbt01_Remake_5_0.png")</f>
        <v/>
      </c>
      <c r="C959" s="21" t="s">
        <v>258</v>
      </c>
      <c r="D959" s="21" t="s">
        <v>51</v>
      </c>
      <c r="E959" s="21">
        <v>10.0</v>
      </c>
      <c r="F959" s="21" t="s">
        <v>2289</v>
      </c>
      <c r="G959" s="19"/>
      <c r="H959" s="19"/>
      <c r="I959" s="19"/>
    </row>
    <row r="960" ht="56.25" customHeight="1">
      <c r="A960" s="21" t="s">
        <v>3505</v>
      </c>
      <c r="B960" s="19" t="str">
        <f>image("https://storage.googleapis.com/acdb/photos/BromideNpcNmlRbt01_Remake_6_0.png")</f>
        <v/>
      </c>
      <c r="C960" s="21" t="s">
        <v>182</v>
      </c>
      <c r="D960" s="21" t="s">
        <v>51</v>
      </c>
      <c r="E960" s="21">
        <v>10.0</v>
      </c>
      <c r="F960" s="21" t="s">
        <v>2289</v>
      </c>
      <c r="G960" s="19"/>
      <c r="H960" s="19"/>
      <c r="I960" s="19"/>
    </row>
    <row r="961" ht="56.25" customHeight="1">
      <c r="A961" s="21" t="s">
        <v>3505</v>
      </c>
      <c r="B961" s="19" t="str">
        <f>image("https://storage.googleapis.com/acdb/photos/BromideNpcNmlRbt01_Remake_7_0.png")</f>
        <v/>
      </c>
      <c r="C961" s="21" t="s">
        <v>187</v>
      </c>
      <c r="D961" s="21" t="s">
        <v>51</v>
      </c>
      <c r="E961" s="21">
        <v>10.0</v>
      </c>
      <c r="F961" s="21" t="s">
        <v>2289</v>
      </c>
      <c r="G961" s="19"/>
      <c r="H961" s="19"/>
      <c r="I961" s="19"/>
    </row>
    <row r="962" ht="56.25" customHeight="1">
      <c r="A962" s="21" t="s">
        <v>3512</v>
      </c>
      <c r="B962" s="19" t="str">
        <f>image("https://storage.googleapis.com/acdb/photos/BromideNpcNmlCrd08_Remake_0_0.png")</f>
        <v/>
      </c>
      <c r="C962" s="21" t="s">
        <v>219</v>
      </c>
      <c r="D962" s="21" t="s">
        <v>51</v>
      </c>
      <c r="E962" s="21">
        <v>10.0</v>
      </c>
      <c r="F962" s="21" t="s">
        <v>2289</v>
      </c>
      <c r="G962" s="19"/>
      <c r="H962" s="19"/>
      <c r="I962" s="19"/>
    </row>
    <row r="963" ht="56.25" customHeight="1">
      <c r="A963" s="21" t="s">
        <v>3512</v>
      </c>
      <c r="B963" s="19" t="str">
        <f>image("https://storage.googleapis.com/acdb/photos/BromideNpcNmlCrd08_Remake_1_0.png")</f>
        <v/>
      </c>
      <c r="C963" s="21" t="s">
        <v>795</v>
      </c>
      <c r="D963" s="21" t="s">
        <v>51</v>
      </c>
      <c r="E963" s="21">
        <v>10.0</v>
      </c>
      <c r="F963" s="21" t="s">
        <v>2289</v>
      </c>
      <c r="G963" s="19"/>
      <c r="H963" s="19"/>
      <c r="I963" s="19"/>
    </row>
    <row r="964" ht="56.25" customHeight="1">
      <c r="A964" s="21" t="s">
        <v>3512</v>
      </c>
      <c r="B964" s="19" t="str">
        <f>image("https://storage.googleapis.com/acdb/photos/BromideNpcNmlCrd08_Remake_2_0.png")</f>
        <v/>
      </c>
      <c r="C964" s="21" t="s">
        <v>954</v>
      </c>
      <c r="D964" s="21" t="s">
        <v>51</v>
      </c>
      <c r="E964" s="21">
        <v>10.0</v>
      </c>
      <c r="F964" s="21" t="s">
        <v>2289</v>
      </c>
      <c r="G964" s="19"/>
      <c r="H964" s="19"/>
      <c r="I964" s="19"/>
    </row>
    <row r="965" ht="56.25" customHeight="1">
      <c r="A965" s="21" t="s">
        <v>3512</v>
      </c>
      <c r="B965" s="19" t="str">
        <f>image("https://storage.googleapis.com/acdb/photos/BromideNpcNmlCrd08_Remake_3_0.png")</f>
        <v/>
      </c>
      <c r="C965" s="21" t="s">
        <v>82</v>
      </c>
      <c r="D965" s="21" t="s">
        <v>51</v>
      </c>
      <c r="E965" s="21">
        <v>10.0</v>
      </c>
      <c r="F965" s="21" t="s">
        <v>2289</v>
      </c>
      <c r="G965" s="19"/>
      <c r="H965" s="19"/>
      <c r="I965" s="19"/>
    </row>
    <row r="966" ht="56.25" customHeight="1">
      <c r="A966" s="21" t="s">
        <v>3512</v>
      </c>
      <c r="B966" s="19" t="str">
        <f>image("https://storage.googleapis.com/acdb/photos/BromideNpcNmlCrd08_Remake_4_0.png")</f>
        <v/>
      </c>
      <c r="C966" s="21" t="s">
        <v>833</v>
      </c>
      <c r="D966" s="21" t="s">
        <v>51</v>
      </c>
      <c r="E966" s="21">
        <v>10.0</v>
      </c>
      <c r="F966" s="21" t="s">
        <v>2289</v>
      </c>
      <c r="G966" s="19"/>
      <c r="H966" s="19"/>
      <c r="I966" s="19"/>
    </row>
    <row r="967" ht="56.25" customHeight="1">
      <c r="A967" s="21" t="s">
        <v>3512</v>
      </c>
      <c r="B967" s="19" t="str">
        <f>image("https://storage.googleapis.com/acdb/photos/BromideNpcNmlCrd08_Remake_5_0.png")</f>
        <v/>
      </c>
      <c r="C967" s="21" t="s">
        <v>258</v>
      </c>
      <c r="D967" s="21" t="s">
        <v>51</v>
      </c>
      <c r="E967" s="21">
        <v>10.0</v>
      </c>
      <c r="F967" s="21" t="s">
        <v>2289</v>
      </c>
      <c r="G967" s="19"/>
      <c r="H967" s="19"/>
      <c r="I967" s="19"/>
    </row>
    <row r="968" ht="56.25" customHeight="1">
      <c r="A968" s="21" t="s">
        <v>3512</v>
      </c>
      <c r="B968" s="19" t="str">
        <f>image("https://storage.googleapis.com/acdb/photos/BromideNpcNmlCrd08_Remake_6_0.png")</f>
        <v/>
      </c>
      <c r="C968" s="21" t="s">
        <v>182</v>
      </c>
      <c r="D968" s="21" t="s">
        <v>51</v>
      </c>
      <c r="E968" s="21">
        <v>10.0</v>
      </c>
      <c r="F968" s="21" t="s">
        <v>2289</v>
      </c>
      <c r="G968" s="19"/>
      <c r="H968" s="19"/>
      <c r="I968" s="19"/>
    </row>
    <row r="969" ht="56.25" customHeight="1">
      <c r="A969" s="21" t="s">
        <v>3512</v>
      </c>
      <c r="B969" s="19" t="str">
        <f>image("https://storage.googleapis.com/acdb/photos/BromideNpcNmlCrd08_Remake_7_0.png")</f>
        <v/>
      </c>
      <c r="C969" s="21" t="s">
        <v>187</v>
      </c>
      <c r="D969" s="21" t="s">
        <v>51</v>
      </c>
      <c r="E969" s="21">
        <v>10.0</v>
      </c>
      <c r="F969" s="21" t="s">
        <v>2289</v>
      </c>
      <c r="G969" s="19"/>
      <c r="H969" s="19"/>
      <c r="I969" s="19"/>
    </row>
    <row r="970" ht="56.25" customHeight="1">
      <c r="A970" s="21" t="s">
        <v>3518</v>
      </c>
      <c r="B970" s="19" t="str">
        <f>image("https://storage.googleapis.com/acdb/photos/BromideNpcNmlDuk09_Remake_0_0.png")</f>
        <v/>
      </c>
      <c r="C970" s="21" t="s">
        <v>219</v>
      </c>
      <c r="D970" s="21" t="s">
        <v>51</v>
      </c>
      <c r="E970" s="21">
        <v>10.0</v>
      </c>
      <c r="F970" s="21" t="s">
        <v>2289</v>
      </c>
      <c r="G970" s="19"/>
      <c r="H970" s="19"/>
      <c r="I970" s="19"/>
    </row>
    <row r="971" ht="56.25" customHeight="1">
      <c r="A971" s="21" t="s">
        <v>3518</v>
      </c>
      <c r="B971" s="19" t="str">
        <f>image("https://storage.googleapis.com/acdb/photos/BromideNpcNmlDuk09_Remake_1_0.png")</f>
        <v/>
      </c>
      <c r="C971" s="21" t="s">
        <v>795</v>
      </c>
      <c r="D971" s="21" t="s">
        <v>51</v>
      </c>
      <c r="E971" s="21">
        <v>10.0</v>
      </c>
      <c r="F971" s="21" t="s">
        <v>2289</v>
      </c>
      <c r="G971" s="19"/>
      <c r="H971" s="19"/>
      <c r="I971" s="19"/>
    </row>
    <row r="972" ht="56.25" customHeight="1">
      <c r="A972" s="21" t="s">
        <v>3518</v>
      </c>
      <c r="B972" s="19" t="str">
        <f>image("https://storage.googleapis.com/acdb/photos/BromideNpcNmlDuk09_Remake_2_0.png")</f>
        <v/>
      </c>
      <c r="C972" s="21" t="s">
        <v>954</v>
      </c>
      <c r="D972" s="21" t="s">
        <v>51</v>
      </c>
      <c r="E972" s="21">
        <v>10.0</v>
      </c>
      <c r="F972" s="21" t="s">
        <v>2289</v>
      </c>
      <c r="G972" s="19"/>
      <c r="H972" s="19"/>
      <c r="I972" s="19"/>
    </row>
    <row r="973" ht="56.25" customHeight="1">
      <c r="A973" s="21" t="s">
        <v>3518</v>
      </c>
      <c r="B973" s="19" t="str">
        <f>image("https://storage.googleapis.com/acdb/photos/BromideNpcNmlDuk09_Remake_3_0.png")</f>
        <v/>
      </c>
      <c r="C973" s="21" t="s">
        <v>82</v>
      </c>
      <c r="D973" s="21" t="s">
        <v>51</v>
      </c>
      <c r="E973" s="21">
        <v>10.0</v>
      </c>
      <c r="F973" s="21" t="s">
        <v>2289</v>
      </c>
      <c r="G973" s="19"/>
      <c r="H973" s="19"/>
      <c r="I973" s="19"/>
    </row>
    <row r="974" ht="56.25" customHeight="1">
      <c r="A974" s="21" t="s">
        <v>3518</v>
      </c>
      <c r="B974" s="19" t="str">
        <f>image("https://storage.googleapis.com/acdb/photos/BromideNpcNmlDuk09_Remake_4_0.png")</f>
        <v/>
      </c>
      <c r="C974" s="21" t="s">
        <v>833</v>
      </c>
      <c r="D974" s="21" t="s">
        <v>51</v>
      </c>
      <c r="E974" s="21">
        <v>10.0</v>
      </c>
      <c r="F974" s="21" t="s">
        <v>2289</v>
      </c>
      <c r="G974" s="19"/>
      <c r="H974" s="19"/>
      <c r="I974" s="19"/>
    </row>
    <row r="975" ht="56.25" customHeight="1">
      <c r="A975" s="21" t="s">
        <v>3518</v>
      </c>
      <c r="B975" s="19" t="str">
        <f>image("https://storage.googleapis.com/acdb/photos/BromideNpcNmlDuk09_Remake_5_0.png")</f>
        <v/>
      </c>
      <c r="C975" s="21" t="s">
        <v>258</v>
      </c>
      <c r="D975" s="21" t="s">
        <v>51</v>
      </c>
      <c r="E975" s="21">
        <v>10.0</v>
      </c>
      <c r="F975" s="21" t="s">
        <v>2289</v>
      </c>
      <c r="G975" s="19"/>
      <c r="H975" s="19"/>
      <c r="I975" s="19"/>
    </row>
    <row r="976" ht="56.25" customHeight="1">
      <c r="A976" s="21" t="s">
        <v>3518</v>
      </c>
      <c r="B976" s="19" t="str">
        <f>image("https://storage.googleapis.com/acdb/photos/BromideNpcNmlDuk09_Remake_6_0.png")</f>
        <v/>
      </c>
      <c r="C976" s="21" t="s">
        <v>182</v>
      </c>
      <c r="D976" s="21" t="s">
        <v>51</v>
      </c>
      <c r="E976" s="21">
        <v>10.0</v>
      </c>
      <c r="F976" s="21" t="s">
        <v>2289</v>
      </c>
      <c r="G976" s="19"/>
      <c r="H976" s="19"/>
      <c r="I976" s="19"/>
    </row>
    <row r="977" ht="56.25" customHeight="1">
      <c r="A977" s="21" t="s">
        <v>3518</v>
      </c>
      <c r="B977" s="19" t="str">
        <f>image("https://storage.googleapis.com/acdb/photos/BromideNpcNmlDuk09_Remake_7_0.png")</f>
        <v/>
      </c>
      <c r="C977" s="21" t="s">
        <v>187</v>
      </c>
      <c r="D977" s="21" t="s">
        <v>51</v>
      </c>
      <c r="E977" s="21">
        <v>10.0</v>
      </c>
      <c r="F977" s="21" t="s">
        <v>2289</v>
      </c>
      <c r="G977" s="19"/>
      <c r="H977" s="19"/>
      <c r="I977" s="19"/>
    </row>
    <row r="978" ht="56.25" customHeight="1">
      <c r="A978" s="21" t="s">
        <v>3524</v>
      </c>
      <c r="B978" s="19" t="str">
        <f>image("https://storage.googleapis.com/acdb/photos/BromideNpcNmlFlg04_Remake_0_0.png")</f>
        <v/>
      </c>
      <c r="C978" s="21" t="s">
        <v>219</v>
      </c>
      <c r="D978" s="21" t="s">
        <v>51</v>
      </c>
      <c r="E978" s="21">
        <v>10.0</v>
      </c>
      <c r="F978" s="21" t="s">
        <v>2289</v>
      </c>
      <c r="G978" s="19"/>
      <c r="H978" s="19"/>
      <c r="I978" s="19"/>
    </row>
    <row r="979" ht="56.25" customHeight="1">
      <c r="A979" s="21" t="s">
        <v>3524</v>
      </c>
      <c r="B979" s="19" t="str">
        <f>image("https://storage.googleapis.com/acdb/photos/BromideNpcNmlFlg04_Remake_1_0.png")</f>
        <v/>
      </c>
      <c r="C979" s="21" t="s">
        <v>795</v>
      </c>
      <c r="D979" s="21" t="s">
        <v>51</v>
      </c>
      <c r="E979" s="21">
        <v>10.0</v>
      </c>
      <c r="F979" s="21" t="s">
        <v>2289</v>
      </c>
      <c r="G979" s="19"/>
      <c r="H979" s="19"/>
      <c r="I979" s="19"/>
    </row>
    <row r="980" ht="56.25" customHeight="1">
      <c r="A980" s="21" t="s">
        <v>3524</v>
      </c>
      <c r="B980" s="19" t="str">
        <f>image("https://storage.googleapis.com/acdb/photos/BromideNpcNmlFlg04_Remake_2_0.png")</f>
        <v/>
      </c>
      <c r="C980" s="21" t="s">
        <v>954</v>
      </c>
      <c r="D980" s="21" t="s">
        <v>51</v>
      </c>
      <c r="E980" s="21">
        <v>10.0</v>
      </c>
      <c r="F980" s="21" t="s">
        <v>2289</v>
      </c>
      <c r="G980" s="19"/>
      <c r="H980" s="19"/>
      <c r="I980" s="19"/>
    </row>
    <row r="981" ht="56.25" customHeight="1">
      <c r="A981" s="21" t="s">
        <v>3524</v>
      </c>
      <c r="B981" s="19" t="str">
        <f>image("https://storage.googleapis.com/acdb/photos/BromideNpcNmlFlg04_Remake_3_0.png")</f>
        <v/>
      </c>
      <c r="C981" s="21" t="s">
        <v>82</v>
      </c>
      <c r="D981" s="21" t="s">
        <v>51</v>
      </c>
      <c r="E981" s="21">
        <v>10.0</v>
      </c>
      <c r="F981" s="21" t="s">
        <v>2289</v>
      </c>
      <c r="G981" s="19"/>
      <c r="H981" s="19"/>
      <c r="I981" s="19"/>
    </row>
    <row r="982" ht="56.25" customHeight="1">
      <c r="A982" s="21" t="s">
        <v>3524</v>
      </c>
      <c r="B982" s="19" t="str">
        <f>image("https://storage.googleapis.com/acdb/photos/BromideNpcNmlFlg04_Remake_4_0.png")</f>
        <v/>
      </c>
      <c r="C982" s="21" t="s">
        <v>833</v>
      </c>
      <c r="D982" s="21" t="s">
        <v>51</v>
      </c>
      <c r="E982" s="21">
        <v>10.0</v>
      </c>
      <c r="F982" s="21" t="s">
        <v>2289</v>
      </c>
      <c r="G982" s="19"/>
      <c r="H982" s="19"/>
      <c r="I982" s="19"/>
    </row>
    <row r="983" ht="56.25" customHeight="1">
      <c r="A983" s="21" t="s">
        <v>3524</v>
      </c>
      <c r="B983" s="19" t="str">
        <f>image("https://storage.googleapis.com/acdb/photos/BromideNpcNmlFlg04_Remake_5_0.png")</f>
        <v/>
      </c>
      <c r="C983" s="21" t="s">
        <v>258</v>
      </c>
      <c r="D983" s="21" t="s">
        <v>51</v>
      </c>
      <c r="E983" s="21">
        <v>10.0</v>
      </c>
      <c r="F983" s="21" t="s">
        <v>2289</v>
      </c>
      <c r="G983" s="19"/>
      <c r="H983" s="19"/>
      <c r="I983" s="19"/>
    </row>
    <row r="984" ht="56.25" customHeight="1">
      <c r="A984" s="21" t="s">
        <v>3524</v>
      </c>
      <c r="B984" s="19" t="str">
        <f>image("https://storage.googleapis.com/acdb/photos/BromideNpcNmlFlg04_Remake_6_0.png")</f>
        <v/>
      </c>
      <c r="C984" s="21" t="s">
        <v>182</v>
      </c>
      <c r="D984" s="21" t="s">
        <v>51</v>
      </c>
      <c r="E984" s="21">
        <v>10.0</v>
      </c>
      <c r="F984" s="21" t="s">
        <v>2289</v>
      </c>
      <c r="G984" s="19"/>
      <c r="H984" s="19"/>
      <c r="I984" s="19"/>
    </row>
    <row r="985" ht="56.25" customHeight="1">
      <c r="A985" s="21" t="s">
        <v>3524</v>
      </c>
      <c r="B985" s="19" t="str">
        <f>image("https://storage.googleapis.com/acdb/photos/BromideNpcNmlFlg04_Remake_7_0.png")</f>
        <v/>
      </c>
      <c r="C985" s="21" t="s">
        <v>187</v>
      </c>
      <c r="D985" s="21" t="s">
        <v>51</v>
      </c>
      <c r="E985" s="21">
        <v>10.0</v>
      </c>
      <c r="F985" s="21" t="s">
        <v>2289</v>
      </c>
      <c r="G985" s="19"/>
      <c r="H985" s="19"/>
      <c r="I985" s="19"/>
    </row>
    <row r="986" ht="56.25" customHeight="1">
      <c r="A986" s="21" t="s">
        <v>3532</v>
      </c>
      <c r="B986" s="19" t="str">
        <f>image("https://storage.googleapis.com/acdb/photos/BromideNpcNmlHrs06_Remake_0_0.png")</f>
        <v/>
      </c>
      <c r="C986" s="21" t="s">
        <v>219</v>
      </c>
      <c r="D986" s="21" t="s">
        <v>51</v>
      </c>
      <c r="E986" s="21">
        <v>10.0</v>
      </c>
      <c r="F986" s="21" t="s">
        <v>2289</v>
      </c>
      <c r="G986" s="19"/>
      <c r="H986" s="19"/>
      <c r="I986" s="19"/>
    </row>
    <row r="987" ht="56.25" customHeight="1">
      <c r="A987" s="21" t="s">
        <v>3532</v>
      </c>
      <c r="B987" s="19" t="str">
        <f>image("https://storage.googleapis.com/acdb/photos/BromideNpcNmlHrs06_Remake_1_0.png")</f>
        <v/>
      </c>
      <c r="C987" s="21" t="s">
        <v>795</v>
      </c>
      <c r="D987" s="21" t="s">
        <v>51</v>
      </c>
      <c r="E987" s="21">
        <v>10.0</v>
      </c>
      <c r="F987" s="21" t="s">
        <v>2289</v>
      </c>
      <c r="G987" s="19"/>
      <c r="H987" s="19"/>
      <c r="I987" s="19"/>
    </row>
    <row r="988" ht="56.25" customHeight="1">
      <c r="A988" s="21" t="s">
        <v>3532</v>
      </c>
      <c r="B988" s="19" t="str">
        <f>image("https://storage.googleapis.com/acdb/photos/BromideNpcNmlHrs06_Remake_2_0.png")</f>
        <v/>
      </c>
      <c r="C988" s="21" t="s">
        <v>954</v>
      </c>
      <c r="D988" s="21" t="s">
        <v>51</v>
      </c>
      <c r="E988" s="21">
        <v>10.0</v>
      </c>
      <c r="F988" s="21" t="s">
        <v>2289</v>
      </c>
      <c r="G988" s="19"/>
      <c r="H988" s="19"/>
      <c r="I988" s="19"/>
    </row>
    <row r="989" ht="56.25" customHeight="1">
      <c r="A989" s="21" t="s">
        <v>3532</v>
      </c>
      <c r="B989" s="19" t="str">
        <f>image("https://storage.googleapis.com/acdb/photos/BromideNpcNmlHrs06_Remake_3_0.png")</f>
        <v/>
      </c>
      <c r="C989" s="21" t="s">
        <v>82</v>
      </c>
      <c r="D989" s="21" t="s">
        <v>51</v>
      </c>
      <c r="E989" s="21">
        <v>10.0</v>
      </c>
      <c r="F989" s="21" t="s">
        <v>2289</v>
      </c>
      <c r="G989" s="19"/>
      <c r="H989" s="19"/>
      <c r="I989" s="19"/>
    </row>
    <row r="990" ht="56.25" customHeight="1">
      <c r="A990" s="21" t="s">
        <v>3532</v>
      </c>
      <c r="B990" s="19" t="str">
        <f>image("https://storage.googleapis.com/acdb/photos/BromideNpcNmlHrs06_Remake_4_0.png")</f>
        <v/>
      </c>
      <c r="C990" s="21" t="s">
        <v>833</v>
      </c>
      <c r="D990" s="21" t="s">
        <v>51</v>
      </c>
      <c r="E990" s="21">
        <v>10.0</v>
      </c>
      <c r="F990" s="21" t="s">
        <v>2289</v>
      </c>
      <c r="G990" s="19"/>
      <c r="H990" s="19"/>
      <c r="I990" s="19"/>
    </row>
    <row r="991" ht="56.25" customHeight="1">
      <c r="A991" s="21" t="s">
        <v>3532</v>
      </c>
      <c r="B991" s="19" t="str">
        <f>image("https://storage.googleapis.com/acdb/photos/BromideNpcNmlHrs06_Remake_5_0.png")</f>
        <v/>
      </c>
      <c r="C991" s="21" t="s">
        <v>258</v>
      </c>
      <c r="D991" s="21" t="s">
        <v>51</v>
      </c>
      <c r="E991" s="21">
        <v>10.0</v>
      </c>
      <c r="F991" s="21" t="s">
        <v>2289</v>
      </c>
      <c r="G991" s="19"/>
      <c r="H991" s="19"/>
      <c r="I991" s="19"/>
    </row>
    <row r="992" ht="56.25" customHeight="1">
      <c r="A992" s="21" t="s">
        <v>3532</v>
      </c>
      <c r="B992" s="19" t="str">
        <f>image("https://storage.googleapis.com/acdb/photos/BromideNpcNmlHrs06_Remake_6_0.png")</f>
        <v/>
      </c>
      <c r="C992" s="21" t="s">
        <v>182</v>
      </c>
      <c r="D992" s="21" t="s">
        <v>51</v>
      </c>
      <c r="E992" s="21">
        <v>10.0</v>
      </c>
      <c r="F992" s="21" t="s">
        <v>2289</v>
      </c>
      <c r="G992" s="19"/>
      <c r="H992" s="19"/>
      <c r="I992" s="19"/>
    </row>
    <row r="993" ht="56.25" customHeight="1">
      <c r="A993" s="21" t="s">
        <v>3532</v>
      </c>
      <c r="B993" s="19" t="str">
        <f>image("https://storage.googleapis.com/acdb/photos/BromideNpcNmlHrs06_Remake_7_0.png")</f>
        <v/>
      </c>
      <c r="C993" s="21" t="s">
        <v>187</v>
      </c>
      <c r="D993" s="21" t="s">
        <v>51</v>
      </c>
      <c r="E993" s="21">
        <v>10.0</v>
      </c>
      <c r="F993" s="21" t="s">
        <v>2289</v>
      </c>
      <c r="G993" s="19"/>
      <c r="H993" s="19"/>
      <c r="I993" s="19"/>
    </row>
    <row r="994" ht="56.25" customHeight="1">
      <c r="A994" s="21" t="s">
        <v>3543</v>
      </c>
      <c r="B994" s="19" t="str">
        <f>image("https://storage.googleapis.com/acdb/photos/BromideNpcNmlChn02_Remake_0_0.png")</f>
        <v/>
      </c>
      <c r="C994" s="21" t="s">
        <v>219</v>
      </c>
      <c r="D994" s="21" t="s">
        <v>51</v>
      </c>
      <c r="E994" s="21">
        <v>10.0</v>
      </c>
      <c r="F994" s="21" t="s">
        <v>2289</v>
      </c>
      <c r="G994" s="19"/>
      <c r="H994" s="19"/>
      <c r="I994" s="19"/>
    </row>
    <row r="995" ht="56.25" customHeight="1">
      <c r="A995" s="21" t="s">
        <v>3543</v>
      </c>
      <c r="B995" s="19" t="str">
        <f>image("https://storage.googleapis.com/acdb/photos/BromideNpcNmlChn02_Remake_1_0.png")</f>
        <v/>
      </c>
      <c r="C995" s="21" t="s">
        <v>795</v>
      </c>
      <c r="D995" s="21" t="s">
        <v>51</v>
      </c>
      <c r="E995" s="21">
        <v>10.0</v>
      </c>
      <c r="F995" s="21" t="s">
        <v>2289</v>
      </c>
      <c r="G995" s="19"/>
      <c r="H995" s="19"/>
      <c r="I995" s="19"/>
    </row>
    <row r="996" ht="56.25" customHeight="1">
      <c r="A996" s="21" t="s">
        <v>3543</v>
      </c>
      <c r="B996" s="19" t="str">
        <f>image("https://storage.googleapis.com/acdb/photos/BromideNpcNmlChn02_Remake_2_0.png")</f>
        <v/>
      </c>
      <c r="C996" s="21" t="s">
        <v>954</v>
      </c>
      <c r="D996" s="21" t="s">
        <v>51</v>
      </c>
      <c r="E996" s="21">
        <v>10.0</v>
      </c>
      <c r="F996" s="21" t="s">
        <v>2289</v>
      </c>
      <c r="G996" s="19"/>
      <c r="H996" s="19"/>
      <c r="I996" s="19"/>
    </row>
    <row r="997" ht="56.25" customHeight="1">
      <c r="A997" s="21" t="s">
        <v>3543</v>
      </c>
      <c r="B997" s="19" t="str">
        <f>image("https://storage.googleapis.com/acdb/photos/BromideNpcNmlChn02_Remake_3_0.png")</f>
        <v/>
      </c>
      <c r="C997" s="21" t="s">
        <v>82</v>
      </c>
      <c r="D997" s="21" t="s">
        <v>51</v>
      </c>
      <c r="E997" s="21">
        <v>10.0</v>
      </c>
      <c r="F997" s="21" t="s">
        <v>2289</v>
      </c>
      <c r="G997" s="19"/>
      <c r="H997" s="19"/>
      <c r="I997" s="19"/>
    </row>
    <row r="998" ht="56.25" customHeight="1">
      <c r="A998" s="21" t="s">
        <v>3543</v>
      </c>
      <c r="B998" s="19" t="str">
        <f>image("https://storage.googleapis.com/acdb/photos/BromideNpcNmlChn02_Remake_4_0.png")</f>
        <v/>
      </c>
      <c r="C998" s="21" t="s">
        <v>833</v>
      </c>
      <c r="D998" s="21" t="s">
        <v>51</v>
      </c>
      <c r="E998" s="21">
        <v>10.0</v>
      </c>
      <c r="F998" s="21" t="s">
        <v>2289</v>
      </c>
      <c r="G998" s="19"/>
      <c r="H998" s="19"/>
      <c r="I998" s="19"/>
    </row>
    <row r="999" ht="56.25" customHeight="1">
      <c r="A999" s="21" t="s">
        <v>3543</v>
      </c>
      <c r="B999" s="19" t="str">
        <f>image("https://storage.googleapis.com/acdb/photos/BromideNpcNmlChn02_Remake_5_0.png")</f>
        <v/>
      </c>
      <c r="C999" s="21" t="s">
        <v>258</v>
      </c>
      <c r="D999" s="21" t="s">
        <v>51</v>
      </c>
      <c r="E999" s="21">
        <v>10.0</v>
      </c>
      <c r="F999" s="21" t="s">
        <v>2289</v>
      </c>
      <c r="G999" s="19"/>
      <c r="H999" s="19"/>
      <c r="I999" s="19"/>
    </row>
    <row r="1000" ht="56.25" customHeight="1">
      <c r="A1000" s="21" t="s">
        <v>3543</v>
      </c>
      <c r="B1000" s="19" t="str">
        <f>image("https://storage.googleapis.com/acdb/photos/BromideNpcNmlChn02_Remake_6_0.png")</f>
        <v/>
      </c>
      <c r="C1000" s="21" t="s">
        <v>182</v>
      </c>
      <c r="D1000" s="21" t="s">
        <v>51</v>
      </c>
      <c r="E1000" s="21">
        <v>10.0</v>
      </c>
      <c r="F1000" s="21" t="s">
        <v>2289</v>
      </c>
      <c r="G1000" s="19"/>
      <c r="H1000" s="19"/>
      <c r="I1000" s="19"/>
    </row>
    <row r="1001" ht="56.25" customHeight="1">
      <c r="A1001" s="21" t="s">
        <v>3543</v>
      </c>
      <c r="B1001" s="19" t="str">
        <f>image("https://storage.googleapis.com/acdb/photos/BromideNpcNmlChn02_Remake_7_0.png")</f>
        <v/>
      </c>
      <c r="C1001" s="21" t="s">
        <v>187</v>
      </c>
      <c r="D1001" s="21" t="s">
        <v>51</v>
      </c>
      <c r="E1001" s="21">
        <v>10.0</v>
      </c>
      <c r="F1001" s="21" t="s">
        <v>2289</v>
      </c>
      <c r="G1001" s="19"/>
      <c r="H1001" s="19"/>
      <c r="I1001" s="19"/>
    </row>
    <row r="1002" ht="56.25" customHeight="1">
      <c r="A1002" s="21" t="s">
        <v>3554</v>
      </c>
      <c r="B1002" s="19" t="str">
        <f>image("https://storage.googleapis.com/acdb/photos/BromideNpcNmlMnk05_Remake_0_0.png")</f>
        <v/>
      </c>
      <c r="C1002" s="21" t="s">
        <v>219</v>
      </c>
      <c r="D1002" s="21" t="s">
        <v>51</v>
      </c>
      <c r="E1002" s="21">
        <v>10.0</v>
      </c>
      <c r="F1002" s="21" t="s">
        <v>2289</v>
      </c>
      <c r="G1002" s="19"/>
      <c r="H1002" s="19"/>
      <c r="I1002" s="19"/>
    </row>
    <row r="1003" ht="56.25" customHeight="1">
      <c r="A1003" s="21" t="s">
        <v>3554</v>
      </c>
      <c r="B1003" s="19" t="str">
        <f>image("https://storage.googleapis.com/acdb/photos/BromideNpcNmlMnk05_Remake_1_0.png")</f>
        <v/>
      </c>
      <c r="C1003" s="21" t="s">
        <v>795</v>
      </c>
      <c r="D1003" s="21" t="s">
        <v>51</v>
      </c>
      <c r="E1003" s="21">
        <v>10.0</v>
      </c>
      <c r="F1003" s="21" t="s">
        <v>2289</v>
      </c>
      <c r="G1003" s="19"/>
      <c r="H1003" s="19"/>
      <c r="I1003" s="19"/>
    </row>
    <row r="1004" ht="56.25" customHeight="1">
      <c r="A1004" s="21" t="s">
        <v>3554</v>
      </c>
      <c r="B1004" s="19" t="str">
        <f>image("https://storage.googleapis.com/acdb/photos/BromideNpcNmlMnk05_Remake_2_0.png")</f>
        <v/>
      </c>
      <c r="C1004" s="21" t="s">
        <v>954</v>
      </c>
      <c r="D1004" s="21" t="s">
        <v>51</v>
      </c>
      <c r="E1004" s="21">
        <v>10.0</v>
      </c>
      <c r="F1004" s="21" t="s">
        <v>2289</v>
      </c>
      <c r="G1004" s="19"/>
      <c r="H1004" s="19"/>
      <c r="I1004" s="19"/>
    </row>
    <row r="1005" ht="56.25" customHeight="1">
      <c r="A1005" s="21" t="s">
        <v>3554</v>
      </c>
      <c r="B1005" s="19" t="str">
        <f>image("https://storage.googleapis.com/acdb/photos/BromideNpcNmlMnk05_Remake_3_0.png")</f>
        <v/>
      </c>
      <c r="C1005" s="21" t="s">
        <v>82</v>
      </c>
      <c r="D1005" s="21" t="s">
        <v>51</v>
      </c>
      <c r="E1005" s="21">
        <v>10.0</v>
      </c>
      <c r="F1005" s="21" t="s">
        <v>2289</v>
      </c>
      <c r="G1005" s="19"/>
      <c r="H1005" s="19"/>
      <c r="I1005" s="19"/>
    </row>
    <row r="1006" ht="56.25" customHeight="1">
      <c r="A1006" s="21" t="s">
        <v>3554</v>
      </c>
      <c r="B1006" s="19" t="str">
        <f>image("https://storage.googleapis.com/acdb/photos/BromideNpcNmlMnk05_Remake_4_0.png")</f>
        <v/>
      </c>
      <c r="C1006" s="21" t="s">
        <v>833</v>
      </c>
      <c r="D1006" s="21" t="s">
        <v>51</v>
      </c>
      <c r="E1006" s="21">
        <v>10.0</v>
      </c>
      <c r="F1006" s="21" t="s">
        <v>2289</v>
      </c>
      <c r="G1006" s="19"/>
      <c r="H1006" s="19"/>
      <c r="I1006" s="19"/>
    </row>
    <row r="1007" ht="56.25" customHeight="1">
      <c r="A1007" s="21" t="s">
        <v>3554</v>
      </c>
      <c r="B1007" s="19" t="str">
        <f>image("https://storage.googleapis.com/acdb/photos/BromideNpcNmlMnk05_Remake_5_0.png")</f>
        <v/>
      </c>
      <c r="C1007" s="21" t="s">
        <v>258</v>
      </c>
      <c r="D1007" s="21" t="s">
        <v>51</v>
      </c>
      <c r="E1007" s="21">
        <v>10.0</v>
      </c>
      <c r="F1007" s="21" t="s">
        <v>2289</v>
      </c>
      <c r="G1007" s="19"/>
      <c r="H1007" s="19"/>
      <c r="I1007" s="19"/>
    </row>
    <row r="1008" ht="56.25" customHeight="1">
      <c r="A1008" s="21" t="s">
        <v>3554</v>
      </c>
      <c r="B1008" s="19" t="str">
        <f>image("https://storage.googleapis.com/acdb/photos/BromideNpcNmlMnk05_Remake_6_0.png")</f>
        <v/>
      </c>
      <c r="C1008" s="21" t="s">
        <v>182</v>
      </c>
      <c r="D1008" s="21" t="s">
        <v>51</v>
      </c>
      <c r="E1008" s="21">
        <v>10.0</v>
      </c>
      <c r="F1008" s="21" t="s">
        <v>2289</v>
      </c>
      <c r="G1008" s="19"/>
      <c r="H1008" s="19"/>
      <c r="I1008" s="19"/>
    </row>
    <row r="1009" ht="56.25" customHeight="1">
      <c r="A1009" s="21" t="s">
        <v>3554</v>
      </c>
      <c r="B1009" s="19" t="str">
        <f>image("https://storage.googleapis.com/acdb/photos/BromideNpcNmlMnk05_Remake_7_0.png")</f>
        <v/>
      </c>
      <c r="C1009" s="21" t="s">
        <v>187</v>
      </c>
      <c r="D1009" s="21" t="s">
        <v>51</v>
      </c>
      <c r="E1009" s="21">
        <v>10.0</v>
      </c>
      <c r="F1009" s="21" t="s">
        <v>2289</v>
      </c>
      <c r="G1009" s="19"/>
      <c r="H1009" s="19"/>
      <c r="I1009" s="19"/>
    </row>
    <row r="1010" ht="56.25" customHeight="1">
      <c r="A1010" s="21" t="s">
        <v>3562</v>
      </c>
      <c r="B1010" s="19" t="str">
        <f>image("https://storage.googleapis.com/acdb/photos/BromideNpcNmlElp07_Remake_0_0.png")</f>
        <v/>
      </c>
      <c r="C1010" s="21" t="s">
        <v>219</v>
      </c>
      <c r="D1010" s="21" t="s">
        <v>51</v>
      </c>
      <c r="E1010" s="21">
        <v>10.0</v>
      </c>
      <c r="F1010" s="21" t="s">
        <v>2289</v>
      </c>
      <c r="G1010" s="19"/>
      <c r="H1010" s="19"/>
      <c r="I1010" s="19"/>
    </row>
    <row r="1011" ht="56.25" customHeight="1">
      <c r="A1011" s="21" t="s">
        <v>3562</v>
      </c>
      <c r="B1011" s="19" t="str">
        <f>image("https://storage.googleapis.com/acdb/photos/BromideNpcNmlElp07_Remake_1_0.png")</f>
        <v/>
      </c>
      <c r="C1011" s="21" t="s">
        <v>795</v>
      </c>
      <c r="D1011" s="21" t="s">
        <v>51</v>
      </c>
      <c r="E1011" s="21">
        <v>10.0</v>
      </c>
      <c r="F1011" s="21" t="s">
        <v>2289</v>
      </c>
      <c r="G1011" s="19"/>
      <c r="H1011" s="19"/>
      <c r="I1011" s="19"/>
    </row>
    <row r="1012" ht="56.25" customHeight="1">
      <c r="A1012" s="21" t="s">
        <v>3562</v>
      </c>
      <c r="B1012" s="19" t="str">
        <f>image("https://storage.googleapis.com/acdb/photos/BromideNpcNmlElp07_Remake_2_0.png")</f>
        <v/>
      </c>
      <c r="C1012" s="21" t="s">
        <v>954</v>
      </c>
      <c r="D1012" s="21" t="s">
        <v>51</v>
      </c>
      <c r="E1012" s="21">
        <v>10.0</v>
      </c>
      <c r="F1012" s="21" t="s">
        <v>2289</v>
      </c>
      <c r="G1012" s="19"/>
      <c r="H1012" s="19"/>
      <c r="I1012" s="19"/>
    </row>
    <row r="1013" ht="56.25" customHeight="1">
      <c r="A1013" s="21" t="s">
        <v>3562</v>
      </c>
      <c r="B1013" s="19" t="str">
        <f>image("https://storage.googleapis.com/acdb/photos/BromideNpcNmlElp07_Remake_3_0.png")</f>
        <v/>
      </c>
      <c r="C1013" s="21" t="s">
        <v>82</v>
      </c>
      <c r="D1013" s="21" t="s">
        <v>51</v>
      </c>
      <c r="E1013" s="21">
        <v>10.0</v>
      </c>
      <c r="F1013" s="21" t="s">
        <v>2289</v>
      </c>
      <c r="G1013" s="19"/>
      <c r="H1013" s="19"/>
      <c r="I1013" s="19"/>
    </row>
    <row r="1014" ht="56.25" customHeight="1">
      <c r="A1014" s="21" t="s">
        <v>3562</v>
      </c>
      <c r="B1014" s="19" t="str">
        <f>image("https://storage.googleapis.com/acdb/photos/BromideNpcNmlElp07_Remake_4_0.png")</f>
        <v/>
      </c>
      <c r="C1014" s="21" t="s">
        <v>833</v>
      </c>
      <c r="D1014" s="21" t="s">
        <v>51</v>
      </c>
      <c r="E1014" s="21">
        <v>10.0</v>
      </c>
      <c r="F1014" s="21" t="s">
        <v>2289</v>
      </c>
      <c r="G1014" s="19"/>
      <c r="H1014" s="19"/>
      <c r="I1014" s="19"/>
    </row>
    <row r="1015" ht="56.25" customHeight="1">
      <c r="A1015" s="21" t="s">
        <v>3562</v>
      </c>
      <c r="B1015" s="19" t="str">
        <f>image("https://storage.googleapis.com/acdb/photos/BromideNpcNmlElp07_Remake_5_0.png")</f>
        <v/>
      </c>
      <c r="C1015" s="21" t="s">
        <v>258</v>
      </c>
      <c r="D1015" s="21" t="s">
        <v>51</v>
      </c>
      <c r="E1015" s="21">
        <v>10.0</v>
      </c>
      <c r="F1015" s="21" t="s">
        <v>2289</v>
      </c>
      <c r="G1015" s="19"/>
      <c r="H1015" s="19"/>
      <c r="I1015" s="19"/>
    </row>
    <row r="1016" ht="56.25" customHeight="1">
      <c r="A1016" s="21" t="s">
        <v>3562</v>
      </c>
      <c r="B1016" s="19" t="str">
        <f>image("https://storage.googleapis.com/acdb/photos/BromideNpcNmlElp07_Remake_6_0.png")</f>
        <v/>
      </c>
      <c r="C1016" s="21" t="s">
        <v>182</v>
      </c>
      <c r="D1016" s="21" t="s">
        <v>51</v>
      </c>
      <c r="E1016" s="21">
        <v>10.0</v>
      </c>
      <c r="F1016" s="21" t="s">
        <v>2289</v>
      </c>
      <c r="G1016" s="19"/>
      <c r="H1016" s="19"/>
      <c r="I1016" s="19"/>
    </row>
    <row r="1017" ht="56.25" customHeight="1">
      <c r="A1017" s="21" t="s">
        <v>3562</v>
      </c>
      <c r="B1017" s="19" t="str">
        <f>image("https://storage.googleapis.com/acdb/photos/BromideNpcNmlElp07_Remake_7_0.png")</f>
        <v/>
      </c>
      <c r="C1017" s="21" t="s">
        <v>187</v>
      </c>
      <c r="D1017" s="21" t="s">
        <v>51</v>
      </c>
      <c r="E1017" s="21">
        <v>10.0</v>
      </c>
      <c r="F1017" s="21" t="s">
        <v>2289</v>
      </c>
      <c r="G1017" s="19"/>
      <c r="H1017" s="19"/>
      <c r="I1017" s="19"/>
    </row>
    <row r="1018" ht="56.25" customHeight="1">
      <c r="A1018" s="21" t="s">
        <v>3570</v>
      </c>
      <c r="B1018" s="19" t="str">
        <f>image("https://storage.googleapis.com/acdb/photos/BromideNpcNmlHrs03_Remake_0_0.png")</f>
        <v/>
      </c>
      <c r="C1018" s="21" t="s">
        <v>219</v>
      </c>
      <c r="D1018" s="21" t="s">
        <v>51</v>
      </c>
      <c r="E1018" s="21">
        <v>10.0</v>
      </c>
      <c r="F1018" s="21" t="s">
        <v>2289</v>
      </c>
      <c r="G1018" s="19"/>
      <c r="H1018" s="19"/>
      <c r="I1018" s="19"/>
    </row>
    <row r="1019" ht="56.25" customHeight="1">
      <c r="A1019" s="21" t="s">
        <v>3570</v>
      </c>
      <c r="B1019" s="19" t="str">
        <f>image("https://storage.googleapis.com/acdb/photos/BromideNpcNmlHrs03_Remake_1_0.png")</f>
        <v/>
      </c>
      <c r="C1019" s="21" t="s">
        <v>795</v>
      </c>
      <c r="D1019" s="21" t="s">
        <v>51</v>
      </c>
      <c r="E1019" s="21">
        <v>10.0</v>
      </c>
      <c r="F1019" s="21" t="s">
        <v>2289</v>
      </c>
      <c r="G1019" s="19"/>
      <c r="H1019" s="19"/>
      <c r="I1019" s="19"/>
    </row>
    <row r="1020" ht="56.25" customHeight="1">
      <c r="A1020" s="21" t="s">
        <v>3570</v>
      </c>
      <c r="B1020" s="19" t="str">
        <f>image("https://storage.googleapis.com/acdb/photos/BromideNpcNmlHrs03_Remake_2_0.png")</f>
        <v/>
      </c>
      <c r="C1020" s="21" t="s">
        <v>954</v>
      </c>
      <c r="D1020" s="21" t="s">
        <v>51</v>
      </c>
      <c r="E1020" s="21">
        <v>10.0</v>
      </c>
      <c r="F1020" s="21" t="s">
        <v>2289</v>
      </c>
      <c r="G1020" s="19"/>
      <c r="H1020" s="19"/>
      <c r="I1020" s="19"/>
    </row>
    <row r="1021" ht="56.25" customHeight="1">
      <c r="A1021" s="21" t="s">
        <v>3570</v>
      </c>
      <c r="B1021" s="19" t="str">
        <f>image("https://storage.googleapis.com/acdb/photos/BromideNpcNmlHrs03_Remake_3_0.png")</f>
        <v/>
      </c>
      <c r="C1021" s="21" t="s">
        <v>82</v>
      </c>
      <c r="D1021" s="21" t="s">
        <v>51</v>
      </c>
      <c r="E1021" s="21">
        <v>10.0</v>
      </c>
      <c r="F1021" s="21" t="s">
        <v>2289</v>
      </c>
      <c r="G1021" s="19"/>
      <c r="H1021" s="19"/>
      <c r="I1021" s="19"/>
    </row>
    <row r="1022" ht="56.25" customHeight="1">
      <c r="A1022" s="21" t="s">
        <v>3570</v>
      </c>
      <c r="B1022" s="19" t="str">
        <f>image("https://storage.googleapis.com/acdb/photos/BromideNpcNmlHrs03_Remake_4_0.png")</f>
        <v/>
      </c>
      <c r="C1022" s="21" t="s">
        <v>833</v>
      </c>
      <c r="D1022" s="21" t="s">
        <v>51</v>
      </c>
      <c r="E1022" s="21">
        <v>10.0</v>
      </c>
      <c r="F1022" s="21" t="s">
        <v>2289</v>
      </c>
      <c r="G1022" s="19"/>
      <c r="H1022" s="19"/>
      <c r="I1022" s="19"/>
    </row>
    <row r="1023" ht="56.25" customHeight="1">
      <c r="A1023" s="21" t="s">
        <v>3570</v>
      </c>
      <c r="B1023" s="19" t="str">
        <f>image("https://storage.googleapis.com/acdb/photos/BromideNpcNmlHrs03_Remake_5_0.png")</f>
        <v/>
      </c>
      <c r="C1023" s="21" t="s">
        <v>258</v>
      </c>
      <c r="D1023" s="21" t="s">
        <v>51</v>
      </c>
      <c r="E1023" s="21">
        <v>10.0</v>
      </c>
      <c r="F1023" s="21" t="s">
        <v>2289</v>
      </c>
      <c r="G1023" s="19"/>
      <c r="H1023" s="19"/>
      <c r="I1023" s="19"/>
    </row>
    <row r="1024" ht="56.25" customHeight="1">
      <c r="A1024" s="21" t="s">
        <v>3570</v>
      </c>
      <c r="B1024" s="19" t="str">
        <f>image("https://storage.googleapis.com/acdb/photos/BromideNpcNmlHrs03_Remake_6_0.png")</f>
        <v/>
      </c>
      <c r="C1024" s="21" t="s">
        <v>182</v>
      </c>
      <c r="D1024" s="21" t="s">
        <v>51</v>
      </c>
      <c r="E1024" s="21">
        <v>10.0</v>
      </c>
      <c r="F1024" s="21" t="s">
        <v>2289</v>
      </c>
      <c r="G1024" s="19"/>
      <c r="H1024" s="19"/>
      <c r="I1024" s="19"/>
    </row>
    <row r="1025" ht="56.25" customHeight="1">
      <c r="A1025" s="21" t="s">
        <v>3570</v>
      </c>
      <c r="B1025" s="19" t="str">
        <f>image("https://storage.googleapis.com/acdb/photos/BromideNpcNmlHrs03_Remake_7_0.png")</f>
        <v/>
      </c>
      <c r="C1025" s="21" t="s">
        <v>187</v>
      </c>
      <c r="D1025" s="21" t="s">
        <v>51</v>
      </c>
      <c r="E1025" s="21">
        <v>10.0</v>
      </c>
      <c r="F1025" s="21" t="s">
        <v>2289</v>
      </c>
      <c r="G1025" s="19"/>
      <c r="H1025" s="19"/>
      <c r="I1025" s="19"/>
    </row>
    <row r="1026" ht="56.25" customHeight="1">
      <c r="A1026" s="21" t="s">
        <v>3576</v>
      </c>
      <c r="B1026" s="19" t="str">
        <f>image("https://storage.googleapis.com/acdb/photos/BromideNpcNmlElp03_Remake_0_0.png")</f>
        <v/>
      </c>
      <c r="C1026" s="21" t="s">
        <v>219</v>
      </c>
      <c r="D1026" s="21" t="s">
        <v>51</v>
      </c>
      <c r="E1026" s="21">
        <v>10.0</v>
      </c>
      <c r="F1026" s="21" t="s">
        <v>2289</v>
      </c>
      <c r="G1026" s="19"/>
      <c r="H1026" s="19"/>
      <c r="I1026" s="19"/>
    </row>
    <row r="1027" ht="56.25" customHeight="1">
      <c r="A1027" s="21" t="s">
        <v>3576</v>
      </c>
      <c r="B1027" s="19" t="str">
        <f>image("https://storage.googleapis.com/acdb/photos/BromideNpcNmlElp03_Remake_1_0.png")</f>
        <v/>
      </c>
      <c r="C1027" s="21" t="s">
        <v>795</v>
      </c>
      <c r="D1027" s="21" t="s">
        <v>51</v>
      </c>
      <c r="E1027" s="21">
        <v>10.0</v>
      </c>
      <c r="F1027" s="21" t="s">
        <v>2289</v>
      </c>
      <c r="G1027" s="19"/>
      <c r="H1027" s="19"/>
      <c r="I1027" s="19"/>
    </row>
    <row r="1028" ht="56.25" customHeight="1">
      <c r="A1028" s="21" t="s">
        <v>3576</v>
      </c>
      <c r="B1028" s="19" t="str">
        <f>image("https://storage.googleapis.com/acdb/photos/BromideNpcNmlElp03_Remake_2_0.png")</f>
        <v/>
      </c>
      <c r="C1028" s="21" t="s">
        <v>954</v>
      </c>
      <c r="D1028" s="21" t="s">
        <v>51</v>
      </c>
      <c r="E1028" s="21">
        <v>10.0</v>
      </c>
      <c r="F1028" s="21" t="s">
        <v>2289</v>
      </c>
      <c r="G1028" s="19"/>
      <c r="H1028" s="19"/>
      <c r="I1028" s="19"/>
    </row>
    <row r="1029" ht="56.25" customHeight="1">
      <c r="A1029" s="21" t="s">
        <v>3576</v>
      </c>
      <c r="B1029" s="19" t="str">
        <f>image("https://storage.googleapis.com/acdb/photos/BromideNpcNmlElp03_Remake_3_0.png")</f>
        <v/>
      </c>
      <c r="C1029" s="21" t="s">
        <v>82</v>
      </c>
      <c r="D1029" s="21" t="s">
        <v>51</v>
      </c>
      <c r="E1029" s="21">
        <v>10.0</v>
      </c>
      <c r="F1029" s="21" t="s">
        <v>2289</v>
      </c>
      <c r="G1029" s="19"/>
      <c r="H1029" s="19"/>
      <c r="I1029" s="19"/>
    </row>
    <row r="1030" ht="56.25" customHeight="1">
      <c r="A1030" s="21" t="s">
        <v>3576</v>
      </c>
      <c r="B1030" s="19" t="str">
        <f>image("https://storage.googleapis.com/acdb/photos/BromideNpcNmlElp03_Remake_4_0.png")</f>
        <v/>
      </c>
      <c r="C1030" s="21" t="s">
        <v>833</v>
      </c>
      <c r="D1030" s="21" t="s">
        <v>51</v>
      </c>
      <c r="E1030" s="21">
        <v>10.0</v>
      </c>
      <c r="F1030" s="21" t="s">
        <v>2289</v>
      </c>
      <c r="G1030" s="19"/>
      <c r="H1030" s="19"/>
      <c r="I1030" s="19"/>
    </row>
    <row r="1031" ht="56.25" customHeight="1">
      <c r="A1031" s="21" t="s">
        <v>3576</v>
      </c>
      <c r="B1031" s="19" t="str">
        <f>image("https://storage.googleapis.com/acdb/photos/BromideNpcNmlElp03_Remake_5_0.png")</f>
        <v/>
      </c>
      <c r="C1031" s="21" t="s">
        <v>258</v>
      </c>
      <c r="D1031" s="21" t="s">
        <v>51</v>
      </c>
      <c r="E1031" s="21">
        <v>10.0</v>
      </c>
      <c r="F1031" s="21" t="s">
        <v>2289</v>
      </c>
      <c r="G1031" s="19"/>
      <c r="H1031" s="19"/>
      <c r="I1031" s="19"/>
    </row>
    <row r="1032" ht="56.25" customHeight="1">
      <c r="A1032" s="21" t="s">
        <v>3576</v>
      </c>
      <c r="B1032" s="19" t="str">
        <f>image("https://storage.googleapis.com/acdb/photos/BromideNpcNmlElp03_Remake_6_0.png")</f>
        <v/>
      </c>
      <c r="C1032" s="21" t="s">
        <v>182</v>
      </c>
      <c r="D1032" s="21" t="s">
        <v>51</v>
      </c>
      <c r="E1032" s="21">
        <v>10.0</v>
      </c>
      <c r="F1032" s="21" t="s">
        <v>2289</v>
      </c>
      <c r="G1032" s="19"/>
      <c r="H1032" s="19"/>
      <c r="I1032" s="19"/>
    </row>
    <row r="1033" ht="56.25" customHeight="1">
      <c r="A1033" s="21" t="s">
        <v>3576</v>
      </c>
      <c r="B1033" s="19" t="str">
        <f>image("https://storage.googleapis.com/acdb/photos/BromideNpcNmlElp03_Remake_7_0.png")</f>
        <v/>
      </c>
      <c r="C1033" s="21" t="s">
        <v>187</v>
      </c>
      <c r="D1033" s="21" t="s">
        <v>51</v>
      </c>
      <c r="E1033" s="21">
        <v>10.0</v>
      </c>
      <c r="F1033" s="21" t="s">
        <v>2289</v>
      </c>
      <c r="G1033" s="19"/>
      <c r="H1033" s="19"/>
      <c r="I1033" s="19"/>
    </row>
    <row r="1034" ht="56.25" customHeight="1">
      <c r="A1034" s="21" t="s">
        <v>3584</v>
      </c>
      <c r="B1034" s="19" t="str">
        <f>image("https://storage.googleapis.com/acdb/photos/BromideNpcNmlLon01_Remake_0_0.png")</f>
        <v/>
      </c>
      <c r="C1034" s="21" t="s">
        <v>219</v>
      </c>
      <c r="D1034" s="21" t="s">
        <v>51</v>
      </c>
      <c r="E1034" s="21">
        <v>10.0</v>
      </c>
      <c r="F1034" s="21" t="s">
        <v>2289</v>
      </c>
      <c r="G1034" s="19"/>
      <c r="H1034" s="19"/>
      <c r="I1034" s="19"/>
    </row>
    <row r="1035" ht="56.25" customHeight="1">
      <c r="A1035" s="21" t="s">
        <v>3584</v>
      </c>
      <c r="B1035" s="19" t="str">
        <f>image("https://storage.googleapis.com/acdb/photos/BromideNpcNmlLon01_Remake_1_0.png")</f>
        <v/>
      </c>
      <c r="C1035" s="21" t="s">
        <v>795</v>
      </c>
      <c r="D1035" s="21" t="s">
        <v>51</v>
      </c>
      <c r="E1035" s="21">
        <v>10.0</v>
      </c>
      <c r="F1035" s="21" t="s">
        <v>2289</v>
      </c>
      <c r="G1035" s="19"/>
      <c r="H1035" s="19"/>
      <c r="I1035" s="19"/>
    </row>
    <row r="1036" ht="56.25" customHeight="1">
      <c r="A1036" s="21" t="s">
        <v>3584</v>
      </c>
      <c r="B1036" s="19" t="str">
        <f>image("https://storage.googleapis.com/acdb/photos/BromideNpcNmlLon01_Remake_2_0.png")</f>
        <v/>
      </c>
      <c r="C1036" s="21" t="s">
        <v>954</v>
      </c>
      <c r="D1036" s="21" t="s">
        <v>51</v>
      </c>
      <c r="E1036" s="21">
        <v>10.0</v>
      </c>
      <c r="F1036" s="21" t="s">
        <v>2289</v>
      </c>
      <c r="G1036" s="19"/>
      <c r="H1036" s="19"/>
      <c r="I1036" s="19"/>
    </row>
    <row r="1037" ht="56.25" customHeight="1">
      <c r="A1037" s="21" t="s">
        <v>3584</v>
      </c>
      <c r="B1037" s="19" t="str">
        <f>image("https://storage.googleapis.com/acdb/photos/BromideNpcNmlLon01_Remake_3_0.png")</f>
        <v/>
      </c>
      <c r="C1037" s="21" t="s">
        <v>82</v>
      </c>
      <c r="D1037" s="21" t="s">
        <v>51</v>
      </c>
      <c r="E1037" s="21">
        <v>10.0</v>
      </c>
      <c r="F1037" s="21" t="s">
        <v>2289</v>
      </c>
      <c r="G1037" s="19"/>
      <c r="H1037" s="19"/>
      <c r="I1037" s="19"/>
    </row>
    <row r="1038" ht="56.25" customHeight="1">
      <c r="A1038" s="21" t="s">
        <v>3584</v>
      </c>
      <c r="B1038" s="19" t="str">
        <f>image("https://storage.googleapis.com/acdb/photos/BromideNpcNmlLon01_Remake_4_0.png")</f>
        <v/>
      </c>
      <c r="C1038" s="21" t="s">
        <v>833</v>
      </c>
      <c r="D1038" s="21" t="s">
        <v>51</v>
      </c>
      <c r="E1038" s="21">
        <v>10.0</v>
      </c>
      <c r="F1038" s="21" t="s">
        <v>2289</v>
      </c>
      <c r="G1038" s="19"/>
      <c r="H1038" s="19"/>
      <c r="I1038" s="19"/>
    </row>
    <row r="1039" ht="56.25" customHeight="1">
      <c r="A1039" s="21" t="s">
        <v>3584</v>
      </c>
      <c r="B1039" s="19" t="str">
        <f>image("https://storage.googleapis.com/acdb/photos/BromideNpcNmlLon01_Remake_5_0.png")</f>
        <v/>
      </c>
      <c r="C1039" s="21" t="s">
        <v>258</v>
      </c>
      <c r="D1039" s="21" t="s">
        <v>51</v>
      </c>
      <c r="E1039" s="21">
        <v>10.0</v>
      </c>
      <c r="F1039" s="21" t="s">
        <v>2289</v>
      </c>
      <c r="G1039" s="19"/>
      <c r="H1039" s="19"/>
      <c r="I1039" s="19"/>
    </row>
    <row r="1040" ht="56.25" customHeight="1">
      <c r="A1040" s="21" t="s">
        <v>3584</v>
      </c>
      <c r="B1040" s="19" t="str">
        <f>image("https://storage.googleapis.com/acdb/photos/BromideNpcNmlLon01_Remake_6_0.png")</f>
        <v/>
      </c>
      <c r="C1040" s="21" t="s">
        <v>182</v>
      </c>
      <c r="D1040" s="21" t="s">
        <v>51</v>
      </c>
      <c r="E1040" s="21">
        <v>10.0</v>
      </c>
      <c r="F1040" s="21" t="s">
        <v>2289</v>
      </c>
      <c r="G1040" s="19"/>
      <c r="H1040" s="19"/>
      <c r="I1040" s="19"/>
    </row>
    <row r="1041" ht="56.25" customHeight="1">
      <c r="A1041" s="21" t="s">
        <v>3584</v>
      </c>
      <c r="B1041" s="19" t="str">
        <f>image("https://storage.googleapis.com/acdb/photos/BromideNpcNmlLon01_Remake_7_0.png")</f>
        <v/>
      </c>
      <c r="C1041" s="21" t="s">
        <v>187</v>
      </c>
      <c r="D1041" s="21" t="s">
        <v>51</v>
      </c>
      <c r="E1041" s="21">
        <v>10.0</v>
      </c>
      <c r="F1041" s="21" t="s">
        <v>2289</v>
      </c>
      <c r="G1041" s="19"/>
      <c r="H1041" s="19"/>
      <c r="I1041" s="19"/>
    </row>
    <row r="1042" ht="56.25" customHeight="1">
      <c r="A1042" s="21" t="s">
        <v>3591</v>
      </c>
      <c r="B1042" s="19" t="str">
        <f>image("https://storage.googleapis.com/acdb/photos/BromideNpcNmlDer09_Remake_0_0.png")</f>
        <v/>
      </c>
      <c r="C1042" s="21" t="s">
        <v>219</v>
      </c>
      <c r="D1042" s="21" t="s">
        <v>51</v>
      </c>
      <c r="E1042" s="21">
        <v>10.0</v>
      </c>
      <c r="F1042" s="21" t="s">
        <v>2289</v>
      </c>
      <c r="G1042" s="19"/>
      <c r="H1042" s="19"/>
      <c r="I1042" s="19"/>
    </row>
    <row r="1043" ht="56.25" customHeight="1">
      <c r="A1043" s="21" t="s">
        <v>3591</v>
      </c>
      <c r="B1043" s="19" t="str">
        <f>image("https://storage.googleapis.com/acdb/photos/BromideNpcNmlDer09_Remake_1_0.png")</f>
        <v/>
      </c>
      <c r="C1043" s="21" t="s">
        <v>795</v>
      </c>
      <c r="D1043" s="21" t="s">
        <v>51</v>
      </c>
      <c r="E1043" s="21">
        <v>10.0</v>
      </c>
      <c r="F1043" s="21" t="s">
        <v>2289</v>
      </c>
      <c r="G1043" s="19"/>
      <c r="H1043" s="19"/>
      <c r="I1043" s="19"/>
    </row>
    <row r="1044" ht="56.25" customHeight="1">
      <c r="A1044" s="21" t="s">
        <v>3591</v>
      </c>
      <c r="B1044" s="19" t="str">
        <f>image("https://storage.googleapis.com/acdb/photos/BromideNpcNmlDer09_Remake_2_0.png")</f>
        <v/>
      </c>
      <c r="C1044" s="21" t="s">
        <v>954</v>
      </c>
      <c r="D1044" s="21" t="s">
        <v>51</v>
      </c>
      <c r="E1044" s="21">
        <v>10.0</v>
      </c>
      <c r="F1044" s="21" t="s">
        <v>2289</v>
      </c>
      <c r="G1044" s="19"/>
      <c r="H1044" s="19"/>
      <c r="I1044" s="19"/>
    </row>
    <row r="1045" ht="56.25" customHeight="1">
      <c r="A1045" s="21" t="s">
        <v>3591</v>
      </c>
      <c r="B1045" s="19" t="str">
        <f>image("https://storage.googleapis.com/acdb/photos/BromideNpcNmlDer09_Remake_3_0.png")</f>
        <v/>
      </c>
      <c r="C1045" s="21" t="s">
        <v>82</v>
      </c>
      <c r="D1045" s="21" t="s">
        <v>51</v>
      </c>
      <c r="E1045" s="21">
        <v>10.0</v>
      </c>
      <c r="F1045" s="21" t="s">
        <v>2289</v>
      </c>
      <c r="G1045" s="19"/>
      <c r="H1045" s="19"/>
      <c r="I1045" s="19"/>
    </row>
    <row r="1046" ht="56.25" customHeight="1">
      <c r="A1046" s="21" t="s">
        <v>3591</v>
      </c>
      <c r="B1046" s="19" t="str">
        <f>image("https://storage.googleapis.com/acdb/photos/BromideNpcNmlDer09_Remake_4_0.png")</f>
        <v/>
      </c>
      <c r="C1046" s="21" t="s">
        <v>833</v>
      </c>
      <c r="D1046" s="21" t="s">
        <v>51</v>
      </c>
      <c r="E1046" s="21">
        <v>10.0</v>
      </c>
      <c r="F1046" s="21" t="s">
        <v>2289</v>
      </c>
      <c r="G1046" s="19"/>
      <c r="H1046" s="19"/>
      <c r="I1046" s="19"/>
    </row>
    <row r="1047" ht="56.25" customHeight="1">
      <c r="A1047" s="21" t="s">
        <v>3591</v>
      </c>
      <c r="B1047" s="19" t="str">
        <f>image("https://storage.googleapis.com/acdb/photos/BromideNpcNmlDer09_Remake_5_0.png")</f>
        <v/>
      </c>
      <c r="C1047" s="21" t="s">
        <v>258</v>
      </c>
      <c r="D1047" s="21" t="s">
        <v>51</v>
      </c>
      <c r="E1047" s="21">
        <v>10.0</v>
      </c>
      <c r="F1047" s="21" t="s">
        <v>2289</v>
      </c>
      <c r="G1047" s="19"/>
      <c r="H1047" s="19"/>
      <c r="I1047" s="19"/>
    </row>
    <row r="1048" ht="56.25" customHeight="1">
      <c r="A1048" s="21" t="s">
        <v>3591</v>
      </c>
      <c r="B1048" s="19" t="str">
        <f>image("https://storage.googleapis.com/acdb/photos/BromideNpcNmlDer09_Remake_6_0.png")</f>
        <v/>
      </c>
      <c r="C1048" s="21" t="s">
        <v>182</v>
      </c>
      <c r="D1048" s="21" t="s">
        <v>51</v>
      </c>
      <c r="E1048" s="21">
        <v>10.0</v>
      </c>
      <c r="F1048" s="21" t="s">
        <v>2289</v>
      </c>
      <c r="G1048" s="19"/>
      <c r="H1048" s="19"/>
      <c r="I1048" s="19"/>
    </row>
    <row r="1049" ht="56.25" customHeight="1">
      <c r="A1049" s="21" t="s">
        <v>3591</v>
      </c>
      <c r="B1049" s="19" t="str">
        <f>image("https://storage.googleapis.com/acdb/photos/BromideNpcNmlDer09_Remake_7_0.png")</f>
        <v/>
      </c>
      <c r="C1049" s="21" t="s">
        <v>187</v>
      </c>
      <c r="D1049" s="21" t="s">
        <v>51</v>
      </c>
      <c r="E1049" s="21">
        <v>10.0</v>
      </c>
      <c r="F1049" s="21" t="s">
        <v>2289</v>
      </c>
      <c r="G1049" s="19"/>
      <c r="H1049" s="19"/>
      <c r="I1049" s="19"/>
    </row>
    <row r="1050" ht="56.25" customHeight="1">
      <c r="A1050" s="21" t="s">
        <v>3597</v>
      </c>
      <c r="B1050" s="19" t="str">
        <f>image("https://storage.googleapis.com/acdb/photos/BromideNpcNmlKal10_Remake_0_0.png")</f>
        <v/>
      </c>
      <c r="C1050" s="21" t="s">
        <v>219</v>
      </c>
      <c r="D1050" s="21" t="s">
        <v>51</v>
      </c>
      <c r="E1050" s="21">
        <v>10.0</v>
      </c>
      <c r="F1050" s="21" t="s">
        <v>2289</v>
      </c>
      <c r="G1050" s="19"/>
      <c r="H1050" s="19"/>
      <c r="I1050" s="19"/>
    </row>
    <row r="1051" ht="56.25" customHeight="1">
      <c r="A1051" s="21" t="s">
        <v>3597</v>
      </c>
      <c r="B1051" s="19" t="str">
        <f>image("https://storage.googleapis.com/acdb/photos/BromideNpcNmlKal10_Remake_1_0.png")</f>
        <v/>
      </c>
      <c r="C1051" s="21" t="s">
        <v>795</v>
      </c>
      <c r="D1051" s="21" t="s">
        <v>51</v>
      </c>
      <c r="E1051" s="21">
        <v>10.0</v>
      </c>
      <c r="F1051" s="21" t="s">
        <v>2289</v>
      </c>
      <c r="G1051" s="19"/>
      <c r="H1051" s="19"/>
      <c r="I1051" s="19"/>
    </row>
    <row r="1052" ht="56.25" customHeight="1">
      <c r="A1052" s="21" t="s">
        <v>3597</v>
      </c>
      <c r="B1052" s="19" t="str">
        <f>image("https://storage.googleapis.com/acdb/photos/BromideNpcNmlKal10_Remake_2_0.png")</f>
        <v/>
      </c>
      <c r="C1052" s="21" t="s">
        <v>954</v>
      </c>
      <c r="D1052" s="21" t="s">
        <v>51</v>
      </c>
      <c r="E1052" s="21">
        <v>10.0</v>
      </c>
      <c r="F1052" s="21" t="s">
        <v>2289</v>
      </c>
      <c r="G1052" s="19"/>
      <c r="H1052" s="19"/>
      <c r="I1052" s="19"/>
    </row>
    <row r="1053" ht="56.25" customHeight="1">
      <c r="A1053" s="21" t="s">
        <v>3597</v>
      </c>
      <c r="B1053" s="19" t="str">
        <f>image("https://storage.googleapis.com/acdb/photos/BromideNpcNmlKal10_Remake_3_0.png")</f>
        <v/>
      </c>
      <c r="C1053" s="21" t="s">
        <v>82</v>
      </c>
      <c r="D1053" s="21" t="s">
        <v>51</v>
      </c>
      <c r="E1053" s="21">
        <v>10.0</v>
      </c>
      <c r="F1053" s="21" t="s">
        <v>2289</v>
      </c>
      <c r="G1053" s="19"/>
      <c r="H1053" s="19"/>
      <c r="I1053" s="19"/>
    </row>
    <row r="1054" ht="56.25" customHeight="1">
      <c r="A1054" s="21" t="s">
        <v>3597</v>
      </c>
      <c r="B1054" s="19" t="str">
        <f>image("https://storage.googleapis.com/acdb/photos/BromideNpcNmlKal10_Remake_4_0.png")</f>
        <v/>
      </c>
      <c r="C1054" s="21" t="s">
        <v>833</v>
      </c>
      <c r="D1054" s="21" t="s">
        <v>51</v>
      </c>
      <c r="E1054" s="21">
        <v>10.0</v>
      </c>
      <c r="F1054" s="21" t="s">
        <v>2289</v>
      </c>
      <c r="G1054" s="19"/>
      <c r="H1054" s="19"/>
      <c r="I1054" s="19"/>
    </row>
    <row r="1055" ht="56.25" customHeight="1">
      <c r="A1055" s="21" t="s">
        <v>3597</v>
      </c>
      <c r="B1055" s="19" t="str">
        <f>image("https://storage.googleapis.com/acdb/photos/BromideNpcNmlKal10_Remake_5_0.png")</f>
        <v/>
      </c>
      <c r="C1055" s="21" t="s">
        <v>258</v>
      </c>
      <c r="D1055" s="21" t="s">
        <v>51</v>
      </c>
      <c r="E1055" s="21">
        <v>10.0</v>
      </c>
      <c r="F1055" s="21" t="s">
        <v>2289</v>
      </c>
      <c r="G1055" s="19"/>
      <c r="H1055" s="19"/>
      <c r="I1055" s="19"/>
    </row>
    <row r="1056" ht="56.25" customHeight="1">
      <c r="A1056" s="21" t="s">
        <v>3597</v>
      </c>
      <c r="B1056" s="19" t="str">
        <f>image("https://storage.googleapis.com/acdb/photos/BromideNpcNmlKal10_Remake_6_0.png")</f>
        <v/>
      </c>
      <c r="C1056" s="21" t="s">
        <v>182</v>
      </c>
      <c r="D1056" s="21" t="s">
        <v>51</v>
      </c>
      <c r="E1056" s="21">
        <v>10.0</v>
      </c>
      <c r="F1056" s="21" t="s">
        <v>2289</v>
      </c>
      <c r="G1056" s="19"/>
      <c r="H1056" s="19"/>
      <c r="I1056" s="19"/>
    </row>
    <row r="1057" ht="56.25" customHeight="1">
      <c r="A1057" s="21" t="s">
        <v>3597</v>
      </c>
      <c r="B1057" s="19" t="str">
        <f>image("https://storage.googleapis.com/acdb/photos/BromideNpcNmlKal10_Remake_7_0.png")</f>
        <v/>
      </c>
      <c r="C1057" s="21" t="s">
        <v>187</v>
      </c>
      <c r="D1057" s="21" t="s">
        <v>51</v>
      </c>
      <c r="E1057" s="21">
        <v>10.0</v>
      </c>
      <c r="F1057" s="21" t="s">
        <v>2289</v>
      </c>
      <c r="G1057" s="19"/>
      <c r="H1057" s="19"/>
      <c r="I1057" s="19"/>
    </row>
    <row r="1058" ht="56.25" customHeight="1">
      <c r="A1058" s="21" t="s">
        <v>3604</v>
      </c>
      <c r="B1058" s="19" t="str">
        <f>image("https://storage.googleapis.com/acdb/photos/BromideNpcNmlShp02_Remake_0_0.png")</f>
        <v/>
      </c>
      <c r="C1058" s="21" t="s">
        <v>219</v>
      </c>
      <c r="D1058" s="21" t="s">
        <v>51</v>
      </c>
      <c r="E1058" s="21">
        <v>10.0</v>
      </c>
      <c r="F1058" s="21" t="s">
        <v>2289</v>
      </c>
      <c r="G1058" s="19"/>
      <c r="H1058" s="19"/>
      <c r="I1058" s="19"/>
    </row>
    <row r="1059" ht="56.25" customHeight="1">
      <c r="A1059" s="21" t="s">
        <v>3604</v>
      </c>
      <c r="B1059" s="19" t="str">
        <f>image("https://storage.googleapis.com/acdb/photos/BromideNpcNmlShp02_Remake_1_0.png")</f>
        <v/>
      </c>
      <c r="C1059" s="21" t="s">
        <v>795</v>
      </c>
      <c r="D1059" s="21" t="s">
        <v>51</v>
      </c>
      <c r="E1059" s="21">
        <v>10.0</v>
      </c>
      <c r="F1059" s="21" t="s">
        <v>2289</v>
      </c>
      <c r="G1059" s="19"/>
      <c r="H1059" s="19"/>
      <c r="I1059" s="19"/>
    </row>
    <row r="1060" ht="56.25" customHeight="1">
      <c r="A1060" s="21" t="s">
        <v>3604</v>
      </c>
      <c r="B1060" s="19" t="str">
        <f>image("https://storage.googleapis.com/acdb/photos/BromideNpcNmlShp02_Remake_2_0.png")</f>
        <v/>
      </c>
      <c r="C1060" s="21" t="s">
        <v>954</v>
      </c>
      <c r="D1060" s="21" t="s">
        <v>51</v>
      </c>
      <c r="E1060" s="21">
        <v>10.0</v>
      </c>
      <c r="F1060" s="21" t="s">
        <v>2289</v>
      </c>
      <c r="G1060" s="19"/>
      <c r="H1060" s="19"/>
      <c r="I1060" s="19"/>
    </row>
    <row r="1061" ht="56.25" customHeight="1">
      <c r="A1061" s="21" t="s">
        <v>3604</v>
      </c>
      <c r="B1061" s="19" t="str">
        <f>image("https://storage.googleapis.com/acdb/photos/BromideNpcNmlShp02_Remake_3_0.png")</f>
        <v/>
      </c>
      <c r="C1061" s="21" t="s">
        <v>82</v>
      </c>
      <c r="D1061" s="21" t="s">
        <v>51</v>
      </c>
      <c r="E1061" s="21">
        <v>10.0</v>
      </c>
      <c r="F1061" s="21" t="s">
        <v>2289</v>
      </c>
      <c r="G1061" s="19"/>
      <c r="H1061" s="19"/>
      <c r="I1061" s="19"/>
    </row>
    <row r="1062" ht="56.25" customHeight="1">
      <c r="A1062" s="21" t="s">
        <v>3604</v>
      </c>
      <c r="B1062" s="19" t="str">
        <f>image("https://storage.googleapis.com/acdb/photos/BromideNpcNmlShp02_Remake_4_0.png")</f>
        <v/>
      </c>
      <c r="C1062" s="21" t="s">
        <v>833</v>
      </c>
      <c r="D1062" s="21" t="s">
        <v>51</v>
      </c>
      <c r="E1062" s="21">
        <v>10.0</v>
      </c>
      <c r="F1062" s="21" t="s">
        <v>2289</v>
      </c>
      <c r="G1062" s="19"/>
      <c r="H1062" s="19"/>
      <c r="I1062" s="19"/>
    </row>
    <row r="1063" ht="56.25" customHeight="1">
      <c r="A1063" s="21" t="s">
        <v>3604</v>
      </c>
      <c r="B1063" s="19" t="str">
        <f>image("https://storage.googleapis.com/acdb/photos/BromideNpcNmlShp02_Remake_5_0.png")</f>
        <v/>
      </c>
      <c r="C1063" s="21" t="s">
        <v>258</v>
      </c>
      <c r="D1063" s="21" t="s">
        <v>51</v>
      </c>
      <c r="E1063" s="21">
        <v>10.0</v>
      </c>
      <c r="F1063" s="21" t="s">
        <v>2289</v>
      </c>
      <c r="G1063" s="19"/>
      <c r="H1063" s="19"/>
      <c r="I1063" s="19"/>
    </row>
    <row r="1064" ht="56.25" customHeight="1">
      <c r="A1064" s="21" t="s">
        <v>3604</v>
      </c>
      <c r="B1064" s="19" t="str">
        <f>image("https://storage.googleapis.com/acdb/photos/BromideNpcNmlShp02_Remake_6_0.png")</f>
        <v/>
      </c>
      <c r="C1064" s="21" t="s">
        <v>182</v>
      </c>
      <c r="D1064" s="21" t="s">
        <v>51</v>
      </c>
      <c r="E1064" s="21">
        <v>10.0</v>
      </c>
      <c r="F1064" s="21" t="s">
        <v>2289</v>
      </c>
      <c r="G1064" s="19"/>
      <c r="H1064" s="19"/>
      <c r="I1064" s="19"/>
    </row>
    <row r="1065" ht="56.25" customHeight="1">
      <c r="A1065" s="21" t="s">
        <v>3604</v>
      </c>
      <c r="B1065" s="19" t="str">
        <f>image("https://storage.googleapis.com/acdb/photos/BromideNpcNmlShp02_Remake_7_0.png")</f>
        <v/>
      </c>
      <c r="C1065" s="21" t="s">
        <v>187</v>
      </c>
      <c r="D1065" s="21" t="s">
        <v>51</v>
      </c>
      <c r="E1065" s="21">
        <v>10.0</v>
      </c>
      <c r="F1065" s="21" t="s">
        <v>2289</v>
      </c>
      <c r="G1065" s="19"/>
      <c r="H1065" s="19"/>
      <c r="I1065" s="19"/>
    </row>
    <row r="1066" ht="56.25" customHeight="1">
      <c r="A1066" s="21" t="s">
        <v>3612</v>
      </c>
      <c r="B1066" s="19" t="str">
        <f>image("https://storage.googleapis.com/acdb/photos/BromideNpcNmlWol06_Remake_0_0.png")</f>
        <v/>
      </c>
      <c r="C1066" s="21" t="s">
        <v>219</v>
      </c>
      <c r="D1066" s="21" t="s">
        <v>51</v>
      </c>
      <c r="E1066" s="21">
        <v>10.0</v>
      </c>
      <c r="F1066" s="21" t="s">
        <v>2289</v>
      </c>
      <c r="G1066" s="19"/>
      <c r="H1066" s="19"/>
      <c r="I1066" s="19"/>
    </row>
    <row r="1067" ht="56.25" customHeight="1">
      <c r="A1067" s="21" t="s">
        <v>3612</v>
      </c>
      <c r="B1067" s="19" t="str">
        <f>image("https://storage.googleapis.com/acdb/photos/BromideNpcNmlWol06_Remake_1_0.png")</f>
        <v/>
      </c>
      <c r="C1067" s="21" t="s">
        <v>795</v>
      </c>
      <c r="D1067" s="21" t="s">
        <v>51</v>
      </c>
      <c r="E1067" s="21">
        <v>10.0</v>
      </c>
      <c r="F1067" s="21" t="s">
        <v>2289</v>
      </c>
      <c r="G1067" s="19"/>
      <c r="H1067" s="19"/>
      <c r="I1067" s="19"/>
    </row>
    <row r="1068" ht="56.25" customHeight="1">
      <c r="A1068" s="21" t="s">
        <v>3612</v>
      </c>
      <c r="B1068" s="19" t="str">
        <f>image("https://storage.googleapis.com/acdb/photos/BromideNpcNmlWol06_Remake_2_0.png")</f>
        <v/>
      </c>
      <c r="C1068" s="21" t="s">
        <v>954</v>
      </c>
      <c r="D1068" s="21" t="s">
        <v>51</v>
      </c>
      <c r="E1068" s="21">
        <v>10.0</v>
      </c>
      <c r="F1068" s="21" t="s">
        <v>2289</v>
      </c>
      <c r="G1068" s="19"/>
      <c r="H1068" s="19"/>
      <c r="I1068" s="19"/>
    </row>
    <row r="1069" ht="56.25" customHeight="1">
      <c r="A1069" s="21" t="s">
        <v>3612</v>
      </c>
      <c r="B1069" s="19" t="str">
        <f>image("https://storage.googleapis.com/acdb/photos/BromideNpcNmlWol06_Remake_3_0.png")</f>
        <v/>
      </c>
      <c r="C1069" s="21" t="s">
        <v>82</v>
      </c>
      <c r="D1069" s="21" t="s">
        <v>51</v>
      </c>
      <c r="E1069" s="21">
        <v>10.0</v>
      </c>
      <c r="F1069" s="21" t="s">
        <v>2289</v>
      </c>
      <c r="G1069" s="19"/>
      <c r="H1069" s="19"/>
      <c r="I1069" s="19"/>
    </row>
    <row r="1070" ht="56.25" customHeight="1">
      <c r="A1070" s="21" t="s">
        <v>3612</v>
      </c>
      <c r="B1070" s="19" t="str">
        <f>image("https://storage.googleapis.com/acdb/photos/BromideNpcNmlWol06_Remake_4_0.png")</f>
        <v/>
      </c>
      <c r="C1070" s="21" t="s">
        <v>833</v>
      </c>
      <c r="D1070" s="21" t="s">
        <v>51</v>
      </c>
      <c r="E1070" s="21">
        <v>10.0</v>
      </c>
      <c r="F1070" s="21" t="s">
        <v>2289</v>
      </c>
      <c r="G1070" s="19"/>
      <c r="H1070" s="19"/>
      <c r="I1070" s="19"/>
    </row>
    <row r="1071" ht="56.25" customHeight="1">
      <c r="A1071" s="21" t="s">
        <v>3612</v>
      </c>
      <c r="B1071" s="19" t="str">
        <f>image("https://storage.googleapis.com/acdb/photos/BromideNpcNmlWol06_Remake_5_0.png")</f>
        <v/>
      </c>
      <c r="C1071" s="21" t="s">
        <v>258</v>
      </c>
      <c r="D1071" s="21" t="s">
        <v>51</v>
      </c>
      <c r="E1071" s="21">
        <v>10.0</v>
      </c>
      <c r="F1071" s="21" t="s">
        <v>2289</v>
      </c>
      <c r="G1071" s="19"/>
      <c r="H1071" s="19"/>
      <c r="I1071" s="19"/>
    </row>
    <row r="1072" ht="56.25" customHeight="1">
      <c r="A1072" s="21" t="s">
        <v>3612</v>
      </c>
      <c r="B1072" s="19" t="str">
        <f>image("https://storage.googleapis.com/acdb/photos/BromideNpcNmlWol06_Remake_6_0.png")</f>
        <v/>
      </c>
      <c r="C1072" s="21" t="s">
        <v>182</v>
      </c>
      <c r="D1072" s="21" t="s">
        <v>51</v>
      </c>
      <c r="E1072" s="21">
        <v>10.0</v>
      </c>
      <c r="F1072" s="21" t="s">
        <v>2289</v>
      </c>
      <c r="G1072" s="19"/>
      <c r="H1072" s="19"/>
      <c r="I1072" s="19"/>
    </row>
    <row r="1073" ht="56.25" customHeight="1">
      <c r="A1073" s="21" t="s">
        <v>3612</v>
      </c>
      <c r="B1073" s="19" t="str">
        <f>image("https://storage.googleapis.com/acdb/photos/BromideNpcNmlWol06_Remake_7_0.png")</f>
        <v/>
      </c>
      <c r="C1073" s="21" t="s">
        <v>187</v>
      </c>
      <c r="D1073" s="21" t="s">
        <v>51</v>
      </c>
      <c r="E1073" s="21">
        <v>10.0</v>
      </c>
      <c r="F1073" s="21" t="s">
        <v>2289</v>
      </c>
      <c r="G1073" s="19"/>
      <c r="H1073" s="19"/>
      <c r="I1073" s="19"/>
    </row>
    <row r="1074" ht="56.25" customHeight="1">
      <c r="A1074" s="21" t="s">
        <v>3621</v>
      </c>
      <c r="B1074" s="19" t="str">
        <f>image("https://storage.googleapis.com/acdb/photos/BromideNpcNmlDer00_Remake_0_0.png")</f>
        <v/>
      </c>
      <c r="C1074" s="21" t="s">
        <v>219</v>
      </c>
      <c r="D1074" s="21" t="s">
        <v>51</v>
      </c>
      <c r="E1074" s="21">
        <v>10.0</v>
      </c>
      <c r="F1074" s="21" t="s">
        <v>2289</v>
      </c>
      <c r="G1074" s="19"/>
      <c r="H1074" s="19"/>
      <c r="I1074" s="19"/>
    </row>
    <row r="1075" ht="56.25" customHeight="1">
      <c r="A1075" s="21" t="s">
        <v>3621</v>
      </c>
      <c r="B1075" s="19" t="str">
        <f>image("https://storage.googleapis.com/acdb/photos/BromideNpcNmlDer00_Remake_1_0.png")</f>
        <v/>
      </c>
      <c r="C1075" s="21" t="s">
        <v>795</v>
      </c>
      <c r="D1075" s="21" t="s">
        <v>51</v>
      </c>
      <c r="E1075" s="21">
        <v>10.0</v>
      </c>
      <c r="F1075" s="21" t="s">
        <v>2289</v>
      </c>
      <c r="G1075" s="19"/>
      <c r="H1075" s="19"/>
      <c r="I1075" s="19"/>
    </row>
    <row r="1076" ht="56.25" customHeight="1">
      <c r="A1076" s="21" t="s">
        <v>3621</v>
      </c>
      <c r="B1076" s="19" t="str">
        <f>image("https://storage.googleapis.com/acdb/photos/BromideNpcNmlDer00_Remake_2_0.png")</f>
        <v/>
      </c>
      <c r="C1076" s="21" t="s">
        <v>954</v>
      </c>
      <c r="D1076" s="21" t="s">
        <v>51</v>
      </c>
      <c r="E1076" s="21">
        <v>10.0</v>
      </c>
      <c r="F1076" s="21" t="s">
        <v>2289</v>
      </c>
      <c r="G1076" s="19"/>
      <c r="H1076" s="19"/>
      <c r="I1076" s="19"/>
    </row>
    <row r="1077" ht="56.25" customHeight="1">
      <c r="A1077" s="21" t="s">
        <v>3621</v>
      </c>
      <c r="B1077" s="19" t="str">
        <f>image("https://storage.googleapis.com/acdb/photos/BromideNpcNmlDer00_Remake_3_0.png")</f>
        <v/>
      </c>
      <c r="C1077" s="21" t="s">
        <v>82</v>
      </c>
      <c r="D1077" s="21" t="s">
        <v>51</v>
      </c>
      <c r="E1077" s="21">
        <v>10.0</v>
      </c>
      <c r="F1077" s="21" t="s">
        <v>2289</v>
      </c>
      <c r="G1077" s="19"/>
      <c r="H1077" s="19"/>
      <c r="I1077" s="19"/>
    </row>
    <row r="1078" ht="56.25" customHeight="1">
      <c r="A1078" s="21" t="s">
        <v>3621</v>
      </c>
      <c r="B1078" s="19" t="str">
        <f>image("https://storage.googleapis.com/acdb/photos/BromideNpcNmlDer00_Remake_4_0.png")</f>
        <v/>
      </c>
      <c r="C1078" s="21" t="s">
        <v>833</v>
      </c>
      <c r="D1078" s="21" t="s">
        <v>51</v>
      </c>
      <c r="E1078" s="21">
        <v>10.0</v>
      </c>
      <c r="F1078" s="21" t="s">
        <v>2289</v>
      </c>
      <c r="G1078" s="19"/>
      <c r="H1078" s="19"/>
      <c r="I1078" s="19"/>
    </row>
    <row r="1079" ht="56.25" customHeight="1">
      <c r="A1079" s="21" t="s">
        <v>3621</v>
      </c>
      <c r="B1079" s="19" t="str">
        <f>image("https://storage.googleapis.com/acdb/photos/BromideNpcNmlDer00_Remake_5_0.png")</f>
        <v/>
      </c>
      <c r="C1079" s="21" t="s">
        <v>258</v>
      </c>
      <c r="D1079" s="21" t="s">
        <v>51</v>
      </c>
      <c r="E1079" s="21">
        <v>10.0</v>
      </c>
      <c r="F1079" s="21" t="s">
        <v>2289</v>
      </c>
      <c r="G1079" s="19"/>
      <c r="H1079" s="19"/>
      <c r="I1079" s="19"/>
    </row>
    <row r="1080" ht="56.25" customHeight="1">
      <c r="A1080" s="21" t="s">
        <v>3621</v>
      </c>
      <c r="B1080" s="19" t="str">
        <f>image("https://storage.googleapis.com/acdb/photos/BromideNpcNmlDer00_Remake_6_0.png")</f>
        <v/>
      </c>
      <c r="C1080" s="21" t="s">
        <v>182</v>
      </c>
      <c r="D1080" s="21" t="s">
        <v>51</v>
      </c>
      <c r="E1080" s="21">
        <v>10.0</v>
      </c>
      <c r="F1080" s="21" t="s">
        <v>2289</v>
      </c>
      <c r="G1080" s="19"/>
      <c r="H1080" s="19"/>
      <c r="I1080" s="19"/>
    </row>
    <row r="1081" ht="56.25" customHeight="1">
      <c r="A1081" s="21" t="s">
        <v>3621</v>
      </c>
      <c r="B1081" s="19" t="str">
        <f>image("https://storage.googleapis.com/acdb/photos/BromideNpcNmlDer00_Remake_7_0.png")</f>
        <v/>
      </c>
      <c r="C1081" s="21" t="s">
        <v>187</v>
      </c>
      <c r="D1081" s="21" t="s">
        <v>51</v>
      </c>
      <c r="E1081" s="21">
        <v>10.0</v>
      </c>
      <c r="F1081" s="21" t="s">
        <v>2289</v>
      </c>
      <c r="G1081" s="19"/>
      <c r="H1081" s="19"/>
      <c r="I1081" s="19"/>
    </row>
    <row r="1082" ht="56.25" customHeight="1">
      <c r="A1082" s="21" t="s">
        <v>3632</v>
      </c>
      <c r="B1082" s="19" t="str">
        <f>image("https://storage.googleapis.com/acdb/photos/BromideNpcNmlCat17_Remake_0_0.png")</f>
        <v/>
      </c>
      <c r="C1082" s="21" t="s">
        <v>219</v>
      </c>
      <c r="D1082" s="21" t="s">
        <v>51</v>
      </c>
      <c r="E1082" s="21">
        <v>10.0</v>
      </c>
      <c r="F1082" s="21" t="s">
        <v>2289</v>
      </c>
      <c r="G1082" s="19"/>
      <c r="H1082" s="19"/>
      <c r="I1082" s="19"/>
    </row>
    <row r="1083" ht="56.25" customHeight="1">
      <c r="A1083" s="21" t="s">
        <v>3632</v>
      </c>
      <c r="B1083" s="19" t="str">
        <f>image("https://storage.googleapis.com/acdb/photos/BromideNpcNmlCat17_Remake_1_0.png")</f>
        <v/>
      </c>
      <c r="C1083" s="21" t="s">
        <v>795</v>
      </c>
      <c r="D1083" s="21" t="s">
        <v>51</v>
      </c>
      <c r="E1083" s="21">
        <v>10.0</v>
      </c>
      <c r="F1083" s="21" t="s">
        <v>2289</v>
      </c>
      <c r="G1083" s="19"/>
      <c r="H1083" s="19"/>
      <c r="I1083" s="19"/>
    </row>
    <row r="1084" ht="56.25" customHeight="1">
      <c r="A1084" s="21" t="s">
        <v>3632</v>
      </c>
      <c r="B1084" s="19" t="str">
        <f>image("https://storage.googleapis.com/acdb/photos/BromideNpcNmlCat17_Remake_2_0.png")</f>
        <v/>
      </c>
      <c r="C1084" s="21" t="s">
        <v>954</v>
      </c>
      <c r="D1084" s="21" t="s">
        <v>51</v>
      </c>
      <c r="E1084" s="21">
        <v>10.0</v>
      </c>
      <c r="F1084" s="21" t="s">
        <v>2289</v>
      </c>
      <c r="G1084" s="19"/>
      <c r="H1084" s="19"/>
      <c r="I1084" s="19"/>
    </row>
    <row r="1085" ht="56.25" customHeight="1">
      <c r="A1085" s="21" t="s">
        <v>3632</v>
      </c>
      <c r="B1085" s="19" t="str">
        <f>image("https://storage.googleapis.com/acdb/photos/BromideNpcNmlCat17_Remake_3_0.png")</f>
        <v/>
      </c>
      <c r="C1085" s="21" t="s">
        <v>82</v>
      </c>
      <c r="D1085" s="21" t="s">
        <v>51</v>
      </c>
      <c r="E1085" s="21">
        <v>10.0</v>
      </c>
      <c r="F1085" s="21" t="s">
        <v>2289</v>
      </c>
      <c r="G1085" s="19"/>
      <c r="H1085" s="19"/>
      <c r="I1085" s="19"/>
    </row>
    <row r="1086" ht="56.25" customHeight="1">
      <c r="A1086" s="21" t="s">
        <v>3632</v>
      </c>
      <c r="B1086" s="19" t="str">
        <f>image("https://storage.googleapis.com/acdb/photos/BromideNpcNmlCat17_Remake_4_0.png")</f>
        <v/>
      </c>
      <c r="C1086" s="21" t="s">
        <v>833</v>
      </c>
      <c r="D1086" s="21" t="s">
        <v>51</v>
      </c>
      <c r="E1086" s="21">
        <v>10.0</v>
      </c>
      <c r="F1086" s="21" t="s">
        <v>2289</v>
      </c>
      <c r="G1086" s="19"/>
      <c r="H1086" s="19"/>
      <c r="I1086" s="19"/>
    </row>
    <row r="1087" ht="56.25" customHeight="1">
      <c r="A1087" s="21" t="s">
        <v>3632</v>
      </c>
      <c r="B1087" s="19" t="str">
        <f>image("https://storage.googleapis.com/acdb/photos/BromideNpcNmlCat17_Remake_5_0.png")</f>
        <v/>
      </c>
      <c r="C1087" s="21" t="s">
        <v>258</v>
      </c>
      <c r="D1087" s="21" t="s">
        <v>51</v>
      </c>
      <c r="E1087" s="21">
        <v>10.0</v>
      </c>
      <c r="F1087" s="21" t="s">
        <v>2289</v>
      </c>
      <c r="G1087" s="19"/>
      <c r="H1087" s="19"/>
      <c r="I1087" s="19"/>
    </row>
    <row r="1088" ht="56.25" customHeight="1">
      <c r="A1088" s="21" t="s">
        <v>3632</v>
      </c>
      <c r="B1088" s="19" t="str">
        <f>image("https://storage.googleapis.com/acdb/photos/BromideNpcNmlCat17_Remake_6_0.png")</f>
        <v/>
      </c>
      <c r="C1088" s="21" t="s">
        <v>182</v>
      </c>
      <c r="D1088" s="21" t="s">
        <v>51</v>
      </c>
      <c r="E1088" s="21">
        <v>10.0</v>
      </c>
      <c r="F1088" s="21" t="s">
        <v>2289</v>
      </c>
      <c r="G1088" s="19"/>
      <c r="H1088" s="19"/>
      <c r="I1088" s="19"/>
    </row>
    <row r="1089" ht="56.25" customHeight="1">
      <c r="A1089" s="21" t="s">
        <v>3632</v>
      </c>
      <c r="B1089" s="19" t="str">
        <f>image("https://storage.googleapis.com/acdb/photos/BromideNpcNmlCat17_Remake_7_0.png")</f>
        <v/>
      </c>
      <c r="C1089" s="21" t="s">
        <v>187</v>
      </c>
      <c r="D1089" s="21" t="s">
        <v>51</v>
      </c>
      <c r="E1089" s="21">
        <v>10.0</v>
      </c>
      <c r="F1089" s="21" t="s">
        <v>2289</v>
      </c>
      <c r="G1089" s="19"/>
      <c r="H1089" s="19"/>
      <c r="I1089" s="19"/>
    </row>
    <row r="1090" ht="56.25" customHeight="1">
      <c r="A1090" s="21" t="s">
        <v>3640</v>
      </c>
      <c r="B1090" s="19" t="str">
        <f>image("https://storage.googleapis.com/acdb/photos/BromideNpcNmlSqu02_Remake_0_0.png")</f>
        <v/>
      </c>
      <c r="C1090" s="21" t="s">
        <v>219</v>
      </c>
      <c r="D1090" s="21" t="s">
        <v>51</v>
      </c>
      <c r="E1090" s="21">
        <v>10.0</v>
      </c>
      <c r="F1090" s="21" t="s">
        <v>2289</v>
      </c>
      <c r="G1090" s="19"/>
      <c r="H1090" s="19"/>
      <c r="I1090" s="19"/>
    </row>
    <row r="1091" ht="56.25" customHeight="1">
      <c r="A1091" s="21" t="s">
        <v>3640</v>
      </c>
      <c r="B1091" s="19" t="str">
        <f>image("https://storage.googleapis.com/acdb/photos/BromideNpcNmlSqu02_Remake_1_0.png")</f>
        <v/>
      </c>
      <c r="C1091" s="21" t="s">
        <v>795</v>
      </c>
      <c r="D1091" s="21" t="s">
        <v>51</v>
      </c>
      <c r="E1091" s="21">
        <v>10.0</v>
      </c>
      <c r="F1091" s="21" t="s">
        <v>2289</v>
      </c>
      <c r="G1091" s="19"/>
      <c r="H1091" s="19"/>
      <c r="I1091" s="19"/>
    </row>
    <row r="1092" ht="56.25" customHeight="1">
      <c r="A1092" s="21" t="s">
        <v>3640</v>
      </c>
      <c r="B1092" s="19" t="str">
        <f>image("https://storage.googleapis.com/acdb/photos/BromideNpcNmlSqu02_Remake_2_0.png")</f>
        <v/>
      </c>
      <c r="C1092" s="21" t="s">
        <v>954</v>
      </c>
      <c r="D1092" s="21" t="s">
        <v>51</v>
      </c>
      <c r="E1092" s="21">
        <v>10.0</v>
      </c>
      <c r="F1092" s="21" t="s">
        <v>2289</v>
      </c>
      <c r="G1092" s="19"/>
      <c r="H1092" s="19"/>
      <c r="I1092" s="19"/>
    </row>
    <row r="1093" ht="56.25" customHeight="1">
      <c r="A1093" s="21" t="s">
        <v>3640</v>
      </c>
      <c r="B1093" s="19" t="str">
        <f>image("https://storage.googleapis.com/acdb/photos/BromideNpcNmlSqu02_Remake_3_0.png")</f>
        <v/>
      </c>
      <c r="C1093" s="21" t="s">
        <v>82</v>
      </c>
      <c r="D1093" s="21" t="s">
        <v>51</v>
      </c>
      <c r="E1093" s="21">
        <v>10.0</v>
      </c>
      <c r="F1093" s="21" t="s">
        <v>2289</v>
      </c>
      <c r="G1093" s="19"/>
      <c r="H1093" s="19"/>
      <c r="I1093" s="19"/>
    </row>
    <row r="1094" ht="56.25" customHeight="1">
      <c r="A1094" s="21" t="s">
        <v>3640</v>
      </c>
      <c r="B1094" s="19" t="str">
        <f>image("https://storage.googleapis.com/acdb/photos/BromideNpcNmlSqu02_Remake_4_0.png")</f>
        <v/>
      </c>
      <c r="C1094" s="21" t="s">
        <v>833</v>
      </c>
      <c r="D1094" s="21" t="s">
        <v>51</v>
      </c>
      <c r="E1094" s="21">
        <v>10.0</v>
      </c>
      <c r="F1094" s="21" t="s">
        <v>2289</v>
      </c>
      <c r="G1094" s="19"/>
      <c r="H1094" s="19"/>
      <c r="I1094" s="19"/>
    </row>
    <row r="1095" ht="56.25" customHeight="1">
      <c r="A1095" s="21" t="s">
        <v>3640</v>
      </c>
      <c r="B1095" s="19" t="str">
        <f>image("https://storage.googleapis.com/acdb/photos/BromideNpcNmlSqu02_Remake_5_0.png")</f>
        <v/>
      </c>
      <c r="C1095" s="21" t="s">
        <v>258</v>
      </c>
      <c r="D1095" s="21" t="s">
        <v>51</v>
      </c>
      <c r="E1095" s="21">
        <v>10.0</v>
      </c>
      <c r="F1095" s="21" t="s">
        <v>2289</v>
      </c>
      <c r="G1095" s="19"/>
      <c r="H1095" s="19"/>
      <c r="I1095" s="19"/>
    </row>
    <row r="1096" ht="56.25" customHeight="1">
      <c r="A1096" s="21" t="s">
        <v>3640</v>
      </c>
      <c r="B1096" s="19" t="str">
        <f>image("https://storage.googleapis.com/acdb/photos/BromideNpcNmlSqu02_Remake_6_0.png")</f>
        <v/>
      </c>
      <c r="C1096" s="21" t="s">
        <v>182</v>
      </c>
      <c r="D1096" s="21" t="s">
        <v>51</v>
      </c>
      <c r="E1096" s="21">
        <v>10.0</v>
      </c>
      <c r="F1096" s="21" t="s">
        <v>2289</v>
      </c>
      <c r="G1096" s="19"/>
      <c r="H1096" s="19"/>
      <c r="I1096" s="19"/>
    </row>
    <row r="1097" ht="56.25" customHeight="1">
      <c r="A1097" s="21" t="s">
        <v>3640</v>
      </c>
      <c r="B1097" s="19" t="str">
        <f>image("https://storage.googleapis.com/acdb/photos/BromideNpcNmlSqu02_Remake_7_0.png")</f>
        <v/>
      </c>
      <c r="C1097" s="21" t="s">
        <v>187</v>
      </c>
      <c r="D1097" s="21" t="s">
        <v>51</v>
      </c>
      <c r="E1097" s="21">
        <v>10.0</v>
      </c>
      <c r="F1097" s="21" t="s">
        <v>2289</v>
      </c>
      <c r="G1097" s="19"/>
      <c r="H1097" s="19"/>
      <c r="I1097" s="19"/>
    </row>
    <row r="1098" ht="56.25" customHeight="1">
      <c r="A1098" s="21" t="s">
        <v>3647</v>
      </c>
      <c r="B1098" s="19" t="str">
        <f>image("https://storage.googleapis.com/acdb/photos/BromideNpcNmlMnk06_Remake_0_0.png")</f>
        <v/>
      </c>
      <c r="C1098" s="21" t="s">
        <v>219</v>
      </c>
      <c r="D1098" s="21" t="s">
        <v>51</v>
      </c>
      <c r="E1098" s="21">
        <v>10.0</v>
      </c>
      <c r="F1098" s="21" t="s">
        <v>2289</v>
      </c>
      <c r="G1098" s="19"/>
      <c r="H1098" s="19"/>
      <c r="I1098" s="19"/>
    </row>
    <row r="1099" ht="56.25" customHeight="1">
      <c r="A1099" s="21" t="s">
        <v>3647</v>
      </c>
      <c r="B1099" s="19" t="str">
        <f>image("https://storage.googleapis.com/acdb/photos/BromideNpcNmlMnk06_Remake_1_0.png")</f>
        <v/>
      </c>
      <c r="C1099" s="21" t="s">
        <v>795</v>
      </c>
      <c r="D1099" s="21" t="s">
        <v>51</v>
      </c>
      <c r="E1099" s="21">
        <v>10.0</v>
      </c>
      <c r="F1099" s="21" t="s">
        <v>2289</v>
      </c>
      <c r="G1099" s="19"/>
      <c r="H1099" s="19"/>
      <c r="I1099" s="19"/>
    </row>
    <row r="1100" ht="56.25" customHeight="1">
      <c r="A1100" s="21" t="s">
        <v>3647</v>
      </c>
      <c r="B1100" s="19" t="str">
        <f>image("https://storage.googleapis.com/acdb/photos/BromideNpcNmlMnk06_Remake_2_0.png")</f>
        <v/>
      </c>
      <c r="C1100" s="21" t="s">
        <v>954</v>
      </c>
      <c r="D1100" s="21" t="s">
        <v>51</v>
      </c>
      <c r="E1100" s="21">
        <v>10.0</v>
      </c>
      <c r="F1100" s="21" t="s">
        <v>2289</v>
      </c>
      <c r="G1100" s="19"/>
      <c r="H1100" s="19"/>
      <c r="I1100" s="19"/>
    </row>
    <row r="1101" ht="56.25" customHeight="1">
      <c r="A1101" s="21" t="s">
        <v>3647</v>
      </c>
      <c r="B1101" s="19" t="str">
        <f>image("https://storage.googleapis.com/acdb/photos/BromideNpcNmlMnk06_Remake_3_0.png")</f>
        <v/>
      </c>
      <c r="C1101" s="21" t="s">
        <v>82</v>
      </c>
      <c r="D1101" s="21" t="s">
        <v>51</v>
      </c>
      <c r="E1101" s="21">
        <v>10.0</v>
      </c>
      <c r="F1101" s="21" t="s">
        <v>2289</v>
      </c>
      <c r="G1101" s="19"/>
      <c r="H1101" s="19"/>
      <c r="I1101" s="19"/>
    </row>
    <row r="1102" ht="56.25" customHeight="1">
      <c r="A1102" s="21" t="s">
        <v>3647</v>
      </c>
      <c r="B1102" s="19" t="str">
        <f>image("https://storage.googleapis.com/acdb/photos/BromideNpcNmlMnk06_Remake_4_0.png")</f>
        <v/>
      </c>
      <c r="C1102" s="21" t="s">
        <v>833</v>
      </c>
      <c r="D1102" s="21" t="s">
        <v>51</v>
      </c>
      <c r="E1102" s="21">
        <v>10.0</v>
      </c>
      <c r="F1102" s="21" t="s">
        <v>2289</v>
      </c>
      <c r="G1102" s="19"/>
      <c r="H1102" s="19"/>
      <c r="I1102" s="19"/>
    </row>
    <row r="1103" ht="56.25" customHeight="1">
      <c r="A1103" s="21" t="s">
        <v>3647</v>
      </c>
      <c r="B1103" s="19" t="str">
        <f>image("https://storage.googleapis.com/acdb/photos/BromideNpcNmlMnk06_Remake_5_0.png")</f>
        <v/>
      </c>
      <c r="C1103" s="21" t="s">
        <v>258</v>
      </c>
      <c r="D1103" s="21" t="s">
        <v>51</v>
      </c>
      <c r="E1103" s="21">
        <v>10.0</v>
      </c>
      <c r="F1103" s="21" t="s">
        <v>2289</v>
      </c>
      <c r="G1103" s="19"/>
      <c r="H1103" s="19"/>
      <c r="I1103" s="19"/>
    </row>
    <row r="1104" ht="56.25" customHeight="1">
      <c r="A1104" s="21" t="s">
        <v>3647</v>
      </c>
      <c r="B1104" s="19" t="str">
        <f>image("https://storage.googleapis.com/acdb/photos/BromideNpcNmlMnk06_Remake_6_0.png")</f>
        <v/>
      </c>
      <c r="C1104" s="21" t="s">
        <v>182</v>
      </c>
      <c r="D1104" s="21" t="s">
        <v>51</v>
      </c>
      <c r="E1104" s="21">
        <v>10.0</v>
      </c>
      <c r="F1104" s="21" t="s">
        <v>2289</v>
      </c>
      <c r="G1104" s="19"/>
      <c r="H1104" s="19"/>
      <c r="I1104" s="19"/>
    </row>
    <row r="1105" ht="56.25" customHeight="1">
      <c r="A1105" s="21" t="s">
        <v>3647</v>
      </c>
      <c r="B1105" s="19" t="str">
        <f>image("https://storage.googleapis.com/acdb/photos/BromideNpcNmlMnk06_Remake_7_0.png")</f>
        <v/>
      </c>
      <c r="C1105" s="21" t="s">
        <v>187</v>
      </c>
      <c r="D1105" s="21" t="s">
        <v>51</v>
      </c>
      <c r="E1105" s="21">
        <v>10.0</v>
      </c>
      <c r="F1105" s="21" t="s">
        <v>2289</v>
      </c>
      <c r="G1105" s="19"/>
      <c r="H1105" s="19"/>
      <c r="I1105" s="19"/>
    </row>
    <row r="1106" ht="56.25" customHeight="1">
      <c r="A1106" s="21" t="s">
        <v>3654</v>
      </c>
      <c r="B1106" s="19" t="str">
        <f>image("https://storage.googleapis.com/acdb/photos/BromideNpcNmlPgn13_Remake_0_0.png")</f>
        <v/>
      </c>
      <c r="C1106" s="21" t="s">
        <v>219</v>
      </c>
      <c r="D1106" s="21" t="s">
        <v>51</v>
      </c>
      <c r="E1106" s="21">
        <v>10.0</v>
      </c>
      <c r="F1106" s="21" t="s">
        <v>2289</v>
      </c>
      <c r="G1106" s="19"/>
      <c r="H1106" s="19"/>
      <c r="I1106" s="19"/>
    </row>
    <row r="1107" ht="56.25" customHeight="1">
      <c r="A1107" s="21" t="s">
        <v>3654</v>
      </c>
      <c r="B1107" s="19" t="str">
        <f>image("https://storage.googleapis.com/acdb/photos/BromideNpcNmlPgn13_Remake_1_0.png")</f>
        <v/>
      </c>
      <c r="C1107" s="21" t="s">
        <v>795</v>
      </c>
      <c r="D1107" s="21" t="s">
        <v>51</v>
      </c>
      <c r="E1107" s="21">
        <v>10.0</v>
      </c>
      <c r="F1107" s="21" t="s">
        <v>2289</v>
      </c>
      <c r="G1107" s="19"/>
      <c r="H1107" s="19"/>
      <c r="I1107" s="19"/>
    </row>
    <row r="1108" ht="56.25" customHeight="1">
      <c r="A1108" s="21" t="s">
        <v>3654</v>
      </c>
      <c r="B1108" s="19" t="str">
        <f>image("https://storage.googleapis.com/acdb/photos/BromideNpcNmlPgn13_Remake_2_0.png")</f>
        <v/>
      </c>
      <c r="C1108" s="21" t="s">
        <v>954</v>
      </c>
      <c r="D1108" s="21" t="s">
        <v>51</v>
      </c>
      <c r="E1108" s="21">
        <v>10.0</v>
      </c>
      <c r="F1108" s="21" t="s">
        <v>2289</v>
      </c>
      <c r="G1108" s="19"/>
      <c r="H1108" s="19"/>
      <c r="I1108" s="19"/>
    </row>
    <row r="1109" ht="56.25" customHeight="1">
      <c r="A1109" s="21" t="s">
        <v>3654</v>
      </c>
      <c r="B1109" s="19" t="str">
        <f>image("https://storage.googleapis.com/acdb/photos/BromideNpcNmlPgn13_Remake_3_0.png")</f>
        <v/>
      </c>
      <c r="C1109" s="21" t="s">
        <v>82</v>
      </c>
      <c r="D1109" s="21" t="s">
        <v>51</v>
      </c>
      <c r="E1109" s="21">
        <v>10.0</v>
      </c>
      <c r="F1109" s="21" t="s">
        <v>2289</v>
      </c>
      <c r="G1109" s="19"/>
      <c r="H1109" s="19"/>
      <c r="I1109" s="19"/>
    </row>
    <row r="1110" ht="56.25" customHeight="1">
      <c r="A1110" s="21" t="s">
        <v>3654</v>
      </c>
      <c r="B1110" s="19" t="str">
        <f>image("https://storage.googleapis.com/acdb/photos/BromideNpcNmlPgn13_Remake_4_0.png")</f>
        <v/>
      </c>
      <c r="C1110" s="21" t="s">
        <v>833</v>
      </c>
      <c r="D1110" s="21" t="s">
        <v>51</v>
      </c>
      <c r="E1110" s="21">
        <v>10.0</v>
      </c>
      <c r="F1110" s="21" t="s">
        <v>2289</v>
      </c>
      <c r="G1110" s="19"/>
      <c r="H1110" s="19"/>
      <c r="I1110" s="19"/>
    </row>
    <row r="1111" ht="56.25" customHeight="1">
      <c r="A1111" s="21" t="s">
        <v>3654</v>
      </c>
      <c r="B1111" s="19" t="str">
        <f>image("https://storage.googleapis.com/acdb/photos/BromideNpcNmlPgn13_Remake_5_0.png")</f>
        <v/>
      </c>
      <c r="C1111" s="21" t="s">
        <v>258</v>
      </c>
      <c r="D1111" s="21" t="s">
        <v>51</v>
      </c>
      <c r="E1111" s="21">
        <v>10.0</v>
      </c>
      <c r="F1111" s="21" t="s">
        <v>2289</v>
      </c>
      <c r="G1111" s="19"/>
      <c r="H1111" s="19"/>
      <c r="I1111" s="19"/>
    </row>
    <row r="1112" ht="56.25" customHeight="1">
      <c r="A1112" s="21" t="s">
        <v>3654</v>
      </c>
      <c r="B1112" s="19" t="str">
        <f>image("https://storage.googleapis.com/acdb/photos/BromideNpcNmlPgn13_Remake_6_0.png")</f>
        <v/>
      </c>
      <c r="C1112" s="21" t="s">
        <v>182</v>
      </c>
      <c r="D1112" s="21" t="s">
        <v>51</v>
      </c>
      <c r="E1112" s="21">
        <v>10.0</v>
      </c>
      <c r="F1112" s="21" t="s">
        <v>2289</v>
      </c>
      <c r="G1112" s="19"/>
      <c r="H1112" s="19"/>
      <c r="I1112" s="19"/>
    </row>
    <row r="1113" ht="56.25" customHeight="1">
      <c r="A1113" s="21" t="s">
        <v>3654</v>
      </c>
      <c r="B1113" s="19" t="str">
        <f>image("https://storage.googleapis.com/acdb/photos/BromideNpcNmlPgn13_Remake_7_0.png")</f>
        <v/>
      </c>
      <c r="C1113" s="21" t="s">
        <v>187</v>
      </c>
      <c r="D1113" s="21" t="s">
        <v>51</v>
      </c>
      <c r="E1113" s="21">
        <v>10.0</v>
      </c>
      <c r="F1113" s="21" t="s">
        <v>2289</v>
      </c>
      <c r="G1113" s="19"/>
      <c r="H1113" s="19"/>
      <c r="I1113" s="19"/>
    </row>
    <row r="1114" ht="56.25" customHeight="1">
      <c r="A1114" s="21" t="s">
        <v>3661</v>
      </c>
      <c r="B1114" s="19" t="str">
        <f>image("https://storage.googleapis.com/acdb/photos/BromideNpcNmlOst09_Remake_0_0.png")</f>
        <v/>
      </c>
      <c r="C1114" s="21" t="s">
        <v>219</v>
      </c>
      <c r="D1114" s="21" t="s">
        <v>51</v>
      </c>
      <c r="E1114" s="21">
        <v>10.0</v>
      </c>
      <c r="F1114" s="21" t="s">
        <v>2289</v>
      </c>
      <c r="G1114" s="19"/>
      <c r="H1114" s="19"/>
      <c r="I1114" s="19"/>
    </row>
    <row r="1115" ht="56.25" customHeight="1">
      <c r="A1115" s="21" t="s">
        <v>3661</v>
      </c>
      <c r="B1115" s="19" t="str">
        <f>image("https://storage.googleapis.com/acdb/photos/BromideNpcNmlOst09_Remake_1_0.png")</f>
        <v/>
      </c>
      <c r="C1115" s="21" t="s">
        <v>795</v>
      </c>
      <c r="D1115" s="21" t="s">
        <v>51</v>
      </c>
      <c r="E1115" s="21">
        <v>10.0</v>
      </c>
      <c r="F1115" s="21" t="s">
        <v>2289</v>
      </c>
      <c r="G1115" s="19"/>
      <c r="H1115" s="19"/>
      <c r="I1115" s="19"/>
    </row>
    <row r="1116" ht="56.25" customHeight="1">
      <c r="A1116" s="21" t="s">
        <v>3661</v>
      </c>
      <c r="B1116" s="19" t="str">
        <f>image("https://storage.googleapis.com/acdb/photos/BromideNpcNmlOst09_Remake_2_0.png")</f>
        <v/>
      </c>
      <c r="C1116" s="21" t="s">
        <v>954</v>
      </c>
      <c r="D1116" s="21" t="s">
        <v>51</v>
      </c>
      <c r="E1116" s="21">
        <v>10.0</v>
      </c>
      <c r="F1116" s="21" t="s">
        <v>2289</v>
      </c>
      <c r="G1116" s="19"/>
      <c r="H1116" s="19"/>
      <c r="I1116" s="19"/>
    </row>
    <row r="1117" ht="56.25" customHeight="1">
      <c r="A1117" s="21" t="s">
        <v>3661</v>
      </c>
      <c r="B1117" s="19" t="str">
        <f>image("https://storage.googleapis.com/acdb/photos/BromideNpcNmlOst09_Remake_3_0.png")</f>
        <v/>
      </c>
      <c r="C1117" s="21" t="s">
        <v>82</v>
      </c>
      <c r="D1117" s="21" t="s">
        <v>51</v>
      </c>
      <c r="E1117" s="21">
        <v>10.0</v>
      </c>
      <c r="F1117" s="21" t="s">
        <v>2289</v>
      </c>
      <c r="G1117" s="19"/>
      <c r="H1117" s="19"/>
      <c r="I1117" s="19"/>
    </row>
    <row r="1118" ht="56.25" customHeight="1">
      <c r="A1118" s="21" t="s">
        <v>3661</v>
      </c>
      <c r="B1118" s="19" t="str">
        <f>image("https://storage.googleapis.com/acdb/photos/BromideNpcNmlOst09_Remake_4_0.png")</f>
        <v/>
      </c>
      <c r="C1118" s="21" t="s">
        <v>833</v>
      </c>
      <c r="D1118" s="21" t="s">
        <v>51</v>
      </c>
      <c r="E1118" s="21">
        <v>10.0</v>
      </c>
      <c r="F1118" s="21" t="s">
        <v>2289</v>
      </c>
      <c r="G1118" s="19"/>
      <c r="H1118" s="19"/>
      <c r="I1118" s="19"/>
    </row>
    <row r="1119" ht="56.25" customHeight="1">
      <c r="A1119" s="21" t="s">
        <v>3661</v>
      </c>
      <c r="B1119" s="19" t="str">
        <f>image("https://storage.googleapis.com/acdb/photos/BromideNpcNmlOst09_Remake_5_0.png")</f>
        <v/>
      </c>
      <c r="C1119" s="21" t="s">
        <v>258</v>
      </c>
      <c r="D1119" s="21" t="s">
        <v>51</v>
      </c>
      <c r="E1119" s="21">
        <v>10.0</v>
      </c>
      <c r="F1119" s="21" t="s">
        <v>2289</v>
      </c>
      <c r="G1119" s="19"/>
      <c r="H1119" s="19"/>
      <c r="I1119" s="19"/>
    </row>
    <row r="1120" ht="56.25" customHeight="1">
      <c r="A1120" s="21" t="s">
        <v>3661</v>
      </c>
      <c r="B1120" s="19" t="str">
        <f>image("https://storage.googleapis.com/acdb/photos/BromideNpcNmlOst09_Remake_6_0.png")</f>
        <v/>
      </c>
      <c r="C1120" s="21" t="s">
        <v>182</v>
      </c>
      <c r="D1120" s="21" t="s">
        <v>51</v>
      </c>
      <c r="E1120" s="21">
        <v>10.0</v>
      </c>
      <c r="F1120" s="21" t="s">
        <v>2289</v>
      </c>
      <c r="G1120" s="19"/>
      <c r="H1120" s="19"/>
      <c r="I1120" s="19"/>
    </row>
    <row r="1121" ht="56.25" customHeight="1">
      <c r="A1121" s="21" t="s">
        <v>3661</v>
      </c>
      <c r="B1121" s="19" t="str">
        <f>image("https://storage.googleapis.com/acdb/photos/BromideNpcNmlOst09_Remake_7_0.png")</f>
        <v/>
      </c>
      <c r="C1121" s="21" t="s">
        <v>187</v>
      </c>
      <c r="D1121" s="21" t="s">
        <v>51</v>
      </c>
      <c r="E1121" s="21">
        <v>10.0</v>
      </c>
      <c r="F1121" s="21" t="s">
        <v>2289</v>
      </c>
      <c r="G1121" s="19"/>
      <c r="H1121" s="19"/>
      <c r="I1121" s="19"/>
    </row>
    <row r="1122" ht="56.25" customHeight="1">
      <c r="A1122" s="21" t="s">
        <v>3668</v>
      </c>
      <c r="B1122" s="19" t="str">
        <f>image("https://storage.googleapis.com/acdb/photos/BromideNpcNmlHam06_Remake_0_0.png")</f>
        <v/>
      </c>
      <c r="C1122" s="21" t="s">
        <v>219</v>
      </c>
      <c r="D1122" s="21" t="s">
        <v>51</v>
      </c>
      <c r="E1122" s="21">
        <v>10.0</v>
      </c>
      <c r="F1122" s="21" t="s">
        <v>2289</v>
      </c>
      <c r="G1122" s="19"/>
      <c r="H1122" s="19"/>
      <c r="I1122" s="19"/>
    </row>
    <row r="1123" ht="56.25" customHeight="1">
      <c r="A1123" s="21" t="s">
        <v>3668</v>
      </c>
      <c r="B1123" s="19" t="str">
        <f>image("https://storage.googleapis.com/acdb/photos/BromideNpcNmlHam06_Remake_1_0.png")</f>
        <v/>
      </c>
      <c r="C1123" s="21" t="s">
        <v>795</v>
      </c>
      <c r="D1123" s="21" t="s">
        <v>51</v>
      </c>
      <c r="E1123" s="21">
        <v>10.0</v>
      </c>
      <c r="F1123" s="21" t="s">
        <v>2289</v>
      </c>
      <c r="G1123" s="19"/>
      <c r="H1123" s="19"/>
      <c r="I1123" s="19"/>
    </row>
    <row r="1124" ht="56.25" customHeight="1">
      <c r="A1124" s="21" t="s">
        <v>3668</v>
      </c>
      <c r="B1124" s="19" t="str">
        <f>image("https://storage.googleapis.com/acdb/photos/BromideNpcNmlHam06_Remake_2_0.png")</f>
        <v/>
      </c>
      <c r="C1124" s="21" t="s">
        <v>954</v>
      </c>
      <c r="D1124" s="21" t="s">
        <v>51</v>
      </c>
      <c r="E1124" s="21">
        <v>10.0</v>
      </c>
      <c r="F1124" s="21" t="s">
        <v>2289</v>
      </c>
      <c r="G1124" s="19"/>
      <c r="H1124" s="19"/>
      <c r="I1124" s="19"/>
    </row>
    <row r="1125" ht="56.25" customHeight="1">
      <c r="A1125" s="21" t="s">
        <v>3668</v>
      </c>
      <c r="B1125" s="19" t="str">
        <f>image("https://storage.googleapis.com/acdb/photos/BromideNpcNmlHam06_Remake_3_0.png")</f>
        <v/>
      </c>
      <c r="C1125" s="21" t="s">
        <v>82</v>
      </c>
      <c r="D1125" s="21" t="s">
        <v>51</v>
      </c>
      <c r="E1125" s="21">
        <v>10.0</v>
      </c>
      <c r="F1125" s="21" t="s">
        <v>2289</v>
      </c>
      <c r="G1125" s="19"/>
      <c r="H1125" s="19"/>
      <c r="I1125" s="19"/>
    </row>
    <row r="1126" ht="56.25" customHeight="1">
      <c r="A1126" s="21" t="s">
        <v>3668</v>
      </c>
      <c r="B1126" s="19" t="str">
        <f>image("https://storage.googleapis.com/acdb/photos/BromideNpcNmlHam06_Remake_4_0.png")</f>
        <v/>
      </c>
      <c r="C1126" s="21" t="s">
        <v>833</v>
      </c>
      <c r="D1126" s="21" t="s">
        <v>51</v>
      </c>
      <c r="E1126" s="21">
        <v>10.0</v>
      </c>
      <c r="F1126" s="21" t="s">
        <v>2289</v>
      </c>
      <c r="G1126" s="19"/>
      <c r="H1126" s="19"/>
      <c r="I1126" s="19"/>
    </row>
    <row r="1127" ht="56.25" customHeight="1">
      <c r="A1127" s="21" t="s">
        <v>3668</v>
      </c>
      <c r="B1127" s="19" t="str">
        <f>image("https://storage.googleapis.com/acdb/photos/BromideNpcNmlHam06_Remake_5_0.png")</f>
        <v/>
      </c>
      <c r="C1127" s="21" t="s">
        <v>258</v>
      </c>
      <c r="D1127" s="21" t="s">
        <v>51</v>
      </c>
      <c r="E1127" s="21">
        <v>10.0</v>
      </c>
      <c r="F1127" s="21" t="s">
        <v>2289</v>
      </c>
      <c r="G1127" s="19"/>
      <c r="H1127" s="19"/>
      <c r="I1127" s="19"/>
    </row>
    <row r="1128" ht="56.25" customHeight="1">
      <c r="A1128" s="21" t="s">
        <v>3668</v>
      </c>
      <c r="B1128" s="19" t="str">
        <f>image("https://storage.googleapis.com/acdb/photos/BromideNpcNmlHam06_Remake_6_0.png")</f>
        <v/>
      </c>
      <c r="C1128" s="21" t="s">
        <v>182</v>
      </c>
      <c r="D1128" s="21" t="s">
        <v>51</v>
      </c>
      <c r="E1128" s="21">
        <v>10.0</v>
      </c>
      <c r="F1128" s="21" t="s">
        <v>2289</v>
      </c>
      <c r="G1128" s="19"/>
      <c r="H1128" s="19"/>
      <c r="I1128" s="19"/>
    </row>
    <row r="1129" ht="56.25" customHeight="1">
      <c r="A1129" s="21" t="s">
        <v>3668</v>
      </c>
      <c r="B1129" s="19" t="str">
        <f>image("https://storage.googleapis.com/acdb/photos/BromideNpcNmlHam06_Remake_7_0.png")</f>
        <v/>
      </c>
      <c r="C1129" s="21" t="s">
        <v>187</v>
      </c>
      <c r="D1129" s="21" t="s">
        <v>51</v>
      </c>
      <c r="E1129" s="21">
        <v>10.0</v>
      </c>
      <c r="F1129" s="21" t="s">
        <v>2289</v>
      </c>
      <c r="G1129" s="19"/>
      <c r="H1129" s="19"/>
      <c r="I1129" s="19"/>
    </row>
    <row r="1130" ht="56.25" customHeight="1">
      <c r="A1130" s="21" t="s">
        <v>3678</v>
      </c>
      <c r="B1130" s="19" t="str">
        <f>image("https://storage.googleapis.com/acdb/photos/BromideNpcNmlRbt12_Remake_0_0.png")</f>
        <v/>
      </c>
      <c r="C1130" s="21" t="s">
        <v>219</v>
      </c>
      <c r="D1130" s="21" t="s">
        <v>51</v>
      </c>
      <c r="E1130" s="21">
        <v>10.0</v>
      </c>
      <c r="F1130" s="21" t="s">
        <v>2289</v>
      </c>
      <c r="G1130" s="19"/>
      <c r="H1130" s="19"/>
      <c r="I1130" s="19"/>
    </row>
    <row r="1131" ht="56.25" customHeight="1">
      <c r="A1131" s="21" t="s">
        <v>3678</v>
      </c>
      <c r="B1131" s="19" t="str">
        <f>image("https://storage.googleapis.com/acdb/photos/BromideNpcNmlRbt12_Remake_1_0.png")</f>
        <v/>
      </c>
      <c r="C1131" s="21" t="s">
        <v>795</v>
      </c>
      <c r="D1131" s="21" t="s">
        <v>51</v>
      </c>
      <c r="E1131" s="21">
        <v>10.0</v>
      </c>
      <c r="F1131" s="21" t="s">
        <v>2289</v>
      </c>
      <c r="G1131" s="19"/>
      <c r="H1131" s="19"/>
      <c r="I1131" s="19"/>
    </row>
    <row r="1132" ht="56.25" customHeight="1">
      <c r="A1132" s="21" t="s">
        <v>3678</v>
      </c>
      <c r="B1132" s="19" t="str">
        <f>image("https://storage.googleapis.com/acdb/photos/BromideNpcNmlRbt12_Remake_2_0.png")</f>
        <v/>
      </c>
      <c r="C1132" s="21" t="s">
        <v>954</v>
      </c>
      <c r="D1132" s="21" t="s">
        <v>51</v>
      </c>
      <c r="E1132" s="21">
        <v>10.0</v>
      </c>
      <c r="F1132" s="21" t="s">
        <v>2289</v>
      </c>
      <c r="G1132" s="19"/>
      <c r="H1132" s="19"/>
      <c r="I1132" s="19"/>
    </row>
    <row r="1133" ht="56.25" customHeight="1">
      <c r="A1133" s="21" t="s">
        <v>3678</v>
      </c>
      <c r="B1133" s="19" t="str">
        <f>image("https://storage.googleapis.com/acdb/photos/BromideNpcNmlRbt12_Remake_3_0.png")</f>
        <v/>
      </c>
      <c r="C1133" s="21" t="s">
        <v>82</v>
      </c>
      <c r="D1133" s="21" t="s">
        <v>51</v>
      </c>
      <c r="E1133" s="21">
        <v>10.0</v>
      </c>
      <c r="F1133" s="21" t="s">
        <v>2289</v>
      </c>
      <c r="G1133" s="19"/>
      <c r="H1133" s="19"/>
      <c r="I1133" s="19"/>
    </row>
    <row r="1134" ht="56.25" customHeight="1">
      <c r="A1134" s="21" t="s">
        <v>3678</v>
      </c>
      <c r="B1134" s="19" t="str">
        <f>image("https://storage.googleapis.com/acdb/photos/BromideNpcNmlRbt12_Remake_4_0.png")</f>
        <v/>
      </c>
      <c r="C1134" s="21" t="s">
        <v>833</v>
      </c>
      <c r="D1134" s="21" t="s">
        <v>51</v>
      </c>
      <c r="E1134" s="21">
        <v>10.0</v>
      </c>
      <c r="F1134" s="21" t="s">
        <v>2289</v>
      </c>
      <c r="G1134" s="19"/>
      <c r="H1134" s="19"/>
      <c r="I1134" s="19"/>
    </row>
    <row r="1135" ht="56.25" customHeight="1">
      <c r="A1135" s="21" t="s">
        <v>3678</v>
      </c>
      <c r="B1135" s="19" t="str">
        <f>image("https://storage.googleapis.com/acdb/photos/BromideNpcNmlRbt12_Remake_5_0.png")</f>
        <v/>
      </c>
      <c r="C1135" s="21" t="s">
        <v>258</v>
      </c>
      <c r="D1135" s="21" t="s">
        <v>51</v>
      </c>
      <c r="E1135" s="21">
        <v>10.0</v>
      </c>
      <c r="F1135" s="21" t="s">
        <v>2289</v>
      </c>
      <c r="G1135" s="19"/>
      <c r="H1135" s="19"/>
      <c r="I1135" s="19"/>
    </row>
    <row r="1136" ht="56.25" customHeight="1">
      <c r="A1136" s="21" t="s">
        <v>3678</v>
      </c>
      <c r="B1136" s="19" t="str">
        <f>image("https://storage.googleapis.com/acdb/photos/BromideNpcNmlRbt12_Remake_6_0.png")</f>
        <v/>
      </c>
      <c r="C1136" s="21" t="s">
        <v>182</v>
      </c>
      <c r="D1136" s="21" t="s">
        <v>51</v>
      </c>
      <c r="E1136" s="21">
        <v>10.0</v>
      </c>
      <c r="F1136" s="21" t="s">
        <v>2289</v>
      </c>
      <c r="G1136" s="19"/>
      <c r="H1136" s="19"/>
      <c r="I1136" s="19"/>
    </row>
    <row r="1137" ht="56.25" customHeight="1">
      <c r="A1137" s="21" t="s">
        <v>3678</v>
      </c>
      <c r="B1137" s="19" t="str">
        <f>image("https://storage.googleapis.com/acdb/photos/BromideNpcNmlRbt12_Remake_7_0.png")</f>
        <v/>
      </c>
      <c r="C1137" s="21" t="s">
        <v>187</v>
      </c>
      <c r="D1137" s="21" t="s">
        <v>51</v>
      </c>
      <c r="E1137" s="21">
        <v>10.0</v>
      </c>
      <c r="F1137" s="21" t="s">
        <v>2289</v>
      </c>
      <c r="G1137" s="19"/>
      <c r="H1137" s="19"/>
      <c r="I1137" s="19"/>
    </row>
    <row r="1138" ht="56.25" customHeight="1">
      <c r="A1138" s="21" t="s">
        <v>3683</v>
      </c>
      <c r="B1138" s="19" t="str">
        <f>image("https://storage.googleapis.com/acdb/photos/BromideNpcNmlPbr06_Remake_0_0.png")</f>
        <v/>
      </c>
      <c r="C1138" s="21" t="s">
        <v>219</v>
      </c>
      <c r="D1138" s="21" t="s">
        <v>51</v>
      </c>
      <c r="E1138" s="21">
        <v>10.0</v>
      </c>
      <c r="F1138" s="21" t="s">
        <v>2289</v>
      </c>
      <c r="G1138" s="19"/>
      <c r="H1138" s="19"/>
      <c r="I1138" s="19"/>
    </row>
    <row r="1139" ht="56.25" customHeight="1">
      <c r="A1139" s="21" t="s">
        <v>3683</v>
      </c>
      <c r="B1139" s="19" t="str">
        <f>image("https://storage.googleapis.com/acdb/photos/BromideNpcNmlPbr06_Remake_1_0.png")</f>
        <v/>
      </c>
      <c r="C1139" s="21" t="s">
        <v>795</v>
      </c>
      <c r="D1139" s="21" t="s">
        <v>51</v>
      </c>
      <c r="E1139" s="21">
        <v>10.0</v>
      </c>
      <c r="F1139" s="21" t="s">
        <v>2289</v>
      </c>
      <c r="G1139" s="19"/>
      <c r="H1139" s="19"/>
      <c r="I1139" s="19"/>
    </row>
    <row r="1140" ht="56.25" customHeight="1">
      <c r="A1140" s="21" t="s">
        <v>3683</v>
      </c>
      <c r="B1140" s="19" t="str">
        <f>image("https://storage.googleapis.com/acdb/photos/BromideNpcNmlPbr06_Remake_2_0.png")</f>
        <v/>
      </c>
      <c r="C1140" s="21" t="s">
        <v>954</v>
      </c>
      <c r="D1140" s="21" t="s">
        <v>51</v>
      </c>
      <c r="E1140" s="21">
        <v>10.0</v>
      </c>
      <c r="F1140" s="21" t="s">
        <v>2289</v>
      </c>
      <c r="G1140" s="19"/>
      <c r="H1140" s="19"/>
      <c r="I1140" s="19"/>
    </row>
    <row r="1141" ht="56.25" customHeight="1">
      <c r="A1141" s="21" t="s">
        <v>3683</v>
      </c>
      <c r="B1141" s="19" t="str">
        <f>image("https://storage.googleapis.com/acdb/photos/BromideNpcNmlPbr06_Remake_3_0.png")</f>
        <v/>
      </c>
      <c r="C1141" s="21" t="s">
        <v>82</v>
      </c>
      <c r="D1141" s="21" t="s">
        <v>51</v>
      </c>
      <c r="E1141" s="21">
        <v>10.0</v>
      </c>
      <c r="F1141" s="21" t="s">
        <v>2289</v>
      </c>
      <c r="G1141" s="19"/>
      <c r="H1141" s="19"/>
      <c r="I1141" s="19"/>
    </row>
    <row r="1142" ht="56.25" customHeight="1">
      <c r="A1142" s="21" t="s">
        <v>3683</v>
      </c>
      <c r="B1142" s="19" t="str">
        <f>image("https://storage.googleapis.com/acdb/photos/BromideNpcNmlPbr06_Remake_4_0.png")</f>
        <v/>
      </c>
      <c r="C1142" s="21" t="s">
        <v>833</v>
      </c>
      <c r="D1142" s="21" t="s">
        <v>51</v>
      </c>
      <c r="E1142" s="21">
        <v>10.0</v>
      </c>
      <c r="F1142" s="21" t="s">
        <v>2289</v>
      </c>
      <c r="G1142" s="19"/>
      <c r="H1142" s="19"/>
      <c r="I1142" s="19"/>
    </row>
    <row r="1143" ht="56.25" customHeight="1">
      <c r="A1143" s="21" t="s">
        <v>3683</v>
      </c>
      <c r="B1143" s="19" t="str">
        <f>image("https://storage.googleapis.com/acdb/photos/BromideNpcNmlPbr06_Remake_5_0.png")</f>
        <v/>
      </c>
      <c r="C1143" s="21" t="s">
        <v>258</v>
      </c>
      <c r="D1143" s="21" t="s">
        <v>51</v>
      </c>
      <c r="E1143" s="21">
        <v>10.0</v>
      </c>
      <c r="F1143" s="21" t="s">
        <v>2289</v>
      </c>
      <c r="G1143" s="19"/>
      <c r="H1143" s="19"/>
      <c r="I1143" s="19"/>
    </row>
    <row r="1144" ht="56.25" customHeight="1">
      <c r="A1144" s="21" t="s">
        <v>3683</v>
      </c>
      <c r="B1144" s="19" t="str">
        <f>image("https://storage.googleapis.com/acdb/photos/BromideNpcNmlPbr06_Remake_6_0.png")</f>
        <v/>
      </c>
      <c r="C1144" s="21" t="s">
        <v>182</v>
      </c>
      <c r="D1144" s="21" t="s">
        <v>51</v>
      </c>
      <c r="E1144" s="21">
        <v>10.0</v>
      </c>
      <c r="F1144" s="21" t="s">
        <v>2289</v>
      </c>
      <c r="G1144" s="19"/>
      <c r="H1144" s="19"/>
      <c r="I1144" s="19"/>
    </row>
    <row r="1145" ht="56.25" customHeight="1">
      <c r="A1145" s="21" t="s">
        <v>3683</v>
      </c>
      <c r="B1145" s="19" t="str">
        <f>image("https://storage.googleapis.com/acdb/photos/BromideNpcNmlPbr06_Remake_7_0.png")</f>
        <v/>
      </c>
      <c r="C1145" s="21" t="s">
        <v>187</v>
      </c>
      <c r="D1145" s="21" t="s">
        <v>51</v>
      </c>
      <c r="E1145" s="21">
        <v>10.0</v>
      </c>
      <c r="F1145" s="21" t="s">
        <v>2289</v>
      </c>
      <c r="G1145" s="19"/>
      <c r="H1145" s="19"/>
      <c r="I1145" s="19"/>
    </row>
    <row r="1146" ht="56.25" customHeight="1">
      <c r="A1146" s="21" t="s">
        <v>3690</v>
      </c>
      <c r="B1146" s="19" t="str">
        <f>image("https://storage.googleapis.com/acdb/photos/BromideNpcNmlDuk07_Remake_0_0.png")</f>
        <v/>
      </c>
      <c r="C1146" s="21" t="s">
        <v>219</v>
      </c>
      <c r="D1146" s="21" t="s">
        <v>51</v>
      </c>
      <c r="E1146" s="21">
        <v>10.0</v>
      </c>
      <c r="F1146" s="21" t="s">
        <v>2289</v>
      </c>
      <c r="G1146" s="19"/>
      <c r="H1146" s="19"/>
      <c r="I1146" s="19"/>
    </row>
    <row r="1147" ht="56.25" customHeight="1">
      <c r="A1147" s="21" t="s">
        <v>3690</v>
      </c>
      <c r="B1147" s="19" t="str">
        <f>image("https://storage.googleapis.com/acdb/photos/BromideNpcNmlDuk07_Remake_1_0.png")</f>
        <v/>
      </c>
      <c r="C1147" s="21" t="s">
        <v>795</v>
      </c>
      <c r="D1147" s="21" t="s">
        <v>51</v>
      </c>
      <c r="E1147" s="21">
        <v>10.0</v>
      </c>
      <c r="F1147" s="21" t="s">
        <v>2289</v>
      </c>
      <c r="G1147" s="19"/>
      <c r="H1147" s="19"/>
      <c r="I1147" s="19"/>
    </row>
    <row r="1148" ht="56.25" customHeight="1">
      <c r="A1148" s="21" t="s">
        <v>3690</v>
      </c>
      <c r="B1148" s="19" t="str">
        <f>image("https://storage.googleapis.com/acdb/photos/BromideNpcNmlDuk07_Remake_2_0.png")</f>
        <v/>
      </c>
      <c r="C1148" s="21" t="s">
        <v>954</v>
      </c>
      <c r="D1148" s="21" t="s">
        <v>51</v>
      </c>
      <c r="E1148" s="21">
        <v>10.0</v>
      </c>
      <c r="F1148" s="21" t="s">
        <v>2289</v>
      </c>
      <c r="G1148" s="19"/>
      <c r="H1148" s="19"/>
      <c r="I1148" s="19"/>
    </row>
    <row r="1149" ht="56.25" customHeight="1">
      <c r="A1149" s="21" t="s">
        <v>3690</v>
      </c>
      <c r="B1149" s="19" t="str">
        <f>image("https://storage.googleapis.com/acdb/photos/BromideNpcNmlDuk07_Remake_3_0.png")</f>
        <v/>
      </c>
      <c r="C1149" s="21" t="s">
        <v>82</v>
      </c>
      <c r="D1149" s="21" t="s">
        <v>51</v>
      </c>
      <c r="E1149" s="21">
        <v>10.0</v>
      </c>
      <c r="F1149" s="21" t="s">
        <v>2289</v>
      </c>
      <c r="G1149" s="19"/>
      <c r="H1149" s="19"/>
      <c r="I1149" s="19"/>
    </row>
    <row r="1150" ht="56.25" customHeight="1">
      <c r="A1150" s="21" t="s">
        <v>3690</v>
      </c>
      <c r="B1150" s="19" t="str">
        <f>image("https://storage.googleapis.com/acdb/photos/BromideNpcNmlDuk07_Remake_4_0.png")</f>
        <v/>
      </c>
      <c r="C1150" s="21" t="s">
        <v>833</v>
      </c>
      <c r="D1150" s="21" t="s">
        <v>51</v>
      </c>
      <c r="E1150" s="21">
        <v>10.0</v>
      </c>
      <c r="F1150" s="21" t="s">
        <v>2289</v>
      </c>
      <c r="G1150" s="19"/>
      <c r="H1150" s="19"/>
      <c r="I1150" s="19"/>
    </row>
    <row r="1151" ht="56.25" customHeight="1">
      <c r="A1151" s="21" t="s">
        <v>3690</v>
      </c>
      <c r="B1151" s="19" t="str">
        <f>image("https://storage.googleapis.com/acdb/photos/BromideNpcNmlDuk07_Remake_5_0.png")</f>
        <v/>
      </c>
      <c r="C1151" s="21" t="s">
        <v>258</v>
      </c>
      <c r="D1151" s="21" t="s">
        <v>51</v>
      </c>
      <c r="E1151" s="21">
        <v>10.0</v>
      </c>
      <c r="F1151" s="21" t="s">
        <v>2289</v>
      </c>
      <c r="G1151" s="19"/>
      <c r="H1151" s="19"/>
      <c r="I1151" s="19"/>
    </row>
    <row r="1152" ht="56.25" customHeight="1">
      <c r="A1152" s="21" t="s">
        <v>3690</v>
      </c>
      <c r="B1152" s="19" t="str">
        <f>image("https://storage.googleapis.com/acdb/photos/BromideNpcNmlDuk07_Remake_6_0.png")</f>
        <v/>
      </c>
      <c r="C1152" s="21" t="s">
        <v>182</v>
      </c>
      <c r="D1152" s="21" t="s">
        <v>51</v>
      </c>
      <c r="E1152" s="21">
        <v>10.0</v>
      </c>
      <c r="F1152" s="21" t="s">
        <v>2289</v>
      </c>
      <c r="G1152" s="19"/>
      <c r="H1152" s="19"/>
      <c r="I1152" s="19"/>
    </row>
    <row r="1153" ht="56.25" customHeight="1">
      <c r="A1153" s="21" t="s">
        <v>3690</v>
      </c>
      <c r="B1153" s="19" t="str">
        <f>image("https://storage.googleapis.com/acdb/photos/BromideNpcNmlDuk07_Remake_7_0.png")</f>
        <v/>
      </c>
      <c r="C1153" s="21" t="s">
        <v>187</v>
      </c>
      <c r="D1153" s="21" t="s">
        <v>51</v>
      </c>
      <c r="E1153" s="21">
        <v>10.0</v>
      </c>
      <c r="F1153" s="21" t="s">
        <v>2289</v>
      </c>
      <c r="G1153" s="19"/>
      <c r="H1153" s="19"/>
      <c r="I1153" s="19"/>
    </row>
    <row r="1154" ht="56.25" customHeight="1">
      <c r="A1154" s="21" t="s">
        <v>3695</v>
      </c>
      <c r="B1154" s="19" t="str">
        <f>image("https://storage.googleapis.com/acdb/photos/BromideNpcNmlWol05_Remake_0_0.png")</f>
        <v/>
      </c>
      <c r="C1154" s="21" t="s">
        <v>219</v>
      </c>
      <c r="D1154" s="21" t="s">
        <v>51</v>
      </c>
      <c r="E1154" s="21">
        <v>10.0</v>
      </c>
      <c r="F1154" s="21" t="s">
        <v>2289</v>
      </c>
      <c r="G1154" s="19"/>
      <c r="H1154" s="19"/>
      <c r="I1154" s="19"/>
    </row>
    <row r="1155" ht="56.25" customHeight="1">
      <c r="A1155" s="21" t="s">
        <v>3695</v>
      </c>
      <c r="B1155" s="19" t="str">
        <f>image("https://storage.googleapis.com/acdb/photos/BromideNpcNmlWol05_Remake_1_0.png")</f>
        <v/>
      </c>
      <c r="C1155" s="21" t="s">
        <v>795</v>
      </c>
      <c r="D1155" s="21" t="s">
        <v>51</v>
      </c>
      <c r="E1155" s="21">
        <v>10.0</v>
      </c>
      <c r="F1155" s="21" t="s">
        <v>2289</v>
      </c>
      <c r="G1155" s="19"/>
      <c r="H1155" s="19"/>
      <c r="I1155" s="19"/>
    </row>
    <row r="1156" ht="56.25" customHeight="1">
      <c r="A1156" s="21" t="s">
        <v>3695</v>
      </c>
      <c r="B1156" s="19" t="str">
        <f>image("https://storage.googleapis.com/acdb/photos/BromideNpcNmlWol05_Remake_2_0.png")</f>
        <v/>
      </c>
      <c r="C1156" s="21" t="s">
        <v>954</v>
      </c>
      <c r="D1156" s="21" t="s">
        <v>51</v>
      </c>
      <c r="E1156" s="21">
        <v>10.0</v>
      </c>
      <c r="F1156" s="21" t="s">
        <v>2289</v>
      </c>
      <c r="G1156" s="19"/>
      <c r="H1156" s="19"/>
      <c r="I1156" s="19"/>
    </row>
    <row r="1157" ht="56.25" customHeight="1">
      <c r="A1157" s="21" t="s">
        <v>3695</v>
      </c>
      <c r="B1157" s="19" t="str">
        <f>image("https://storage.googleapis.com/acdb/photos/BromideNpcNmlWol05_Remake_3_0.png")</f>
        <v/>
      </c>
      <c r="C1157" s="21" t="s">
        <v>82</v>
      </c>
      <c r="D1157" s="21" t="s">
        <v>51</v>
      </c>
      <c r="E1157" s="21">
        <v>10.0</v>
      </c>
      <c r="F1157" s="21" t="s">
        <v>2289</v>
      </c>
      <c r="G1157" s="19"/>
      <c r="H1157" s="19"/>
      <c r="I1157" s="19"/>
    </row>
    <row r="1158" ht="56.25" customHeight="1">
      <c r="A1158" s="21" t="s">
        <v>3695</v>
      </c>
      <c r="B1158" s="19" t="str">
        <f>image("https://storage.googleapis.com/acdb/photos/BromideNpcNmlWol05_Remake_4_0.png")</f>
        <v/>
      </c>
      <c r="C1158" s="21" t="s">
        <v>833</v>
      </c>
      <c r="D1158" s="21" t="s">
        <v>51</v>
      </c>
      <c r="E1158" s="21">
        <v>10.0</v>
      </c>
      <c r="F1158" s="21" t="s">
        <v>2289</v>
      </c>
      <c r="G1158" s="19"/>
      <c r="H1158" s="19"/>
      <c r="I1158" s="19"/>
    </row>
    <row r="1159" ht="56.25" customHeight="1">
      <c r="A1159" s="21" t="s">
        <v>3695</v>
      </c>
      <c r="B1159" s="19" t="str">
        <f>image("https://storage.googleapis.com/acdb/photos/BromideNpcNmlWol05_Remake_5_0.png")</f>
        <v/>
      </c>
      <c r="C1159" s="21" t="s">
        <v>258</v>
      </c>
      <c r="D1159" s="21" t="s">
        <v>51</v>
      </c>
      <c r="E1159" s="21">
        <v>10.0</v>
      </c>
      <c r="F1159" s="21" t="s">
        <v>2289</v>
      </c>
      <c r="G1159" s="19"/>
      <c r="H1159" s="19"/>
      <c r="I1159" s="19"/>
    </row>
    <row r="1160" ht="56.25" customHeight="1">
      <c r="A1160" s="21" t="s">
        <v>3695</v>
      </c>
      <c r="B1160" s="19" t="str">
        <f>image("https://storage.googleapis.com/acdb/photos/BromideNpcNmlWol05_Remake_6_0.png")</f>
        <v/>
      </c>
      <c r="C1160" s="21" t="s">
        <v>182</v>
      </c>
      <c r="D1160" s="21" t="s">
        <v>51</v>
      </c>
      <c r="E1160" s="21">
        <v>10.0</v>
      </c>
      <c r="F1160" s="21" t="s">
        <v>2289</v>
      </c>
      <c r="G1160" s="19"/>
      <c r="H1160" s="19"/>
      <c r="I1160" s="19"/>
    </row>
    <row r="1161" ht="56.25" customHeight="1">
      <c r="A1161" s="21" t="s">
        <v>3695</v>
      </c>
      <c r="B1161" s="19" t="str">
        <f>image("https://storage.googleapis.com/acdb/photos/BromideNpcNmlWol05_Remake_7_0.png")</f>
        <v/>
      </c>
      <c r="C1161" s="21" t="s">
        <v>187</v>
      </c>
      <c r="D1161" s="21" t="s">
        <v>51</v>
      </c>
      <c r="E1161" s="21">
        <v>10.0</v>
      </c>
      <c r="F1161" s="21" t="s">
        <v>2289</v>
      </c>
      <c r="G1161" s="19"/>
      <c r="H1161" s="19"/>
      <c r="I1161" s="19"/>
    </row>
    <row r="1162" ht="56.25" customHeight="1">
      <c r="A1162" s="21" t="s">
        <v>3702</v>
      </c>
      <c r="B1162" s="19" t="str">
        <f>image("https://storage.googleapis.com/acdb/photos/BromideNpcNmlPgn04_Remake_0_0.png")</f>
        <v/>
      </c>
      <c r="C1162" s="21" t="s">
        <v>219</v>
      </c>
      <c r="D1162" s="21" t="s">
        <v>51</v>
      </c>
      <c r="E1162" s="21">
        <v>10.0</v>
      </c>
      <c r="F1162" s="21" t="s">
        <v>2289</v>
      </c>
      <c r="G1162" s="19"/>
      <c r="H1162" s="19"/>
      <c r="I1162" s="19"/>
    </row>
    <row r="1163" ht="56.25" customHeight="1">
      <c r="A1163" s="21" t="s">
        <v>3702</v>
      </c>
      <c r="B1163" s="19" t="str">
        <f>image("https://storage.googleapis.com/acdb/photos/BromideNpcNmlPgn04_Remake_1_0.png")</f>
        <v/>
      </c>
      <c r="C1163" s="21" t="s">
        <v>795</v>
      </c>
      <c r="D1163" s="21" t="s">
        <v>51</v>
      </c>
      <c r="E1163" s="21">
        <v>10.0</v>
      </c>
      <c r="F1163" s="21" t="s">
        <v>2289</v>
      </c>
      <c r="G1163" s="19"/>
      <c r="H1163" s="19"/>
      <c r="I1163" s="19"/>
    </row>
    <row r="1164" ht="56.25" customHeight="1">
      <c r="A1164" s="21" t="s">
        <v>3702</v>
      </c>
      <c r="B1164" s="19" t="str">
        <f>image("https://storage.googleapis.com/acdb/photos/BromideNpcNmlPgn04_Remake_2_0.png")</f>
        <v/>
      </c>
      <c r="C1164" s="21" t="s">
        <v>954</v>
      </c>
      <c r="D1164" s="21" t="s">
        <v>51</v>
      </c>
      <c r="E1164" s="21">
        <v>10.0</v>
      </c>
      <c r="F1164" s="21" t="s">
        <v>2289</v>
      </c>
      <c r="G1164" s="19"/>
      <c r="H1164" s="19"/>
      <c r="I1164" s="19"/>
    </row>
    <row r="1165" ht="56.25" customHeight="1">
      <c r="A1165" s="21" t="s">
        <v>3702</v>
      </c>
      <c r="B1165" s="19" t="str">
        <f>image("https://storage.googleapis.com/acdb/photos/BromideNpcNmlPgn04_Remake_3_0.png")</f>
        <v/>
      </c>
      <c r="C1165" s="21" t="s">
        <v>82</v>
      </c>
      <c r="D1165" s="21" t="s">
        <v>51</v>
      </c>
      <c r="E1165" s="21">
        <v>10.0</v>
      </c>
      <c r="F1165" s="21" t="s">
        <v>2289</v>
      </c>
      <c r="G1165" s="19"/>
      <c r="H1165" s="19"/>
      <c r="I1165" s="19"/>
    </row>
    <row r="1166" ht="56.25" customHeight="1">
      <c r="A1166" s="21" t="s">
        <v>3702</v>
      </c>
      <c r="B1166" s="19" t="str">
        <f>image("https://storage.googleapis.com/acdb/photos/BromideNpcNmlPgn04_Remake_4_0.png")</f>
        <v/>
      </c>
      <c r="C1166" s="21" t="s">
        <v>833</v>
      </c>
      <c r="D1166" s="21" t="s">
        <v>51</v>
      </c>
      <c r="E1166" s="21">
        <v>10.0</v>
      </c>
      <c r="F1166" s="21" t="s">
        <v>2289</v>
      </c>
      <c r="G1166" s="19"/>
      <c r="H1166" s="19"/>
      <c r="I1166" s="19"/>
    </row>
    <row r="1167" ht="56.25" customHeight="1">
      <c r="A1167" s="21" t="s">
        <v>3702</v>
      </c>
      <c r="B1167" s="19" t="str">
        <f>image("https://storage.googleapis.com/acdb/photos/BromideNpcNmlPgn04_Remake_5_0.png")</f>
        <v/>
      </c>
      <c r="C1167" s="21" t="s">
        <v>258</v>
      </c>
      <c r="D1167" s="21" t="s">
        <v>51</v>
      </c>
      <c r="E1167" s="21">
        <v>10.0</v>
      </c>
      <c r="F1167" s="21" t="s">
        <v>2289</v>
      </c>
      <c r="G1167" s="19"/>
      <c r="H1167" s="19"/>
      <c r="I1167" s="19"/>
    </row>
    <row r="1168" ht="56.25" customHeight="1">
      <c r="A1168" s="21" t="s">
        <v>3702</v>
      </c>
      <c r="B1168" s="19" t="str">
        <f>image("https://storage.googleapis.com/acdb/photos/BromideNpcNmlPgn04_Remake_6_0.png")</f>
        <v/>
      </c>
      <c r="C1168" s="21" t="s">
        <v>182</v>
      </c>
      <c r="D1168" s="21" t="s">
        <v>51</v>
      </c>
      <c r="E1168" s="21">
        <v>10.0</v>
      </c>
      <c r="F1168" s="21" t="s">
        <v>2289</v>
      </c>
      <c r="G1168" s="19"/>
      <c r="H1168" s="19"/>
      <c r="I1168" s="19"/>
    </row>
    <row r="1169" ht="56.25" customHeight="1">
      <c r="A1169" s="21" t="s">
        <v>3702</v>
      </c>
      <c r="B1169" s="19" t="str">
        <f>image("https://storage.googleapis.com/acdb/photos/BromideNpcNmlPgn04_Remake_7_0.png")</f>
        <v/>
      </c>
      <c r="C1169" s="21" t="s">
        <v>187</v>
      </c>
      <c r="D1169" s="21" t="s">
        <v>51</v>
      </c>
      <c r="E1169" s="21">
        <v>10.0</v>
      </c>
      <c r="F1169" s="21" t="s">
        <v>2289</v>
      </c>
      <c r="G1169" s="19"/>
      <c r="H1169" s="19"/>
      <c r="I1169" s="19"/>
    </row>
    <row r="1170" ht="56.25" customHeight="1">
      <c r="A1170" s="21" t="s">
        <v>3712</v>
      </c>
      <c r="B1170" s="19" t="str">
        <f>image("https://storage.googleapis.com/acdb/photos/BromideNpcNmlShp11_Remake_0_0.png")</f>
        <v/>
      </c>
      <c r="C1170" s="21" t="s">
        <v>219</v>
      </c>
      <c r="D1170" s="21" t="s">
        <v>51</v>
      </c>
      <c r="E1170" s="21">
        <v>10.0</v>
      </c>
      <c r="F1170" s="21" t="s">
        <v>2289</v>
      </c>
      <c r="G1170" s="19"/>
      <c r="H1170" s="19"/>
      <c r="I1170" s="19"/>
    </row>
    <row r="1171" ht="56.25" customHeight="1">
      <c r="A1171" s="21" t="s">
        <v>3712</v>
      </c>
      <c r="B1171" s="19" t="str">
        <f>image("https://storage.googleapis.com/acdb/photos/BromideNpcNmlShp11_Remake_1_0.png")</f>
        <v/>
      </c>
      <c r="C1171" s="21" t="s">
        <v>795</v>
      </c>
      <c r="D1171" s="21" t="s">
        <v>51</v>
      </c>
      <c r="E1171" s="21">
        <v>10.0</v>
      </c>
      <c r="F1171" s="21" t="s">
        <v>2289</v>
      </c>
      <c r="G1171" s="19"/>
      <c r="H1171" s="19"/>
      <c r="I1171" s="19"/>
    </row>
    <row r="1172" ht="56.25" customHeight="1">
      <c r="A1172" s="21" t="s">
        <v>3712</v>
      </c>
      <c r="B1172" s="19" t="str">
        <f>image("https://storage.googleapis.com/acdb/photos/BromideNpcNmlShp11_Remake_2_0.png")</f>
        <v/>
      </c>
      <c r="C1172" s="21" t="s">
        <v>954</v>
      </c>
      <c r="D1172" s="21" t="s">
        <v>51</v>
      </c>
      <c r="E1172" s="21">
        <v>10.0</v>
      </c>
      <c r="F1172" s="21" t="s">
        <v>2289</v>
      </c>
      <c r="G1172" s="19"/>
      <c r="H1172" s="19"/>
      <c r="I1172" s="19"/>
    </row>
    <row r="1173" ht="56.25" customHeight="1">
      <c r="A1173" s="21" t="s">
        <v>3712</v>
      </c>
      <c r="B1173" s="19" t="str">
        <f>image("https://storage.googleapis.com/acdb/photos/BromideNpcNmlShp11_Remake_3_0.png")</f>
        <v/>
      </c>
      <c r="C1173" s="21" t="s">
        <v>82</v>
      </c>
      <c r="D1173" s="21" t="s">
        <v>51</v>
      </c>
      <c r="E1173" s="21">
        <v>10.0</v>
      </c>
      <c r="F1173" s="21" t="s">
        <v>2289</v>
      </c>
      <c r="G1173" s="19"/>
      <c r="H1173" s="19"/>
      <c r="I1173" s="19"/>
    </row>
    <row r="1174" ht="56.25" customHeight="1">
      <c r="A1174" s="21" t="s">
        <v>3712</v>
      </c>
      <c r="B1174" s="19" t="str">
        <f>image("https://storage.googleapis.com/acdb/photos/BromideNpcNmlShp11_Remake_4_0.png")</f>
        <v/>
      </c>
      <c r="C1174" s="21" t="s">
        <v>833</v>
      </c>
      <c r="D1174" s="21" t="s">
        <v>51</v>
      </c>
      <c r="E1174" s="21">
        <v>10.0</v>
      </c>
      <c r="F1174" s="21" t="s">
        <v>2289</v>
      </c>
      <c r="G1174" s="19"/>
      <c r="H1174" s="19"/>
      <c r="I1174" s="19"/>
    </row>
    <row r="1175" ht="56.25" customHeight="1">
      <c r="A1175" s="21" t="s">
        <v>3712</v>
      </c>
      <c r="B1175" s="19" t="str">
        <f>image("https://storage.googleapis.com/acdb/photos/BromideNpcNmlShp11_Remake_5_0.png")</f>
        <v/>
      </c>
      <c r="C1175" s="21" t="s">
        <v>258</v>
      </c>
      <c r="D1175" s="21" t="s">
        <v>51</v>
      </c>
      <c r="E1175" s="21">
        <v>10.0</v>
      </c>
      <c r="F1175" s="21" t="s">
        <v>2289</v>
      </c>
      <c r="G1175" s="19"/>
      <c r="H1175" s="19"/>
      <c r="I1175" s="19"/>
    </row>
    <row r="1176" ht="56.25" customHeight="1">
      <c r="A1176" s="21" t="s">
        <v>3712</v>
      </c>
      <c r="B1176" s="19" t="str">
        <f>image("https://storage.googleapis.com/acdb/photos/BromideNpcNmlShp11_Remake_6_0.png")</f>
        <v/>
      </c>
      <c r="C1176" s="21" t="s">
        <v>182</v>
      </c>
      <c r="D1176" s="21" t="s">
        <v>51</v>
      </c>
      <c r="E1176" s="21">
        <v>10.0</v>
      </c>
      <c r="F1176" s="21" t="s">
        <v>2289</v>
      </c>
      <c r="G1176" s="19"/>
      <c r="H1176" s="19"/>
      <c r="I1176" s="19"/>
    </row>
    <row r="1177" ht="56.25" customHeight="1">
      <c r="A1177" s="21" t="s">
        <v>3712</v>
      </c>
      <c r="B1177" s="19" t="str">
        <f>image("https://storage.googleapis.com/acdb/photos/BromideNpcNmlShp11_Remake_7_0.png")</f>
        <v/>
      </c>
      <c r="C1177" s="21" t="s">
        <v>187</v>
      </c>
      <c r="D1177" s="21" t="s">
        <v>51</v>
      </c>
      <c r="E1177" s="21">
        <v>10.0</v>
      </c>
      <c r="F1177" s="21" t="s">
        <v>2289</v>
      </c>
      <c r="G1177" s="19"/>
      <c r="H1177" s="19"/>
      <c r="I1177" s="19"/>
    </row>
    <row r="1178" ht="56.25" customHeight="1">
      <c r="A1178" s="21" t="s">
        <v>3714</v>
      </c>
      <c r="B1178" s="19" t="str">
        <f>image("https://storage.googleapis.com/acdb/photos/BromideNpcNmlFlg02_Remake_0_0.png")</f>
        <v/>
      </c>
      <c r="C1178" s="21" t="s">
        <v>219</v>
      </c>
      <c r="D1178" s="21" t="s">
        <v>51</v>
      </c>
      <c r="E1178" s="21">
        <v>10.0</v>
      </c>
      <c r="F1178" s="21" t="s">
        <v>2289</v>
      </c>
      <c r="G1178" s="19"/>
      <c r="H1178" s="19"/>
      <c r="I1178" s="19"/>
    </row>
    <row r="1179" ht="56.25" customHeight="1">
      <c r="A1179" s="21" t="s">
        <v>3714</v>
      </c>
      <c r="B1179" s="19" t="str">
        <f>image("https://storage.googleapis.com/acdb/photos/BromideNpcNmlFlg02_Remake_1_0.png")</f>
        <v/>
      </c>
      <c r="C1179" s="21" t="s">
        <v>795</v>
      </c>
      <c r="D1179" s="21" t="s">
        <v>51</v>
      </c>
      <c r="E1179" s="21">
        <v>10.0</v>
      </c>
      <c r="F1179" s="21" t="s">
        <v>2289</v>
      </c>
      <c r="G1179" s="19"/>
      <c r="H1179" s="19"/>
      <c r="I1179" s="19"/>
    </row>
    <row r="1180" ht="56.25" customHeight="1">
      <c r="A1180" s="21" t="s">
        <v>3714</v>
      </c>
      <c r="B1180" s="19" t="str">
        <f>image("https://storage.googleapis.com/acdb/photos/BromideNpcNmlFlg02_Remake_2_0.png")</f>
        <v/>
      </c>
      <c r="C1180" s="21" t="s">
        <v>954</v>
      </c>
      <c r="D1180" s="21" t="s">
        <v>51</v>
      </c>
      <c r="E1180" s="21">
        <v>10.0</v>
      </c>
      <c r="F1180" s="21" t="s">
        <v>2289</v>
      </c>
      <c r="G1180" s="19"/>
      <c r="H1180" s="19"/>
      <c r="I1180" s="19"/>
    </row>
    <row r="1181" ht="56.25" customHeight="1">
      <c r="A1181" s="21" t="s">
        <v>3714</v>
      </c>
      <c r="B1181" s="19" t="str">
        <f>image("https://storage.googleapis.com/acdb/photos/BromideNpcNmlFlg02_Remake_3_0.png")</f>
        <v/>
      </c>
      <c r="C1181" s="21" t="s">
        <v>82</v>
      </c>
      <c r="D1181" s="21" t="s">
        <v>51</v>
      </c>
      <c r="E1181" s="21">
        <v>10.0</v>
      </c>
      <c r="F1181" s="21" t="s">
        <v>2289</v>
      </c>
      <c r="G1181" s="19"/>
      <c r="H1181" s="19"/>
      <c r="I1181" s="19"/>
    </row>
    <row r="1182" ht="56.25" customHeight="1">
      <c r="A1182" s="21" t="s">
        <v>3714</v>
      </c>
      <c r="B1182" s="19" t="str">
        <f>image("https://storage.googleapis.com/acdb/photos/BromideNpcNmlFlg02_Remake_4_0.png")</f>
        <v/>
      </c>
      <c r="C1182" s="21" t="s">
        <v>833</v>
      </c>
      <c r="D1182" s="21" t="s">
        <v>51</v>
      </c>
      <c r="E1182" s="21">
        <v>10.0</v>
      </c>
      <c r="F1182" s="21" t="s">
        <v>2289</v>
      </c>
      <c r="G1182" s="19"/>
      <c r="H1182" s="19"/>
      <c r="I1182" s="19"/>
    </row>
    <row r="1183" ht="56.25" customHeight="1">
      <c r="A1183" s="21" t="s">
        <v>3714</v>
      </c>
      <c r="B1183" s="19" t="str">
        <f>image("https://storage.googleapis.com/acdb/photos/BromideNpcNmlFlg02_Remake_5_0.png")</f>
        <v/>
      </c>
      <c r="C1183" s="21" t="s">
        <v>258</v>
      </c>
      <c r="D1183" s="21" t="s">
        <v>51</v>
      </c>
      <c r="E1183" s="21">
        <v>10.0</v>
      </c>
      <c r="F1183" s="21" t="s">
        <v>2289</v>
      </c>
      <c r="G1183" s="19"/>
      <c r="H1183" s="19"/>
      <c r="I1183" s="19"/>
    </row>
    <row r="1184" ht="56.25" customHeight="1">
      <c r="A1184" s="21" t="s">
        <v>3714</v>
      </c>
      <c r="B1184" s="19" t="str">
        <f>image("https://storage.googleapis.com/acdb/photos/BromideNpcNmlFlg02_Remake_6_0.png")</f>
        <v/>
      </c>
      <c r="C1184" s="21" t="s">
        <v>182</v>
      </c>
      <c r="D1184" s="21" t="s">
        <v>51</v>
      </c>
      <c r="E1184" s="21">
        <v>10.0</v>
      </c>
      <c r="F1184" s="21" t="s">
        <v>2289</v>
      </c>
      <c r="G1184" s="19"/>
      <c r="H1184" s="19"/>
      <c r="I1184" s="19"/>
    </row>
    <row r="1185" ht="56.25" customHeight="1">
      <c r="A1185" s="21" t="s">
        <v>3714</v>
      </c>
      <c r="B1185" s="19" t="str">
        <f>image("https://storage.googleapis.com/acdb/photos/BromideNpcNmlFlg02_Remake_7_0.png")</f>
        <v/>
      </c>
      <c r="C1185" s="21" t="s">
        <v>187</v>
      </c>
      <c r="D1185" s="21" t="s">
        <v>51</v>
      </c>
      <c r="E1185" s="21">
        <v>10.0</v>
      </c>
      <c r="F1185" s="21" t="s">
        <v>2289</v>
      </c>
      <c r="G1185" s="19"/>
      <c r="H1185" s="19"/>
      <c r="I1185" s="19"/>
    </row>
    <row r="1186" ht="56.25" customHeight="1">
      <c r="A1186" s="21" t="s">
        <v>3720</v>
      </c>
      <c r="B1186" s="19" t="str">
        <f>image("https://storage.googleapis.com/acdb/photos/BromideNpcNmlDer06_Remake_0_0.png")</f>
        <v/>
      </c>
      <c r="C1186" s="21" t="s">
        <v>219</v>
      </c>
      <c r="D1186" s="21" t="s">
        <v>51</v>
      </c>
      <c r="E1186" s="21">
        <v>10.0</v>
      </c>
      <c r="F1186" s="21" t="s">
        <v>2289</v>
      </c>
      <c r="G1186" s="19"/>
      <c r="H1186" s="19"/>
      <c r="I1186" s="19"/>
    </row>
    <row r="1187" ht="56.25" customHeight="1">
      <c r="A1187" s="21" t="s">
        <v>3720</v>
      </c>
      <c r="B1187" s="19" t="str">
        <f>image("https://storage.googleapis.com/acdb/photos/BromideNpcNmlDer06_Remake_1_0.png")</f>
        <v/>
      </c>
      <c r="C1187" s="21" t="s">
        <v>795</v>
      </c>
      <c r="D1187" s="21" t="s">
        <v>51</v>
      </c>
      <c r="E1187" s="21">
        <v>10.0</v>
      </c>
      <c r="F1187" s="21" t="s">
        <v>2289</v>
      </c>
      <c r="G1187" s="19"/>
      <c r="H1187" s="19"/>
      <c r="I1187" s="19"/>
    </row>
    <row r="1188" ht="56.25" customHeight="1">
      <c r="A1188" s="21" t="s">
        <v>3720</v>
      </c>
      <c r="B1188" s="19" t="str">
        <f>image("https://storage.googleapis.com/acdb/photos/BromideNpcNmlDer06_Remake_2_0.png")</f>
        <v/>
      </c>
      <c r="C1188" s="21" t="s">
        <v>954</v>
      </c>
      <c r="D1188" s="21" t="s">
        <v>51</v>
      </c>
      <c r="E1188" s="21">
        <v>10.0</v>
      </c>
      <c r="F1188" s="21" t="s">
        <v>2289</v>
      </c>
      <c r="G1188" s="19"/>
      <c r="H1188" s="19"/>
      <c r="I1188" s="19"/>
    </row>
    <row r="1189" ht="56.25" customHeight="1">
      <c r="A1189" s="21" t="s">
        <v>3720</v>
      </c>
      <c r="B1189" s="19" t="str">
        <f>image("https://storage.googleapis.com/acdb/photos/BromideNpcNmlDer06_Remake_3_0.png")</f>
        <v/>
      </c>
      <c r="C1189" s="21" t="s">
        <v>82</v>
      </c>
      <c r="D1189" s="21" t="s">
        <v>51</v>
      </c>
      <c r="E1189" s="21">
        <v>10.0</v>
      </c>
      <c r="F1189" s="21" t="s">
        <v>2289</v>
      </c>
      <c r="G1189" s="19"/>
      <c r="H1189" s="19"/>
      <c r="I1189" s="19"/>
    </row>
    <row r="1190" ht="56.25" customHeight="1">
      <c r="A1190" s="21" t="s">
        <v>3720</v>
      </c>
      <c r="B1190" s="19" t="str">
        <f>image("https://storage.googleapis.com/acdb/photos/BromideNpcNmlDer06_Remake_4_0.png")</f>
        <v/>
      </c>
      <c r="C1190" s="21" t="s">
        <v>833</v>
      </c>
      <c r="D1190" s="21" t="s">
        <v>51</v>
      </c>
      <c r="E1190" s="21">
        <v>10.0</v>
      </c>
      <c r="F1190" s="21" t="s">
        <v>2289</v>
      </c>
      <c r="G1190" s="19"/>
      <c r="H1190" s="19"/>
      <c r="I1190" s="19"/>
    </row>
    <row r="1191" ht="56.25" customHeight="1">
      <c r="A1191" s="21" t="s">
        <v>3720</v>
      </c>
      <c r="B1191" s="19" t="str">
        <f>image("https://storage.googleapis.com/acdb/photos/BromideNpcNmlDer06_Remake_5_0.png")</f>
        <v/>
      </c>
      <c r="C1191" s="21" t="s">
        <v>258</v>
      </c>
      <c r="D1191" s="21" t="s">
        <v>51</v>
      </c>
      <c r="E1191" s="21">
        <v>10.0</v>
      </c>
      <c r="F1191" s="21" t="s">
        <v>2289</v>
      </c>
      <c r="G1191" s="19"/>
      <c r="H1191" s="19"/>
      <c r="I1191" s="19"/>
    </row>
    <row r="1192" ht="56.25" customHeight="1">
      <c r="A1192" s="21" t="s">
        <v>3720</v>
      </c>
      <c r="B1192" s="19" t="str">
        <f>image("https://storage.googleapis.com/acdb/photos/BromideNpcNmlDer06_Remake_6_0.png")</f>
        <v/>
      </c>
      <c r="C1192" s="21" t="s">
        <v>182</v>
      </c>
      <c r="D1192" s="21" t="s">
        <v>51</v>
      </c>
      <c r="E1192" s="21">
        <v>10.0</v>
      </c>
      <c r="F1192" s="21" t="s">
        <v>2289</v>
      </c>
      <c r="G1192" s="19"/>
      <c r="H1192" s="19"/>
      <c r="I1192" s="19"/>
    </row>
    <row r="1193" ht="56.25" customHeight="1">
      <c r="A1193" s="21" t="s">
        <v>3720</v>
      </c>
      <c r="B1193" s="19" t="str">
        <f>image("https://storage.googleapis.com/acdb/photos/BromideNpcNmlDer06_Remake_7_0.png")</f>
        <v/>
      </c>
      <c r="C1193" s="21" t="s">
        <v>187</v>
      </c>
      <c r="D1193" s="21" t="s">
        <v>51</v>
      </c>
      <c r="E1193" s="21">
        <v>10.0</v>
      </c>
      <c r="F1193" s="21" t="s">
        <v>2289</v>
      </c>
      <c r="G1193" s="19"/>
      <c r="H1193" s="19"/>
      <c r="I1193" s="19"/>
    </row>
    <row r="1194" ht="56.25" customHeight="1">
      <c r="A1194" s="21" t="s">
        <v>3728</v>
      </c>
      <c r="B1194" s="19" t="str">
        <f>image("https://storage.googleapis.com/acdb/photos/BromideNpcNmlRbt05_Remake_0_0.png")</f>
        <v/>
      </c>
      <c r="C1194" s="21" t="s">
        <v>219</v>
      </c>
      <c r="D1194" s="21" t="s">
        <v>51</v>
      </c>
      <c r="E1194" s="21">
        <v>10.0</v>
      </c>
      <c r="F1194" s="21" t="s">
        <v>2289</v>
      </c>
      <c r="G1194" s="19"/>
      <c r="H1194" s="19"/>
      <c r="I1194" s="19"/>
    </row>
    <row r="1195" ht="56.25" customHeight="1">
      <c r="A1195" s="21" t="s">
        <v>3728</v>
      </c>
      <c r="B1195" s="19" t="str">
        <f>image("https://storage.googleapis.com/acdb/photos/BromideNpcNmlRbt05_Remake_1_0.png")</f>
        <v/>
      </c>
      <c r="C1195" s="21" t="s">
        <v>795</v>
      </c>
      <c r="D1195" s="21" t="s">
        <v>51</v>
      </c>
      <c r="E1195" s="21">
        <v>10.0</v>
      </c>
      <c r="F1195" s="21" t="s">
        <v>2289</v>
      </c>
      <c r="G1195" s="19"/>
      <c r="H1195" s="19"/>
      <c r="I1195" s="19"/>
    </row>
    <row r="1196" ht="56.25" customHeight="1">
      <c r="A1196" s="21" t="s">
        <v>3728</v>
      </c>
      <c r="B1196" s="19" t="str">
        <f>image("https://storage.googleapis.com/acdb/photos/BromideNpcNmlRbt05_Remake_2_0.png")</f>
        <v/>
      </c>
      <c r="C1196" s="21" t="s">
        <v>954</v>
      </c>
      <c r="D1196" s="21" t="s">
        <v>51</v>
      </c>
      <c r="E1196" s="21">
        <v>10.0</v>
      </c>
      <c r="F1196" s="21" t="s">
        <v>2289</v>
      </c>
      <c r="G1196" s="19"/>
      <c r="H1196" s="19"/>
      <c r="I1196" s="19"/>
    </row>
    <row r="1197" ht="56.25" customHeight="1">
      <c r="A1197" s="21" t="s">
        <v>3728</v>
      </c>
      <c r="B1197" s="19" t="str">
        <f>image("https://storage.googleapis.com/acdb/photos/BromideNpcNmlRbt05_Remake_3_0.png")</f>
        <v/>
      </c>
      <c r="C1197" s="21" t="s">
        <v>82</v>
      </c>
      <c r="D1197" s="21" t="s">
        <v>51</v>
      </c>
      <c r="E1197" s="21">
        <v>10.0</v>
      </c>
      <c r="F1197" s="21" t="s">
        <v>2289</v>
      </c>
      <c r="G1197" s="19"/>
      <c r="H1197" s="19"/>
      <c r="I1197" s="19"/>
    </row>
    <row r="1198" ht="56.25" customHeight="1">
      <c r="A1198" s="21" t="s">
        <v>3728</v>
      </c>
      <c r="B1198" s="19" t="str">
        <f>image("https://storage.googleapis.com/acdb/photos/BromideNpcNmlRbt05_Remake_4_0.png")</f>
        <v/>
      </c>
      <c r="C1198" s="21" t="s">
        <v>833</v>
      </c>
      <c r="D1198" s="21" t="s">
        <v>51</v>
      </c>
      <c r="E1198" s="21">
        <v>10.0</v>
      </c>
      <c r="F1198" s="21" t="s">
        <v>2289</v>
      </c>
      <c r="G1198" s="19"/>
      <c r="H1198" s="19"/>
      <c r="I1198" s="19"/>
    </row>
    <row r="1199" ht="56.25" customHeight="1">
      <c r="A1199" s="21" t="s">
        <v>3728</v>
      </c>
      <c r="B1199" s="19" t="str">
        <f>image("https://storage.googleapis.com/acdb/photos/BromideNpcNmlRbt05_Remake_5_0.png")</f>
        <v/>
      </c>
      <c r="C1199" s="21" t="s">
        <v>258</v>
      </c>
      <c r="D1199" s="21" t="s">
        <v>51</v>
      </c>
      <c r="E1199" s="21">
        <v>10.0</v>
      </c>
      <c r="F1199" s="21" t="s">
        <v>2289</v>
      </c>
      <c r="G1199" s="19"/>
      <c r="H1199" s="19"/>
      <c r="I1199" s="19"/>
    </row>
    <row r="1200" ht="56.25" customHeight="1">
      <c r="A1200" s="21" t="s">
        <v>3728</v>
      </c>
      <c r="B1200" s="19" t="str">
        <f>image("https://storage.googleapis.com/acdb/photos/BromideNpcNmlRbt05_Remake_6_0.png")</f>
        <v/>
      </c>
      <c r="C1200" s="21" t="s">
        <v>182</v>
      </c>
      <c r="D1200" s="21" t="s">
        <v>51</v>
      </c>
      <c r="E1200" s="21">
        <v>10.0</v>
      </c>
      <c r="F1200" s="21" t="s">
        <v>2289</v>
      </c>
      <c r="G1200" s="19"/>
      <c r="H1200" s="19"/>
      <c r="I1200" s="19"/>
    </row>
    <row r="1201" ht="56.25" customHeight="1">
      <c r="A1201" s="21" t="s">
        <v>3728</v>
      </c>
      <c r="B1201" s="19" t="str">
        <f>image("https://storage.googleapis.com/acdb/photos/BromideNpcNmlRbt05_Remake_7_0.png")</f>
        <v/>
      </c>
      <c r="C1201" s="21" t="s">
        <v>187</v>
      </c>
      <c r="D1201" s="21" t="s">
        <v>51</v>
      </c>
      <c r="E1201" s="21">
        <v>10.0</v>
      </c>
      <c r="F1201" s="21" t="s">
        <v>2289</v>
      </c>
      <c r="G1201" s="19"/>
      <c r="H1201" s="19"/>
      <c r="I1201" s="19"/>
    </row>
    <row r="1202" ht="56.25" customHeight="1">
      <c r="A1202" s="21" t="s">
        <v>3739</v>
      </c>
      <c r="B1202" s="19" t="str">
        <f>image("https://storage.googleapis.com/acdb/photos/BromideNpcNmlPig13_Remake_0_0.png")</f>
        <v/>
      </c>
      <c r="C1202" s="21" t="s">
        <v>219</v>
      </c>
      <c r="D1202" s="21" t="s">
        <v>51</v>
      </c>
      <c r="E1202" s="21">
        <v>10.0</v>
      </c>
      <c r="F1202" s="21" t="s">
        <v>2289</v>
      </c>
      <c r="G1202" s="19"/>
      <c r="H1202" s="19"/>
      <c r="I1202" s="19"/>
    </row>
    <row r="1203" ht="56.25" customHeight="1">
      <c r="A1203" s="21" t="s">
        <v>3739</v>
      </c>
      <c r="B1203" s="19" t="str">
        <f>image("https://storage.googleapis.com/acdb/photos/BromideNpcNmlPig13_Remake_1_0.png")</f>
        <v/>
      </c>
      <c r="C1203" s="21" t="s">
        <v>795</v>
      </c>
      <c r="D1203" s="21" t="s">
        <v>51</v>
      </c>
      <c r="E1203" s="21">
        <v>10.0</v>
      </c>
      <c r="F1203" s="21" t="s">
        <v>2289</v>
      </c>
      <c r="G1203" s="19"/>
      <c r="H1203" s="19"/>
      <c r="I1203" s="19"/>
    </row>
    <row r="1204" ht="56.25" customHeight="1">
      <c r="A1204" s="21" t="s">
        <v>3739</v>
      </c>
      <c r="B1204" s="19" t="str">
        <f>image("https://storage.googleapis.com/acdb/photos/BromideNpcNmlPig13_Remake_2_0.png")</f>
        <v/>
      </c>
      <c r="C1204" s="21" t="s">
        <v>954</v>
      </c>
      <c r="D1204" s="21" t="s">
        <v>51</v>
      </c>
      <c r="E1204" s="21">
        <v>10.0</v>
      </c>
      <c r="F1204" s="21" t="s">
        <v>2289</v>
      </c>
      <c r="G1204" s="19"/>
      <c r="H1204" s="19"/>
      <c r="I1204" s="19"/>
    </row>
    <row r="1205" ht="56.25" customHeight="1">
      <c r="A1205" s="21" t="s">
        <v>3739</v>
      </c>
      <c r="B1205" s="19" t="str">
        <f>image("https://storage.googleapis.com/acdb/photos/BromideNpcNmlPig13_Remake_3_0.png")</f>
        <v/>
      </c>
      <c r="C1205" s="21" t="s">
        <v>82</v>
      </c>
      <c r="D1205" s="21" t="s">
        <v>51</v>
      </c>
      <c r="E1205" s="21">
        <v>10.0</v>
      </c>
      <c r="F1205" s="21" t="s">
        <v>2289</v>
      </c>
      <c r="G1205" s="19"/>
      <c r="H1205" s="19"/>
      <c r="I1205" s="19"/>
    </row>
    <row r="1206" ht="56.25" customHeight="1">
      <c r="A1206" s="21" t="s">
        <v>3739</v>
      </c>
      <c r="B1206" s="19" t="str">
        <f>image("https://storage.googleapis.com/acdb/photos/BromideNpcNmlPig13_Remake_4_0.png")</f>
        <v/>
      </c>
      <c r="C1206" s="21" t="s">
        <v>833</v>
      </c>
      <c r="D1206" s="21" t="s">
        <v>51</v>
      </c>
      <c r="E1206" s="21">
        <v>10.0</v>
      </c>
      <c r="F1206" s="21" t="s">
        <v>2289</v>
      </c>
      <c r="G1206" s="19"/>
      <c r="H1206" s="19"/>
      <c r="I1206" s="19"/>
    </row>
    <row r="1207" ht="56.25" customHeight="1">
      <c r="A1207" s="21" t="s">
        <v>3739</v>
      </c>
      <c r="B1207" s="19" t="str">
        <f>image("https://storage.googleapis.com/acdb/photos/BromideNpcNmlPig13_Remake_5_0.png")</f>
        <v/>
      </c>
      <c r="C1207" s="21" t="s">
        <v>258</v>
      </c>
      <c r="D1207" s="21" t="s">
        <v>51</v>
      </c>
      <c r="E1207" s="21">
        <v>10.0</v>
      </c>
      <c r="F1207" s="21" t="s">
        <v>2289</v>
      </c>
      <c r="G1207" s="19"/>
      <c r="H1207" s="19"/>
      <c r="I1207" s="19"/>
    </row>
    <row r="1208" ht="56.25" customHeight="1">
      <c r="A1208" s="21" t="s">
        <v>3739</v>
      </c>
      <c r="B1208" s="19" t="str">
        <f>image("https://storage.googleapis.com/acdb/photos/BromideNpcNmlPig13_Remake_6_0.png")</f>
        <v/>
      </c>
      <c r="C1208" s="21" t="s">
        <v>182</v>
      </c>
      <c r="D1208" s="21" t="s">
        <v>51</v>
      </c>
      <c r="E1208" s="21">
        <v>10.0</v>
      </c>
      <c r="F1208" s="21" t="s">
        <v>2289</v>
      </c>
      <c r="G1208" s="19"/>
      <c r="H1208" s="19"/>
      <c r="I1208" s="19"/>
    </row>
    <row r="1209" ht="56.25" customHeight="1">
      <c r="A1209" s="21" t="s">
        <v>3739</v>
      </c>
      <c r="B1209" s="19" t="str">
        <f>image("https://storage.googleapis.com/acdb/photos/BromideNpcNmlPig13_Remake_7_0.png")</f>
        <v/>
      </c>
      <c r="C1209" s="21" t="s">
        <v>187</v>
      </c>
      <c r="D1209" s="21" t="s">
        <v>51</v>
      </c>
      <c r="E1209" s="21">
        <v>10.0</v>
      </c>
      <c r="F1209" s="21" t="s">
        <v>2289</v>
      </c>
      <c r="G1209" s="19"/>
      <c r="H1209" s="19"/>
      <c r="I1209" s="19"/>
    </row>
    <row r="1210" ht="56.25" customHeight="1">
      <c r="A1210" s="21" t="s">
        <v>3747</v>
      </c>
      <c r="B1210" s="19" t="str">
        <f>image("https://storage.googleapis.com/acdb/photos/BromideNpcNmlRbt04_Remake_0_0.png")</f>
        <v/>
      </c>
      <c r="C1210" s="21" t="s">
        <v>219</v>
      </c>
      <c r="D1210" s="21" t="s">
        <v>51</v>
      </c>
      <c r="E1210" s="21">
        <v>10.0</v>
      </c>
      <c r="F1210" s="21" t="s">
        <v>2289</v>
      </c>
      <c r="G1210" s="19"/>
      <c r="H1210" s="19"/>
      <c r="I1210" s="19"/>
    </row>
    <row r="1211" ht="56.25" customHeight="1">
      <c r="A1211" s="21" t="s">
        <v>3747</v>
      </c>
      <c r="B1211" s="19" t="str">
        <f>image("https://storage.googleapis.com/acdb/photos/BromideNpcNmlRbt04_Remake_1_0.png")</f>
        <v/>
      </c>
      <c r="C1211" s="21" t="s">
        <v>795</v>
      </c>
      <c r="D1211" s="21" t="s">
        <v>51</v>
      </c>
      <c r="E1211" s="21">
        <v>10.0</v>
      </c>
      <c r="F1211" s="21" t="s">
        <v>2289</v>
      </c>
      <c r="G1211" s="19"/>
      <c r="H1211" s="19"/>
      <c r="I1211" s="19"/>
    </row>
    <row r="1212" ht="56.25" customHeight="1">
      <c r="A1212" s="21" t="s">
        <v>3747</v>
      </c>
      <c r="B1212" s="19" t="str">
        <f>image("https://storage.googleapis.com/acdb/photos/BromideNpcNmlRbt04_Remake_2_0.png")</f>
        <v/>
      </c>
      <c r="C1212" s="21" t="s">
        <v>954</v>
      </c>
      <c r="D1212" s="21" t="s">
        <v>51</v>
      </c>
      <c r="E1212" s="21">
        <v>10.0</v>
      </c>
      <c r="F1212" s="21" t="s">
        <v>2289</v>
      </c>
      <c r="G1212" s="19"/>
      <c r="H1212" s="19"/>
      <c r="I1212" s="19"/>
    </row>
    <row r="1213" ht="56.25" customHeight="1">
      <c r="A1213" s="21" t="s">
        <v>3747</v>
      </c>
      <c r="B1213" s="19" t="str">
        <f>image("https://storage.googleapis.com/acdb/photos/BromideNpcNmlRbt04_Remake_3_0.png")</f>
        <v/>
      </c>
      <c r="C1213" s="21" t="s">
        <v>82</v>
      </c>
      <c r="D1213" s="21" t="s">
        <v>51</v>
      </c>
      <c r="E1213" s="21">
        <v>10.0</v>
      </c>
      <c r="F1213" s="21" t="s">
        <v>2289</v>
      </c>
      <c r="G1213" s="19"/>
      <c r="H1213" s="19"/>
      <c r="I1213" s="19"/>
    </row>
    <row r="1214" ht="56.25" customHeight="1">
      <c r="A1214" s="21" t="s">
        <v>3747</v>
      </c>
      <c r="B1214" s="19" t="str">
        <f>image("https://storage.googleapis.com/acdb/photos/BromideNpcNmlRbt04_Remake_4_0.png")</f>
        <v/>
      </c>
      <c r="C1214" s="21" t="s">
        <v>833</v>
      </c>
      <c r="D1214" s="21" t="s">
        <v>51</v>
      </c>
      <c r="E1214" s="21">
        <v>10.0</v>
      </c>
      <c r="F1214" s="21" t="s">
        <v>2289</v>
      </c>
      <c r="G1214" s="19"/>
      <c r="H1214" s="19"/>
      <c r="I1214" s="19"/>
    </row>
    <row r="1215" ht="56.25" customHeight="1">
      <c r="A1215" s="21" t="s">
        <v>3747</v>
      </c>
      <c r="B1215" s="19" t="str">
        <f>image("https://storage.googleapis.com/acdb/photos/BromideNpcNmlRbt04_Remake_5_0.png")</f>
        <v/>
      </c>
      <c r="C1215" s="21" t="s">
        <v>258</v>
      </c>
      <c r="D1215" s="21" t="s">
        <v>51</v>
      </c>
      <c r="E1215" s="21">
        <v>10.0</v>
      </c>
      <c r="F1215" s="21" t="s">
        <v>2289</v>
      </c>
      <c r="G1215" s="19"/>
      <c r="H1215" s="19"/>
      <c r="I1215" s="19"/>
    </row>
    <row r="1216" ht="56.25" customHeight="1">
      <c r="A1216" s="21" t="s">
        <v>3747</v>
      </c>
      <c r="B1216" s="19" t="str">
        <f>image("https://storage.googleapis.com/acdb/photos/BromideNpcNmlRbt04_Remake_6_0.png")</f>
        <v/>
      </c>
      <c r="C1216" s="21" t="s">
        <v>182</v>
      </c>
      <c r="D1216" s="21" t="s">
        <v>51</v>
      </c>
      <c r="E1216" s="21">
        <v>10.0</v>
      </c>
      <c r="F1216" s="21" t="s">
        <v>2289</v>
      </c>
      <c r="G1216" s="19"/>
      <c r="H1216" s="19"/>
      <c r="I1216" s="19"/>
    </row>
    <row r="1217" ht="56.25" customHeight="1">
      <c r="A1217" s="21" t="s">
        <v>3747</v>
      </c>
      <c r="B1217" s="19" t="str">
        <f>image("https://storage.googleapis.com/acdb/photos/BromideNpcNmlRbt04_Remake_7_0.png")</f>
        <v/>
      </c>
      <c r="C1217" s="21" t="s">
        <v>187</v>
      </c>
      <c r="D1217" s="21" t="s">
        <v>51</v>
      </c>
      <c r="E1217" s="21">
        <v>10.0</v>
      </c>
      <c r="F1217" s="21" t="s">
        <v>2289</v>
      </c>
      <c r="G1217" s="19"/>
      <c r="H1217" s="19"/>
      <c r="I1217" s="19"/>
    </row>
    <row r="1218" ht="56.25" customHeight="1">
      <c r="A1218" s="21" t="s">
        <v>3753</v>
      </c>
      <c r="B1218" s="19" t="str">
        <f>image("https://storage.googleapis.com/acdb/photos/BromideNpcNmlCrd07_Remake_0_0.png")</f>
        <v/>
      </c>
      <c r="C1218" s="21" t="s">
        <v>219</v>
      </c>
      <c r="D1218" s="21" t="s">
        <v>51</v>
      </c>
      <c r="E1218" s="21">
        <v>10.0</v>
      </c>
      <c r="F1218" s="21" t="s">
        <v>2289</v>
      </c>
      <c r="G1218" s="19"/>
      <c r="H1218" s="19"/>
      <c r="I1218" s="19"/>
    </row>
    <row r="1219" ht="56.25" customHeight="1">
      <c r="A1219" s="21" t="s">
        <v>3753</v>
      </c>
      <c r="B1219" s="19" t="str">
        <f>image("https://storage.googleapis.com/acdb/photos/BromideNpcNmlCrd07_Remake_1_0.png")</f>
        <v/>
      </c>
      <c r="C1219" s="21" t="s">
        <v>795</v>
      </c>
      <c r="D1219" s="21" t="s">
        <v>51</v>
      </c>
      <c r="E1219" s="21">
        <v>10.0</v>
      </c>
      <c r="F1219" s="21" t="s">
        <v>2289</v>
      </c>
      <c r="G1219" s="19"/>
      <c r="H1219" s="19"/>
      <c r="I1219" s="19"/>
    </row>
    <row r="1220" ht="56.25" customHeight="1">
      <c r="A1220" s="21" t="s">
        <v>3753</v>
      </c>
      <c r="B1220" s="19" t="str">
        <f>image("https://storage.googleapis.com/acdb/photos/BromideNpcNmlCrd07_Remake_2_0.png")</f>
        <v/>
      </c>
      <c r="C1220" s="21" t="s">
        <v>954</v>
      </c>
      <c r="D1220" s="21" t="s">
        <v>51</v>
      </c>
      <c r="E1220" s="21">
        <v>10.0</v>
      </c>
      <c r="F1220" s="21" t="s">
        <v>2289</v>
      </c>
      <c r="G1220" s="19"/>
      <c r="H1220" s="19"/>
      <c r="I1220" s="19"/>
    </row>
    <row r="1221" ht="56.25" customHeight="1">
      <c r="A1221" s="21" t="s">
        <v>3753</v>
      </c>
      <c r="B1221" s="19" t="str">
        <f>image("https://storage.googleapis.com/acdb/photos/BromideNpcNmlCrd07_Remake_3_0.png")</f>
        <v/>
      </c>
      <c r="C1221" s="21" t="s">
        <v>82</v>
      </c>
      <c r="D1221" s="21" t="s">
        <v>51</v>
      </c>
      <c r="E1221" s="21">
        <v>10.0</v>
      </c>
      <c r="F1221" s="21" t="s">
        <v>2289</v>
      </c>
      <c r="G1221" s="19"/>
      <c r="H1221" s="19"/>
      <c r="I1221" s="19"/>
    </row>
    <row r="1222" ht="56.25" customHeight="1">
      <c r="A1222" s="21" t="s">
        <v>3753</v>
      </c>
      <c r="B1222" s="19" t="str">
        <f>image("https://storage.googleapis.com/acdb/photos/BromideNpcNmlCrd07_Remake_4_0.png")</f>
        <v/>
      </c>
      <c r="C1222" s="21" t="s">
        <v>833</v>
      </c>
      <c r="D1222" s="21" t="s">
        <v>51</v>
      </c>
      <c r="E1222" s="21">
        <v>10.0</v>
      </c>
      <c r="F1222" s="21" t="s">
        <v>2289</v>
      </c>
      <c r="G1222" s="19"/>
      <c r="H1222" s="19"/>
      <c r="I1222" s="19"/>
    </row>
    <row r="1223" ht="56.25" customHeight="1">
      <c r="A1223" s="21" t="s">
        <v>3753</v>
      </c>
      <c r="B1223" s="19" t="str">
        <f>image("https://storage.googleapis.com/acdb/photos/BromideNpcNmlCrd07_Remake_5_0.png")</f>
        <v/>
      </c>
      <c r="C1223" s="21" t="s">
        <v>258</v>
      </c>
      <c r="D1223" s="21" t="s">
        <v>51</v>
      </c>
      <c r="E1223" s="21">
        <v>10.0</v>
      </c>
      <c r="F1223" s="21" t="s">
        <v>2289</v>
      </c>
      <c r="G1223" s="19"/>
      <c r="H1223" s="19"/>
      <c r="I1223" s="19"/>
    </row>
    <row r="1224" ht="56.25" customHeight="1">
      <c r="A1224" s="21" t="s">
        <v>3753</v>
      </c>
      <c r="B1224" s="19" t="str">
        <f>image("https://storage.googleapis.com/acdb/photos/BromideNpcNmlCrd07_Remake_6_0.png")</f>
        <v/>
      </c>
      <c r="C1224" s="21" t="s">
        <v>182</v>
      </c>
      <c r="D1224" s="21" t="s">
        <v>51</v>
      </c>
      <c r="E1224" s="21">
        <v>10.0</v>
      </c>
      <c r="F1224" s="21" t="s">
        <v>2289</v>
      </c>
      <c r="G1224" s="19"/>
      <c r="H1224" s="19"/>
      <c r="I1224" s="19"/>
    </row>
    <row r="1225" ht="56.25" customHeight="1">
      <c r="A1225" s="21" t="s">
        <v>3753</v>
      </c>
      <c r="B1225" s="19" t="str">
        <f>image("https://storage.googleapis.com/acdb/photos/BromideNpcNmlCrd07_Remake_7_0.png")</f>
        <v/>
      </c>
      <c r="C1225" s="21" t="s">
        <v>187</v>
      </c>
      <c r="D1225" s="21" t="s">
        <v>51</v>
      </c>
      <c r="E1225" s="21">
        <v>10.0</v>
      </c>
      <c r="F1225" s="21" t="s">
        <v>2289</v>
      </c>
      <c r="G1225" s="19"/>
      <c r="H1225" s="19"/>
      <c r="I1225" s="19"/>
    </row>
    <row r="1226" ht="56.25" customHeight="1">
      <c r="A1226" s="21" t="s">
        <v>3760</v>
      </c>
      <c r="B1226" s="19" t="str">
        <f>image("https://storage.googleapis.com/acdb/photos/BromideNpcNmlRbt08_Remake_0_0.png")</f>
        <v/>
      </c>
      <c r="C1226" s="21" t="s">
        <v>219</v>
      </c>
      <c r="D1226" s="21" t="s">
        <v>51</v>
      </c>
      <c r="E1226" s="21">
        <v>10.0</v>
      </c>
      <c r="F1226" s="21" t="s">
        <v>2289</v>
      </c>
      <c r="G1226" s="19"/>
      <c r="H1226" s="19"/>
      <c r="I1226" s="19"/>
    </row>
    <row r="1227" ht="56.25" customHeight="1">
      <c r="A1227" s="21" t="s">
        <v>3760</v>
      </c>
      <c r="B1227" s="19" t="str">
        <f>image("https://storage.googleapis.com/acdb/photos/BromideNpcNmlRbt08_Remake_1_0.png")</f>
        <v/>
      </c>
      <c r="C1227" s="21" t="s">
        <v>795</v>
      </c>
      <c r="D1227" s="21" t="s">
        <v>51</v>
      </c>
      <c r="E1227" s="21">
        <v>10.0</v>
      </c>
      <c r="F1227" s="21" t="s">
        <v>2289</v>
      </c>
      <c r="G1227" s="19"/>
      <c r="H1227" s="19"/>
      <c r="I1227" s="19"/>
    </row>
    <row r="1228" ht="56.25" customHeight="1">
      <c r="A1228" s="21" t="s">
        <v>3760</v>
      </c>
      <c r="B1228" s="19" t="str">
        <f>image("https://storage.googleapis.com/acdb/photos/BromideNpcNmlRbt08_Remake_2_0.png")</f>
        <v/>
      </c>
      <c r="C1228" s="21" t="s">
        <v>954</v>
      </c>
      <c r="D1228" s="21" t="s">
        <v>51</v>
      </c>
      <c r="E1228" s="21">
        <v>10.0</v>
      </c>
      <c r="F1228" s="21" t="s">
        <v>2289</v>
      </c>
      <c r="G1228" s="19"/>
      <c r="H1228" s="19"/>
      <c r="I1228" s="19"/>
    </row>
    <row r="1229" ht="56.25" customHeight="1">
      <c r="A1229" s="21" t="s">
        <v>3760</v>
      </c>
      <c r="B1229" s="19" t="str">
        <f>image("https://storage.googleapis.com/acdb/photos/BromideNpcNmlRbt08_Remake_3_0.png")</f>
        <v/>
      </c>
      <c r="C1229" s="21" t="s">
        <v>82</v>
      </c>
      <c r="D1229" s="21" t="s">
        <v>51</v>
      </c>
      <c r="E1229" s="21">
        <v>10.0</v>
      </c>
      <c r="F1229" s="21" t="s">
        <v>2289</v>
      </c>
      <c r="G1229" s="19"/>
      <c r="H1229" s="19"/>
      <c r="I1229" s="19"/>
    </row>
    <row r="1230" ht="56.25" customHeight="1">
      <c r="A1230" s="21" t="s">
        <v>3760</v>
      </c>
      <c r="B1230" s="19" t="str">
        <f>image("https://storage.googleapis.com/acdb/photos/BromideNpcNmlRbt08_Remake_4_0.png")</f>
        <v/>
      </c>
      <c r="C1230" s="21" t="s">
        <v>833</v>
      </c>
      <c r="D1230" s="21" t="s">
        <v>51</v>
      </c>
      <c r="E1230" s="21">
        <v>10.0</v>
      </c>
      <c r="F1230" s="21" t="s">
        <v>2289</v>
      </c>
      <c r="G1230" s="19"/>
      <c r="H1230" s="19"/>
      <c r="I1230" s="19"/>
    </row>
    <row r="1231" ht="56.25" customHeight="1">
      <c r="A1231" s="21" t="s">
        <v>3760</v>
      </c>
      <c r="B1231" s="19" t="str">
        <f>image("https://storage.googleapis.com/acdb/photos/BromideNpcNmlRbt08_Remake_5_0.png")</f>
        <v/>
      </c>
      <c r="C1231" s="21" t="s">
        <v>258</v>
      </c>
      <c r="D1231" s="21" t="s">
        <v>51</v>
      </c>
      <c r="E1231" s="21">
        <v>10.0</v>
      </c>
      <c r="F1231" s="21" t="s">
        <v>2289</v>
      </c>
      <c r="G1231" s="19"/>
      <c r="H1231" s="19"/>
      <c r="I1231" s="19"/>
    </row>
    <row r="1232" ht="56.25" customHeight="1">
      <c r="A1232" s="21" t="s">
        <v>3760</v>
      </c>
      <c r="B1232" s="19" t="str">
        <f>image("https://storage.googleapis.com/acdb/photos/BromideNpcNmlRbt08_Remake_6_0.png")</f>
        <v/>
      </c>
      <c r="C1232" s="21" t="s">
        <v>182</v>
      </c>
      <c r="D1232" s="21" t="s">
        <v>51</v>
      </c>
      <c r="E1232" s="21">
        <v>10.0</v>
      </c>
      <c r="F1232" s="21" t="s">
        <v>2289</v>
      </c>
      <c r="G1232" s="19"/>
      <c r="H1232" s="19"/>
      <c r="I1232" s="19"/>
    </row>
    <row r="1233" ht="56.25" customHeight="1">
      <c r="A1233" s="21" t="s">
        <v>3760</v>
      </c>
      <c r="B1233" s="19" t="str">
        <f>image("https://storage.googleapis.com/acdb/photos/BromideNpcNmlRbt08_Remake_7_0.png")</f>
        <v/>
      </c>
      <c r="C1233" s="21" t="s">
        <v>187</v>
      </c>
      <c r="D1233" s="21" t="s">
        <v>51</v>
      </c>
      <c r="E1233" s="21">
        <v>10.0</v>
      </c>
      <c r="F1233" s="21" t="s">
        <v>2289</v>
      </c>
      <c r="G1233" s="19"/>
      <c r="H1233" s="19"/>
      <c r="I1233" s="19"/>
    </row>
    <row r="1234" ht="56.25" customHeight="1">
      <c r="A1234" s="21" t="s">
        <v>3767</v>
      </c>
      <c r="B1234" s="19" t="str">
        <f>image("https://storage.googleapis.com/acdb/photos/BromideNpcNmlFlg16_Remake_0_0.png")</f>
        <v/>
      </c>
      <c r="C1234" s="21" t="s">
        <v>219</v>
      </c>
      <c r="D1234" s="21" t="s">
        <v>51</v>
      </c>
      <c r="E1234" s="21">
        <v>10.0</v>
      </c>
      <c r="F1234" s="21" t="s">
        <v>2289</v>
      </c>
      <c r="G1234" s="19"/>
      <c r="H1234" s="19"/>
      <c r="I1234" s="19"/>
    </row>
    <row r="1235" ht="56.25" customHeight="1">
      <c r="A1235" s="21" t="s">
        <v>3767</v>
      </c>
      <c r="B1235" s="19" t="str">
        <f>image("https://storage.googleapis.com/acdb/photos/BromideNpcNmlFlg16_Remake_1_0.png")</f>
        <v/>
      </c>
      <c r="C1235" s="21" t="s">
        <v>795</v>
      </c>
      <c r="D1235" s="21" t="s">
        <v>51</v>
      </c>
      <c r="E1235" s="21">
        <v>10.0</v>
      </c>
      <c r="F1235" s="21" t="s">
        <v>2289</v>
      </c>
      <c r="G1235" s="19"/>
      <c r="H1235" s="19"/>
      <c r="I1235" s="19"/>
    </row>
    <row r="1236" ht="56.25" customHeight="1">
      <c r="A1236" s="21" t="s">
        <v>3767</v>
      </c>
      <c r="B1236" s="19" t="str">
        <f>image("https://storage.googleapis.com/acdb/photos/BromideNpcNmlFlg16_Remake_2_0.png")</f>
        <v/>
      </c>
      <c r="C1236" s="21" t="s">
        <v>954</v>
      </c>
      <c r="D1236" s="21" t="s">
        <v>51</v>
      </c>
      <c r="E1236" s="21">
        <v>10.0</v>
      </c>
      <c r="F1236" s="21" t="s">
        <v>2289</v>
      </c>
      <c r="G1236" s="19"/>
      <c r="H1236" s="19"/>
      <c r="I1236" s="19"/>
    </row>
    <row r="1237" ht="56.25" customHeight="1">
      <c r="A1237" s="21" t="s">
        <v>3767</v>
      </c>
      <c r="B1237" s="19" t="str">
        <f>image("https://storage.googleapis.com/acdb/photos/BromideNpcNmlFlg16_Remake_3_0.png")</f>
        <v/>
      </c>
      <c r="C1237" s="21" t="s">
        <v>82</v>
      </c>
      <c r="D1237" s="21" t="s">
        <v>51</v>
      </c>
      <c r="E1237" s="21">
        <v>10.0</v>
      </c>
      <c r="F1237" s="21" t="s">
        <v>2289</v>
      </c>
      <c r="G1237" s="19"/>
      <c r="H1237" s="19"/>
      <c r="I1237" s="19"/>
    </row>
    <row r="1238" ht="56.25" customHeight="1">
      <c r="A1238" s="21" t="s">
        <v>3767</v>
      </c>
      <c r="B1238" s="19" t="str">
        <f>image("https://storage.googleapis.com/acdb/photos/BromideNpcNmlFlg16_Remake_4_0.png")</f>
        <v/>
      </c>
      <c r="C1238" s="21" t="s">
        <v>833</v>
      </c>
      <c r="D1238" s="21" t="s">
        <v>51</v>
      </c>
      <c r="E1238" s="21">
        <v>10.0</v>
      </c>
      <c r="F1238" s="21" t="s">
        <v>2289</v>
      </c>
      <c r="G1238" s="19"/>
      <c r="H1238" s="19"/>
      <c r="I1238" s="19"/>
    </row>
    <row r="1239" ht="56.25" customHeight="1">
      <c r="A1239" s="21" t="s">
        <v>3767</v>
      </c>
      <c r="B1239" s="19" t="str">
        <f>image("https://storage.googleapis.com/acdb/photos/BromideNpcNmlFlg16_Remake_5_0.png")</f>
        <v/>
      </c>
      <c r="C1239" s="21" t="s">
        <v>258</v>
      </c>
      <c r="D1239" s="21" t="s">
        <v>51</v>
      </c>
      <c r="E1239" s="21">
        <v>10.0</v>
      </c>
      <c r="F1239" s="21" t="s">
        <v>2289</v>
      </c>
      <c r="G1239" s="19"/>
      <c r="H1239" s="19"/>
      <c r="I1239" s="19"/>
    </row>
    <row r="1240" ht="56.25" customHeight="1">
      <c r="A1240" s="21" t="s">
        <v>3767</v>
      </c>
      <c r="B1240" s="19" t="str">
        <f>image("https://storage.googleapis.com/acdb/photos/BromideNpcNmlFlg16_Remake_6_0.png")</f>
        <v/>
      </c>
      <c r="C1240" s="21" t="s">
        <v>182</v>
      </c>
      <c r="D1240" s="21" t="s">
        <v>51</v>
      </c>
      <c r="E1240" s="21">
        <v>10.0</v>
      </c>
      <c r="F1240" s="21" t="s">
        <v>2289</v>
      </c>
      <c r="G1240" s="19"/>
      <c r="H1240" s="19"/>
      <c r="I1240" s="19"/>
    </row>
    <row r="1241" ht="56.25" customHeight="1">
      <c r="A1241" s="21" t="s">
        <v>3767</v>
      </c>
      <c r="B1241" s="19" t="str">
        <f>image("https://storage.googleapis.com/acdb/photos/BromideNpcNmlFlg16_Remake_7_0.png")</f>
        <v/>
      </c>
      <c r="C1241" s="21" t="s">
        <v>187</v>
      </c>
      <c r="D1241" s="21" t="s">
        <v>51</v>
      </c>
      <c r="E1241" s="21">
        <v>10.0</v>
      </c>
      <c r="F1241" s="21" t="s">
        <v>2289</v>
      </c>
      <c r="G1241" s="19"/>
      <c r="H1241" s="19"/>
      <c r="I1241" s="19"/>
    </row>
    <row r="1242" ht="56.25" customHeight="1">
      <c r="A1242" s="21" t="s">
        <v>3777</v>
      </c>
      <c r="B1242" s="19" t="str">
        <f>image("https://storage.googleapis.com/acdb/photos/BromideNpcNmlOst01_Remake_0_0.png")</f>
        <v/>
      </c>
      <c r="C1242" s="21" t="s">
        <v>219</v>
      </c>
      <c r="D1242" s="21" t="s">
        <v>51</v>
      </c>
      <c r="E1242" s="21">
        <v>10.0</v>
      </c>
      <c r="F1242" s="21" t="s">
        <v>2289</v>
      </c>
      <c r="G1242" s="19"/>
      <c r="H1242" s="19"/>
      <c r="I1242" s="19"/>
    </row>
    <row r="1243" ht="56.25" customHeight="1">
      <c r="A1243" s="21" t="s">
        <v>3777</v>
      </c>
      <c r="B1243" s="19" t="str">
        <f>image("https://storage.googleapis.com/acdb/photos/BromideNpcNmlOst01_Remake_1_0.png")</f>
        <v/>
      </c>
      <c r="C1243" s="21" t="s">
        <v>795</v>
      </c>
      <c r="D1243" s="21" t="s">
        <v>51</v>
      </c>
      <c r="E1243" s="21">
        <v>10.0</v>
      </c>
      <c r="F1243" s="21" t="s">
        <v>2289</v>
      </c>
      <c r="G1243" s="19"/>
      <c r="H1243" s="19"/>
      <c r="I1243" s="19"/>
    </row>
    <row r="1244" ht="56.25" customHeight="1">
      <c r="A1244" s="21" t="s">
        <v>3777</v>
      </c>
      <c r="B1244" s="19" t="str">
        <f>image("https://storage.googleapis.com/acdb/photos/BromideNpcNmlOst01_Remake_2_0.png")</f>
        <v/>
      </c>
      <c r="C1244" s="21" t="s">
        <v>954</v>
      </c>
      <c r="D1244" s="21" t="s">
        <v>51</v>
      </c>
      <c r="E1244" s="21">
        <v>10.0</v>
      </c>
      <c r="F1244" s="21" t="s">
        <v>2289</v>
      </c>
      <c r="G1244" s="19"/>
      <c r="H1244" s="19"/>
      <c r="I1244" s="19"/>
    </row>
    <row r="1245" ht="56.25" customHeight="1">
      <c r="A1245" s="21" t="s">
        <v>3777</v>
      </c>
      <c r="B1245" s="19" t="str">
        <f>image("https://storage.googleapis.com/acdb/photos/BromideNpcNmlOst01_Remake_3_0.png")</f>
        <v/>
      </c>
      <c r="C1245" s="21" t="s">
        <v>82</v>
      </c>
      <c r="D1245" s="21" t="s">
        <v>51</v>
      </c>
      <c r="E1245" s="21">
        <v>10.0</v>
      </c>
      <c r="F1245" s="21" t="s">
        <v>2289</v>
      </c>
      <c r="G1245" s="19"/>
      <c r="H1245" s="19"/>
      <c r="I1245" s="19"/>
    </row>
    <row r="1246" ht="56.25" customHeight="1">
      <c r="A1246" s="21" t="s">
        <v>3777</v>
      </c>
      <c r="B1246" s="19" t="str">
        <f>image("https://storage.googleapis.com/acdb/photos/BromideNpcNmlOst01_Remake_4_0.png")</f>
        <v/>
      </c>
      <c r="C1246" s="21" t="s">
        <v>833</v>
      </c>
      <c r="D1246" s="21" t="s">
        <v>51</v>
      </c>
      <c r="E1246" s="21">
        <v>10.0</v>
      </c>
      <c r="F1246" s="21" t="s">
        <v>2289</v>
      </c>
      <c r="G1246" s="19"/>
      <c r="H1246" s="19"/>
      <c r="I1246" s="19"/>
    </row>
    <row r="1247" ht="56.25" customHeight="1">
      <c r="A1247" s="21" t="s">
        <v>3777</v>
      </c>
      <c r="B1247" s="19" t="str">
        <f>image("https://storage.googleapis.com/acdb/photos/BromideNpcNmlOst01_Remake_5_0.png")</f>
        <v/>
      </c>
      <c r="C1247" s="21" t="s">
        <v>258</v>
      </c>
      <c r="D1247" s="21" t="s">
        <v>51</v>
      </c>
      <c r="E1247" s="21">
        <v>10.0</v>
      </c>
      <c r="F1247" s="21" t="s">
        <v>2289</v>
      </c>
      <c r="G1247" s="19"/>
      <c r="H1247" s="19"/>
      <c r="I1247" s="19"/>
    </row>
    <row r="1248" ht="56.25" customHeight="1">
      <c r="A1248" s="21" t="s">
        <v>3777</v>
      </c>
      <c r="B1248" s="19" t="str">
        <f>image("https://storage.googleapis.com/acdb/photos/BromideNpcNmlOst01_Remake_6_0.png")</f>
        <v/>
      </c>
      <c r="C1248" s="21" t="s">
        <v>182</v>
      </c>
      <c r="D1248" s="21" t="s">
        <v>51</v>
      </c>
      <c r="E1248" s="21">
        <v>10.0</v>
      </c>
      <c r="F1248" s="21" t="s">
        <v>2289</v>
      </c>
      <c r="G1248" s="19"/>
      <c r="H1248" s="19"/>
      <c r="I1248" s="19"/>
    </row>
    <row r="1249" ht="56.25" customHeight="1">
      <c r="A1249" s="21" t="s">
        <v>3777</v>
      </c>
      <c r="B1249" s="19" t="str">
        <f>image("https://storage.googleapis.com/acdb/photos/BromideNpcNmlOst01_Remake_7_0.png")</f>
        <v/>
      </c>
      <c r="C1249" s="21" t="s">
        <v>187</v>
      </c>
      <c r="D1249" s="21" t="s">
        <v>51</v>
      </c>
      <c r="E1249" s="21">
        <v>10.0</v>
      </c>
      <c r="F1249" s="21" t="s">
        <v>2289</v>
      </c>
      <c r="G1249" s="19"/>
      <c r="H1249" s="19"/>
      <c r="I1249" s="19"/>
    </row>
    <row r="1250" ht="56.25" customHeight="1">
      <c r="A1250" s="21" t="s">
        <v>3784</v>
      </c>
      <c r="B1250" s="19" t="str">
        <f>image("https://storage.googleapis.com/acdb/photos/BromideNpcNmlDuk15_Remake_0_0.png")</f>
        <v/>
      </c>
      <c r="C1250" s="21" t="s">
        <v>219</v>
      </c>
      <c r="D1250" s="21" t="s">
        <v>51</v>
      </c>
      <c r="E1250" s="21">
        <v>10.0</v>
      </c>
      <c r="F1250" s="21" t="s">
        <v>2289</v>
      </c>
      <c r="G1250" s="19"/>
      <c r="H1250" s="19"/>
      <c r="I1250" s="19"/>
    </row>
    <row r="1251" ht="56.25" customHeight="1">
      <c r="A1251" s="21" t="s">
        <v>3784</v>
      </c>
      <c r="B1251" s="19" t="str">
        <f>image("https://storage.googleapis.com/acdb/photos/BromideNpcNmlDuk15_Remake_1_0.png")</f>
        <v/>
      </c>
      <c r="C1251" s="21" t="s">
        <v>795</v>
      </c>
      <c r="D1251" s="21" t="s">
        <v>51</v>
      </c>
      <c r="E1251" s="21">
        <v>10.0</v>
      </c>
      <c r="F1251" s="21" t="s">
        <v>2289</v>
      </c>
      <c r="G1251" s="19"/>
      <c r="H1251" s="19"/>
      <c r="I1251" s="19"/>
    </row>
    <row r="1252" ht="56.25" customHeight="1">
      <c r="A1252" s="21" t="s">
        <v>3784</v>
      </c>
      <c r="B1252" s="19" t="str">
        <f>image("https://storage.googleapis.com/acdb/photos/BromideNpcNmlDuk15_Remake_2_0.png")</f>
        <v/>
      </c>
      <c r="C1252" s="21" t="s">
        <v>954</v>
      </c>
      <c r="D1252" s="21" t="s">
        <v>51</v>
      </c>
      <c r="E1252" s="21">
        <v>10.0</v>
      </c>
      <c r="F1252" s="21" t="s">
        <v>2289</v>
      </c>
      <c r="G1252" s="19"/>
      <c r="H1252" s="19"/>
      <c r="I1252" s="19"/>
    </row>
    <row r="1253" ht="56.25" customHeight="1">
      <c r="A1253" s="21" t="s">
        <v>3784</v>
      </c>
      <c r="B1253" s="19" t="str">
        <f>image("https://storage.googleapis.com/acdb/photos/BromideNpcNmlDuk15_Remake_3_0.png")</f>
        <v/>
      </c>
      <c r="C1253" s="21" t="s">
        <v>82</v>
      </c>
      <c r="D1253" s="21" t="s">
        <v>51</v>
      </c>
      <c r="E1253" s="21">
        <v>10.0</v>
      </c>
      <c r="F1253" s="21" t="s">
        <v>2289</v>
      </c>
      <c r="G1253" s="19"/>
      <c r="H1253" s="19"/>
      <c r="I1253" s="19"/>
    </row>
    <row r="1254" ht="56.25" customHeight="1">
      <c r="A1254" s="21" t="s">
        <v>3784</v>
      </c>
      <c r="B1254" s="19" t="str">
        <f>image("https://storage.googleapis.com/acdb/photos/BromideNpcNmlDuk15_Remake_4_0.png")</f>
        <v/>
      </c>
      <c r="C1254" s="21" t="s">
        <v>833</v>
      </c>
      <c r="D1254" s="21" t="s">
        <v>51</v>
      </c>
      <c r="E1254" s="21">
        <v>10.0</v>
      </c>
      <c r="F1254" s="21" t="s">
        <v>2289</v>
      </c>
      <c r="G1254" s="19"/>
      <c r="H1254" s="19"/>
      <c r="I1254" s="19"/>
    </row>
    <row r="1255" ht="56.25" customHeight="1">
      <c r="A1255" s="21" t="s">
        <v>3784</v>
      </c>
      <c r="B1255" s="19" t="str">
        <f>image("https://storage.googleapis.com/acdb/photos/BromideNpcNmlDuk15_Remake_5_0.png")</f>
        <v/>
      </c>
      <c r="C1255" s="21" t="s">
        <v>258</v>
      </c>
      <c r="D1255" s="21" t="s">
        <v>51</v>
      </c>
      <c r="E1255" s="21">
        <v>10.0</v>
      </c>
      <c r="F1255" s="21" t="s">
        <v>2289</v>
      </c>
      <c r="G1255" s="19"/>
      <c r="H1255" s="19"/>
      <c r="I1255" s="19"/>
    </row>
    <row r="1256" ht="56.25" customHeight="1">
      <c r="A1256" s="21" t="s">
        <v>3784</v>
      </c>
      <c r="B1256" s="19" t="str">
        <f>image("https://storage.googleapis.com/acdb/photos/BromideNpcNmlDuk15_Remake_6_0.png")</f>
        <v/>
      </c>
      <c r="C1256" s="21" t="s">
        <v>182</v>
      </c>
      <c r="D1256" s="21" t="s">
        <v>51</v>
      </c>
      <c r="E1256" s="21">
        <v>10.0</v>
      </c>
      <c r="F1256" s="21" t="s">
        <v>2289</v>
      </c>
      <c r="G1256" s="19"/>
      <c r="H1256" s="19"/>
      <c r="I1256" s="19"/>
    </row>
    <row r="1257" ht="56.25" customHeight="1">
      <c r="A1257" s="21" t="s">
        <v>3784</v>
      </c>
      <c r="B1257" s="19" t="str">
        <f>image("https://storage.googleapis.com/acdb/photos/BromideNpcNmlDuk15_Remake_7_0.png")</f>
        <v/>
      </c>
      <c r="C1257" s="21" t="s">
        <v>187</v>
      </c>
      <c r="D1257" s="21" t="s">
        <v>51</v>
      </c>
      <c r="E1257" s="21">
        <v>10.0</v>
      </c>
      <c r="F1257" s="21" t="s">
        <v>2289</v>
      </c>
      <c r="G1257" s="19"/>
      <c r="H1257" s="19"/>
      <c r="I1257" s="19"/>
    </row>
    <row r="1258" ht="56.25" customHeight="1">
      <c r="A1258" s="21" t="s">
        <v>3790</v>
      </c>
      <c r="B1258" s="19" t="str">
        <f>image("https://storage.googleapis.com/acdb/photos/BromideNpcNmlDog00_Remake_0_0.png")</f>
        <v/>
      </c>
      <c r="C1258" s="21" t="s">
        <v>219</v>
      </c>
      <c r="D1258" s="21" t="s">
        <v>51</v>
      </c>
      <c r="E1258" s="21">
        <v>10.0</v>
      </c>
      <c r="F1258" s="21" t="s">
        <v>2289</v>
      </c>
      <c r="G1258" s="19"/>
      <c r="H1258" s="19"/>
      <c r="I1258" s="19"/>
    </row>
    <row r="1259" ht="56.25" customHeight="1">
      <c r="A1259" s="21" t="s">
        <v>3790</v>
      </c>
      <c r="B1259" s="19" t="str">
        <f>image("https://storage.googleapis.com/acdb/photos/BromideNpcNmlDog00_Remake_1_0.png")</f>
        <v/>
      </c>
      <c r="C1259" s="21" t="s">
        <v>795</v>
      </c>
      <c r="D1259" s="21" t="s">
        <v>51</v>
      </c>
      <c r="E1259" s="21">
        <v>10.0</v>
      </c>
      <c r="F1259" s="21" t="s">
        <v>2289</v>
      </c>
      <c r="G1259" s="19"/>
      <c r="H1259" s="19"/>
      <c r="I1259" s="19"/>
    </row>
    <row r="1260" ht="56.25" customHeight="1">
      <c r="A1260" s="21" t="s">
        <v>3790</v>
      </c>
      <c r="B1260" s="19" t="str">
        <f>image("https://storage.googleapis.com/acdb/photos/BromideNpcNmlDog00_Remake_2_0.png")</f>
        <v/>
      </c>
      <c r="C1260" s="21" t="s">
        <v>954</v>
      </c>
      <c r="D1260" s="21" t="s">
        <v>51</v>
      </c>
      <c r="E1260" s="21">
        <v>10.0</v>
      </c>
      <c r="F1260" s="21" t="s">
        <v>2289</v>
      </c>
      <c r="G1260" s="19"/>
      <c r="H1260" s="19"/>
      <c r="I1260" s="19"/>
    </row>
    <row r="1261" ht="56.25" customHeight="1">
      <c r="A1261" s="21" t="s">
        <v>3790</v>
      </c>
      <c r="B1261" s="19" t="str">
        <f>image("https://storage.googleapis.com/acdb/photos/BromideNpcNmlDog00_Remake_3_0.png")</f>
        <v/>
      </c>
      <c r="C1261" s="21" t="s">
        <v>82</v>
      </c>
      <c r="D1261" s="21" t="s">
        <v>51</v>
      </c>
      <c r="E1261" s="21">
        <v>10.0</v>
      </c>
      <c r="F1261" s="21" t="s">
        <v>2289</v>
      </c>
      <c r="G1261" s="19"/>
      <c r="H1261" s="19"/>
      <c r="I1261" s="19"/>
    </row>
    <row r="1262" ht="56.25" customHeight="1">
      <c r="A1262" s="21" t="s">
        <v>3790</v>
      </c>
      <c r="B1262" s="19" t="str">
        <f>image("https://storage.googleapis.com/acdb/photos/BromideNpcNmlDog00_Remake_4_0.png")</f>
        <v/>
      </c>
      <c r="C1262" s="21" t="s">
        <v>833</v>
      </c>
      <c r="D1262" s="21" t="s">
        <v>51</v>
      </c>
      <c r="E1262" s="21">
        <v>10.0</v>
      </c>
      <c r="F1262" s="21" t="s">
        <v>2289</v>
      </c>
      <c r="G1262" s="19"/>
      <c r="H1262" s="19"/>
      <c r="I1262" s="19"/>
    </row>
    <row r="1263" ht="56.25" customHeight="1">
      <c r="A1263" s="21" t="s">
        <v>3790</v>
      </c>
      <c r="B1263" s="19" t="str">
        <f>image("https://storage.googleapis.com/acdb/photos/BromideNpcNmlDog00_Remake_5_0.png")</f>
        <v/>
      </c>
      <c r="C1263" s="21" t="s">
        <v>258</v>
      </c>
      <c r="D1263" s="21" t="s">
        <v>51</v>
      </c>
      <c r="E1263" s="21">
        <v>10.0</v>
      </c>
      <c r="F1263" s="21" t="s">
        <v>2289</v>
      </c>
      <c r="G1263" s="19"/>
      <c r="H1263" s="19"/>
      <c r="I1263" s="19"/>
    </row>
    <row r="1264" ht="56.25" customHeight="1">
      <c r="A1264" s="21" t="s">
        <v>3790</v>
      </c>
      <c r="B1264" s="19" t="str">
        <f>image("https://storage.googleapis.com/acdb/photos/BromideNpcNmlDog00_Remake_6_0.png")</f>
        <v/>
      </c>
      <c r="C1264" s="21" t="s">
        <v>182</v>
      </c>
      <c r="D1264" s="21" t="s">
        <v>51</v>
      </c>
      <c r="E1264" s="21">
        <v>10.0</v>
      </c>
      <c r="F1264" s="21" t="s">
        <v>2289</v>
      </c>
      <c r="G1264" s="19"/>
      <c r="H1264" s="19"/>
      <c r="I1264" s="19"/>
    </row>
    <row r="1265" ht="56.25" customHeight="1">
      <c r="A1265" s="21" t="s">
        <v>3790</v>
      </c>
      <c r="B1265" s="19" t="str">
        <f>image("https://storage.googleapis.com/acdb/photos/BromideNpcNmlDog00_Remake_7_0.png")</f>
        <v/>
      </c>
      <c r="C1265" s="21" t="s">
        <v>187</v>
      </c>
      <c r="D1265" s="21" t="s">
        <v>51</v>
      </c>
      <c r="E1265" s="21">
        <v>10.0</v>
      </c>
      <c r="F1265" s="21" t="s">
        <v>2289</v>
      </c>
      <c r="G1265" s="19"/>
      <c r="H1265" s="19"/>
      <c r="I1265" s="19"/>
    </row>
    <row r="1266" ht="56.25" customHeight="1">
      <c r="A1266" s="21" t="s">
        <v>3796</v>
      </c>
      <c r="B1266" s="19" t="str">
        <f>image("https://storage.googleapis.com/acdb/photos/BromideNpcNmlKal04_Remake_0_0.png")</f>
        <v/>
      </c>
      <c r="C1266" s="21" t="s">
        <v>219</v>
      </c>
      <c r="D1266" s="21" t="s">
        <v>51</v>
      </c>
      <c r="E1266" s="21">
        <v>10.0</v>
      </c>
      <c r="F1266" s="21" t="s">
        <v>2289</v>
      </c>
      <c r="G1266" s="19"/>
      <c r="H1266" s="19"/>
      <c r="I1266" s="19"/>
    </row>
    <row r="1267" ht="56.25" customHeight="1">
      <c r="A1267" s="21" t="s">
        <v>3796</v>
      </c>
      <c r="B1267" s="19" t="str">
        <f>image("https://storage.googleapis.com/acdb/photos/BromideNpcNmlKal04_Remake_1_0.png")</f>
        <v/>
      </c>
      <c r="C1267" s="21" t="s">
        <v>795</v>
      </c>
      <c r="D1267" s="21" t="s">
        <v>51</v>
      </c>
      <c r="E1267" s="21">
        <v>10.0</v>
      </c>
      <c r="F1267" s="21" t="s">
        <v>2289</v>
      </c>
      <c r="G1267" s="19"/>
      <c r="H1267" s="19"/>
      <c r="I1267" s="19"/>
    </row>
    <row r="1268" ht="56.25" customHeight="1">
      <c r="A1268" s="21" t="s">
        <v>3796</v>
      </c>
      <c r="B1268" s="19" t="str">
        <f>image("https://storage.googleapis.com/acdb/photos/BromideNpcNmlKal04_Remake_2_0.png")</f>
        <v/>
      </c>
      <c r="C1268" s="21" t="s">
        <v>954</v>
      </c>
      <c r="D1268" s="21" t="s">
        <v>51</v>
      </c>
      <c r="E1268" s="21">
        <v>10.0</v>
      </c>
      <c r="F1268" s="21" t="s">
        <v>2289</v>
      </c>
      <c r="G1268" s="19"/>
      <c r="H1268" s="19"/>
      <c r="I1268" s="19"/>
    </row>
    <row r="1269" ht="56.25" customHeight="1">
      <c r="A1269" s="21" t="s">
        <v>3796</v>
      </c>
      <c r="B1269" s="19" t="str">
        <f>image("https://storage.googleapis.com/acdb/photos/BromideNpcNmlKal04_Remake_3_0.png")</f>
        <v/>
      </c>
      <c r="C1269" s="21" t="s">
        <v>82</v>
      </c>
      <c r="D1269" s="21" t="s">
        <v>51</v>
      </c>
      <c r="E1269" s="21">
        <v>10.0</v>
      </c>
      <c r="F1269" s="21" t="s">
        <v>2289</v>
      </c>
      <c r="G1269" s="19"/>
      <c r="H1269" s="19"/>
      <c r="I1269" s="19"/>
    </row>
    <row r="1270" ht="56.25" customHeight="1">
      <c r="A1270" s="21" t="s">
        <v>3796</v>
      </c>
      <c r="B1270" s="19" t="str">
        <f>image("https://storage.googleapis.com/acdb/photos/BromideNpcNmlKal04_Remake_4_0.png")</f>
        <v/>
      </c>
      <c r="C1270" s="21" t="s">
        <v>833</v>
      </c>
      <c r="D1270" s="21" t="s">
        <v>51</v>
      </c>
      <c r="E1270" s="21">
        <v>10.0</v>
      </c>
      <c r="F1270" s="21" t="s">
        <v>2289</v>
      </c>
      <c r="G1270" s="19"/>
      <c r="H1270" s="19"/>
      <c r="I1270" s="19"/>
    </row>
    <row r="1271" ht="56.25" customHeight="1">
      <c r="A1271" s="21" t="s">
        <v>3796</v>
      </c>
      <c r="B1271" s="19" t="str">
        <f>image("https://storage.googleapis.com/acdb/photos/BromideNpcNmlKal04_Remake_5_0.png")</f>
        <v/>
      </c>
      <c r="C1271" s="21" t="s">
        <v>258</v>
      </c>
      <c r="D1271" s="21" t="s">
        <v>51</v>
      </c>
      <c r="E1271" s="21">
        <v>10.0</v>
      </c>
      <c r="F1271" s="21" t="s">
        <v>2289</v>
      </c>
      <c r="G1271" s="19"/>
      <c r="H1271" s="19"/>
      <c r="I1271" s="19"/>
    </row>
    <row r="1272" ht="56.25" customHeight="1">
      <c r="A1272" s="21" t="s">
        <v>3796</v>
      </c>
      <c r="B1272" s="19" t="str">
        <f>image("https://storage.googleapis.com/acdb/photos/BromideNpcNmlKal04_Remake_6_0.png")</f>
        <v/>
      </c>
      <c r="C1272" s="21" t="s">
        <v>182</v>
      </c>
      <c r="D1272" s="21" t="s">
        <v>51</v>
      </c>
      <c r="E1272" s="21">
        <v>10.0</v>
      </c>
      <c r="F1272" s="21" t="s">
        <v>2289</v>
      </c>
      <c r="G1272" s="19"/>
      <c r="H1272" s="19"/>
      <c r="I1272" s="19"/>
    </row>
    <row r="1273" ht="56.25" customHeight="1">
      <c r="A1273" s="21" t="s">
        <v>3796</v>
      </c>
      <c r="B1273" s="19" t="str">
        <f>image("https://storage.googleapis.com/acdb/photos/BromideNpcNmlKal04_Remake_7_0.png")</f>
        <v/>
      </c>
      <c r="C1273" s="21" t="s">
        <v>187</v>
      </c>
      <c r="D1273" s="21" t="s">
        <v>51</v>
      </c>
      <c r="E1273" s="21">
        <v>10.0</v>
      </c>
      <c r="F1273" s="21" t="s">
        <v>2289</v>
      </c>
      <c r="G1273" s="19"/>
      <c r="H1273" s="19"/>
      <c r="I1273" s="19"/>
    </row>
    <row r="1274" ht="56.25" customHeight="1">
      <c r="A1274" s="21" t="s">
        <v>3802</v>
      </c>
      <c r="B1274" s="19" t="str">
        <f>image("https://storage.googleapis.com/acdb/photos/BromideNpcNmlChn00_Remake_0_0.png")</f>
        <v/>
      </c>
      <c r="C1274" s="21" t="s">
        <v>219</v>
      </c>
      <c r="D1274" s="21" t="s">
        <v>51</v>
      </c>
      <c r="E1274" s="21">
        <v>10.0</v>
      </c>
      <c r="F1274" s="21" t="s">
        <v>2289</v>
      </c>
      <c r="G1274" s="19"/>
      <c r="H1274" s="19"/>
      <c r="I1274" s="19"/>
    </row>
    <row r="1275" ht="56.25" customHeight="1">
      <c r="A1275" s="21" t="s">
        <v>3802</v>
      </c>
      <c r="B1275" s="19" t="str">
        <f>image("https://storage.googleapis.com/acdb/photos/BromideNpcNmlChn00_Remake_1_0.png")</f>
        <v/>
      </c>
      <c r="C1275" s="21" t="s">
        <v>795</v>
      </c>
      <c r="D1275" s="21" t="s">
        <v>51</v>
      </c>
      <c r="E1275" s="21">
        <v>10.0</v>
      </c>
      <c r="F1275" s="21" t="s">
        <v>2289</v>
      </c>
      <c r="G1275" s="19"/>
      <c r="H1275" s="19"/>
      <c r="I1275" s="19"/>
    </row>
    <row r="1276" ht="56.25" customHeight="1">
      <c r="A1276" s="21" t="s">
        <v>3802</v>
      </c>
      <c r="B1276" s="19" t="str">
        <f>image("https://storage.googleapis.com/acdb/photos/BromideNpcNmlChn00_Remake_2_0.png")</f>
        <v/>
      </c>
      <c r="C1276" s="21" t="s">
        <v>954</v>
      </c>
      <c r="D1276" s="21" t="s">
        <v>51</v>
      </c>
      <c r="E1276" s="21">
        <v>10.0</v>
      </c>
      <c r="F1276" s="21" t="s">
        <v>2289</v>
      </c>
      <c r="G1276" s="19"/>
      <c r="H1276" s="19"/>
      <c r="I1276" s="19"/>
    </row>
    <row r="1277" ht="56.25" customHeight="1">
      <c r="A1277" s="21" t="s">
        <v>3802</v>
      </c>
      <c r="B1277" s="19" t="str">
        <f>image("https://storage.googleapis.com/acdb/photos/BromideNpcNmlChn00_Remake_3_0.png")</f>
        <v/>
      </c>
      <c r="C1277" s="21" t="s">
        <v>82</v>
      </c>
      <c r="D1277" s="21" t="s">
        <v>51</v>
      </c>
      <c r="E1277" s="21">
        <v>10.0</v>
      </c>
      <c r="F1277" s="21" t="s">
        <v>2289</v>
      </c>
      <c r="G1277" s="19"/>
      <c r="H1277" s="19"/>
      <c r="I1277" s="19"/>
    </row>
    <row r="1278" ht="56.25" customHeight="1">
      <c r="A1278" s="21" t="s">
        <v>3802</v>
      </c>
      <c r="B1278" s="19" t="str">
        <f>image("https://storage.googleapis.com/acdb/photos/BromideNpcNmlChn00_Remake_4_0.png")</f>
        <v/>
      </c>
      <c r="C1278" s="21" t="s">
        <v>833</v>
      </c>
      <c r="D1278" s="21" t="s">
        <v>51</v>
      </c>
      <c r="E1278" s="21">
        <v>10.0</v>
      </c>
      <c r="F1278" s="21" t="s">
        <v>2289</v>
      </c>
      <c r="G1278" s="19"/>
      <c r="H1278" s="19"/>
      <c r="I1278" s="19"/>
    </row>
    <row r="1279" ht="56.25" customHeight="1">
      <c r="A1279" s="21" t="s">
        <v>3802</v>
      </c>
      <c r="B1279" s="19" t="str">
        <f>image("https://storage.googleapis.com/acdb/photos/BromideNpcNmlChn00_Remake_5_0.png")</f>
        <v/>
      </c>
      <c r="C1279" s="21" t="s">
        <v>258</v>
      </c>
      <c r="D1279" s="21" t="s">
        <v>51</v>
      </c>
      <c r="E1279" s="21">
        <v>10.0</v>
      </c>
      <c r="F1279" s="21" t="s">
        <v>2289</v>
      </c>
      <c r="G1279" s="19"/>
      <c r="H1279" s="19"/>
      <c r="I1279" s="19"/>
    </row>
    <row r="1280" ht="56.25" customHeight="1">
      <c r="A1280" s="21" t="s">
        <v>3802</v>
      </c>
      <c r="B1280" s="19" t="str">
        <f>image("https://storage.googleapis.com/acdb/photos/BromideNpcNmlChn00_Remake_6_0.png")</f>
        <v/>
      </c>
      <c r="C1280" s="21" t="s">
        <v>182</v>
      </c>
      <c r="D1280" s="21" t="s">
        <v>51</v>
      </c>
      <c r="E1280" s="21">
        <v>10.0</v>
      </c>
      <c r="F1280" s="21" t="s">
        <v>2289</v>
      </c>
      <c r="G1280" s="19"/>
      <c r="H1280" s="19"/>
      <c r="I1280" s="19"/>
    </row>
    <row r="1281" ht="56.25" customHeight="1">
      <c r="A1281" s="21" t="s">
        <v>3802</v>
      </c>
      <c r="B1281" s="19" t="str">
        <f>image("https://storage.googleapis.com/acdb/photos/BromideNpcNmlChn00_Remake_7_0.png")</f>
        <v/>
      </c>
      <c r="C1281" s="21" t="s">
        <v>187</v>
      </c>
      <c r="D1281" s="21" t="s">
        <v>51</v>
      </c>
      <c r="E1281" s="21">
        <v>10.0</v>
      </c>
      <c r="F1281" s="21" t="s">
        <v>2289</v>
      </c>
      <c r="G1281" s="19"/>
      <c r="H1281" s="19"/>
      <c r="I1281" s="19"/>
    </row>
    <row r="1282" ht="56.25" customHeight="1">
      <c r="A1282" s="21" t="s">
        <v>3811</v>
      </c>
      <c r="B1282" s="19" t="str">
        <f>image("https://storage.googleapis.com/acdb/photos/BromideNpcNmlHam02_Remake_0_0.png")</f>
        <v/>
      </c>
      <c r="C1282" s="21" t="s">
        <v>219</v>
      </c>
      <c r="D1282" s="21" t="s">
        <v>51</v>
      </c>
      <c r="E1282" s="21">
        <v>10.0</v>
      </c>
      <c r="F1282" s="21" t="s">
        <v>2289</v>
      </c>
      <c r="G1282" s="19"/>
      <c r="H1282" s="19"/>
      <c r="I1282" s="19"/>
    </row>
    <row r="1283" ht="56.25" customHeight="1">
      <c r="A1283" s="21" t="s">
        <v>3811</v>
      </c>
      <c r="B1283" s="19" t="str">
        <f>image("https://storage.googleapis.com/acdb/photos/BromideNpcNmlHam02_Remake_1_0.png")</f>
        <v/>
      </c>
      <c r="C1283" s="21" t="s">
        <v>795</v>
      </c>
      <c r="D1283" s="21" t="s">
        <v>51</v>
      </c>
      <c r="E1283" s="21">
        <v>10.0</v>
      </c>
      <c r="F1283" s="21" t="s">
        <v>2289</v>
      </c>
      <c r="G1283" s="19"/>
      <c r="H1283" s="19"/>
      <c r="I1283" s="19"/>
    </row>
    <row r="1284" ht="56.25" customHeight="1">
      <c r="A1284" s="21" t="s">
        <v>3811</v>
      </c>
      <c r="B1284" s="19" t="str">
        <f>image("https://storage.googleapis.com/acdb/photos/BromideNpcNmlHam02_Remake_2_0.png")</f>
        <v/>
      </c>
      <c r="C1284" s="21" t="s">
        <v>954</v>
      </c>
      <c r="D1284" s="21" t="s">
        <v>51</v>
      </c>
      <c r="E1284" s="21">
        <v>10.0</v>
      </c>
      <c r="F1284" s="21" t="s">
        <v>2289</v>
      </c>
      <c r="G1284" s="19"/>
      <c r="H1284" s="19"/>
      <c r="I1284" s="19"/>
    </row>
    <row r="1285" ht="56.25" customHeight="1">
      <c r="A1285" s="21" t="s">
        <v>3811</v>
      </c>
      <c r="B1285" s="19" t="str">
        <f>image("https://storage.googleapis.com/acdb/photos/BromideNpcNmlHam02_Remake_3_0.png")</f>
        <v/>
      </c>
      <c r="C1285" s="21" t="s">
        <v>82</v>
      </c>
      <c r="D1285" s="21" t="s">
        <v>51</v>
      </c>
      <c r="E1285" s="21">
        <v>10.0</v>
      </c>
      <c r="F1285" s="21" t="s">
        <v>2289</v>
      </c>
      <c r="G1285" s="19"/>
      <c r="H1285" s="19"/>
      <c r="I1285" s="19"/>
    </row>
    <row r="1286" ht="56.25" customHeight="1">
      <c r="A1286" s="21" t="s">
        <v>3811</v>
      </c>
      <c r="B1286" s="19" t="str">
        <f>image("https://storage.googleapis.com/acdb/photos/BromideNpcNmlHam02_Remake_4_0.png")</f>
        <v/>
      </c>
      <c r="C1286" s="21" t="s">
        <v>833</v>
      </c>
      <c r="D1286" s="21" t="s">
        <v>51</v>
      </c>
      <c r="E1286" s="21">
        <v>10.0</v>
      </c>
      <c r="F1286" s="21" t="s">
        <v>2289</v>
      </c>
      <c r="G1286" s="19"/>
      <c r="H1286" s="19"/>
      <c r="I1286" s="19"/>
    </row>
    <row r="1287" ht="56.25" customHeight="1">
      <c r="A1287" s="21" t="s">
        <v>3811</v>
      </c>
      <c r="B1287" s="19" t="str">
        <f>image("https://storage.googleapis.com/acdb/photos/BromideNpcNmlHam02_Remake_5_0.png")</f>
        <v/>
      </c>
      <c r="C1287" s="21" t="s">
        <v>258</v>
      </c>
      <c r="D1287" s="21" t="s">
        <v>51</v>
      </c>
      <c r="E1287" s="21">
        <v>10.0</v>
      </c>
      <c r="F1287" s="21" t="s">
        <v>2289</v>
      </c>
      <c r="G1287" s="19"/>
      <c r="H1287" s="19"/>
      <c r="I1287" s="19"/>
    </row>
    <row r="1288" ht="56.25" customHeight="1">
      <c r="A1288" s="21" t="s">
        <v>3811</v>
      </c>
      <c r="B1288" s="19" t="str">
        <f>image("https://storage.googleapis.com/acdb/photos/BromideNpcNmlHam02_Remake_6_0.png")</f>
        <v/>
      </c>
      <c r="C1288" s="21" t="s">
        <v>182</v>
      </c>
      <c r="D1288" s="21" t="s">
        <v>51</v>
      </c>
      <c r="E1288" s="21">
        <v>10.0</v>
      </c>
      <c r="F1288" s="21" t="s">
        <v>2289</v>
      </c>
      <c r="G1288" s="19"/>
      <c r="H1288" s="19"/>
      <c r="I1288" s="19"/>
    </row>
    <row r="1289" ht="56.25" customHeight="1">
      <c r="A1289" s="21" t="s">
        <v>3811</v>
      </c>
      <c r="B1289" s="19" t="str">
        <f>image("https://storage.googleapis.com/acdb/photos/BromideNpcNmlHam02_Remake_7_0.png")</f>
        <v/>
      </c>
      <c r="C1289" s="21" t="s">
        <v>187</v>
      </c>
      <c r="D1289" s="21" t="s">
        <v>51</v>
      </c>
      <c r="E1289" s="21">
        <v>10.0</v>
      </c>
      <c r="F1289" s="21" t="s">
        <v>2289</v>
      </c>
      <c r="G1289" s="19"/>
      <c r="H1289" s="19"/>
      <c r="I1289" s="19"/>
    </row>
    <row r="1290" ht="56.25" customHeight="1">
      <c r="A1290" s="21" t="s">
        <v>3821</v>
      </c>
      <c r="B1290" s="19" t="str">
        <f>image("https://storage.googleapis.com/acdb/photos/BromideNpcNmlMus16_Remake_0_0.png")</f>
        <v/>
      </c>
      <c r="C1290" s="21" t="s">
        <v>219</v>
      </c>
      <c r="D1290" s="21" t="s">
        <v>51</v>
      </c>
      <c r="E1290" s="21">
        <v>10.0</v>
      </c>
      <c r="F1290" s="21" t="s">
        <v>2289</v>
      </c>
      <c r="G1290" s="19"/>
      <c r="H1290" s="19"/>
      <c r="I1290" s="19"/>
    </row>
    <row r="1291" ht="56.25" customHeight="1">
      <c r="A1291" s="21" t="s">
        <v>3821</v>
      </c>
      <c r="B1291" s="19" t="str">
        <f>image("https://storage.googleapis.com/acdb/photos/BromideNpcNmlMus16_Remake_1_0.png")</f>
        <v/>
      </c>
      <c r="C1291" s="21" t="s">
        <v>795</v>
      </c>
      <c r="D1291" s="21" t="s">
        <v>51</v>
      </c>
      <c r="E1291" s="21">
        <v>10.0</v>
      </c>
      <c r="F1291" s="21" t="s">
        <v>2289</v>
      </c>
      <c r="G1291" s="19"/>
      <c r="H1291" s="19"/>
      <c r="I1291" s="19"/>
    </row>
    <row r="1292" ht="56.25" customHeight="1">
      <c r="A1292" s="21" t="s">
        <v>3821</v>
      </c>
      <c r="B1292" s="19" t="str">
        <f>image("https://storage.googleapis.com/acdb/photos/BromideNpcNmlMus16_Remake_2_0.png")</f>
        <v/>
      </c>
      <c r="C1292" s="21" t="s">
        <v>954</v>
      </c>
      <c r="D1292" s="21" t="s">
        <v>51</v>
      </c>
      <c r="E1292" s="21">
        <v>10.0</v>
      </c>
      <c r="F1292" s="21" t="s">
        <v>2289</v>
      </c>
      <c r="G1292" s="19"/>
      <c r="H1292" s="19"/>
      <c r="I1292" s="19"/>
    </row>
    <row r="1293" ht="56.25" customHeight="1">
      <c r="A1293" s="21" t="s">
        <v>3821</v>
      </c>
      <c r="B1293" s="19" t="str">
        <f>image("https://storage.googleapis.com/acdb/photos/BromideNpcNmlMus16_Remake_3_0.png")</f>
        <v/>
      </c>
      <c r="C1293" s="21" t="s">
        <v>82</v>
      </c>
      <c r="D1293" s="21" t="s">
        <v>51</v>
      </c>
      <c r="E1293" s="21">
        <v>10.0</v>
      </c>
      <c r="F1293" s="21" t="s">
        <v>2289</v>
      </c>
      <c r="G1293" s="19"/>
      <c r="H1293" s="19"/>
      <c r="I1293" s="19"/>
    </row>
    <row r="1294" ht="56.25" customHeight="1">
      <c r="A1294" s="21" t="s">
        <v>3821</v>
      </c>
      <c r="B1294" s="19" t="str">
        <f>image("https://storage.googleapis.com/acdb/photos/BromideNpcNmlMus16_Remake_4_0.png")</f>
        <v/>
      </c>
      <c r="C1294" s="21" t="s">
        <v>833</v>
      </c>
      <c r="D1294" s="21" t="s">
        <v>51</v>
      </c>
      <c r="E1294" s="21">
        <v>10.0</v>
      </c>
      <c r="F1294" s="21" t="s">
        <v>2289</v>
      </c>
      <c r="G1294" s="19"/>
      <c r="H1294" s="19"/>
      <c r="I1294" s="19"/>
    </row>
    <row r="1295" ht="56.25" customHeight="1">
      <c r="A1295" s="21" t="s">
        <v>3821</v>
      </c>
      <c r="B1295" s="19" t="str">
        <f>image("https://storage.googleapis.com/acdb/photos/BromideNpcNmlMus16_Remake_5_0.png")</f>
        <v/>
      </c>
      <c r="C1295" s="21" t="s">
        <v>258</v>
      </c>
      <c r="D1295" s="21" t="s">
        <v>51</v>
      </c>
      <c r="E1295" s="21">
        <v>10.0</v>
      </c>
      <c r="F1295" s="21" t="s">
        <v>2289</v>
      </c>
      <c r="G1295" s="19"/>
      <c r="H1295" s="19"/>
      <c r="I1295" s="19"/>
    </row>
    <row r="1296" ht="56.25" customHeight="1">
      <c r="A1296" s="21" t="s">
        <v>3821</v>
      </c>
      <c r="B1296" s="19" t="str">
        <f>image("https://storage.googleapis.com/acdb/photos/BromideNpcNmlMus16_Remake_6_0.png")</f>
        <v/>
      </c>
      <c r="C1296" s="21" t="s">
        <v>182</v>
      </c>
      <c r="D1296" s="21" t="s">
        <v>51</v>
      </c>
      <c r="E1296" s="21">
        <v>10.0</v>
      </c>
      <c r="F1296" s="21" t="s">
        <v>2289</v>
      </c>
      <c r="G1296" s="19"/>
      <c r="H1296" s="19"/>
      <c r="I1296" s="19"/>
    </row>
    <row r="1297" ht="56.25" customHeight="1">
      <c r="A1297" s="21" t="s">
        <v>3821</v>
      </c>
      <c r="B1297" s="19" t="str">
        <f>image("https://storage.googleapis.com/acdb/photos/BromideNpcNmlMus16_Remake_7_0.png")</f>
        <v/>
      </c>
      <c r="C1297" s="21" t="s">
        <v>187</v>
      </c>
      <c r="D1297" s="21" t="s">
        <v>51</v>
      </c>
      <c r="E1297" s="21">
        <v>10.0</v>
      </c>
      <c r="F1297" s="21" t="s">
        <v>2289</v>
      </c>
      <c r="G1297" s="19"/>
      <c r="H1297" s="19"/>
      <c r="I1297" s="19"/>
    </row>
    <row r="1298" ht="56.25" customHeight="1">
      <c r="A1298" s="21" t="s">
        <v>3830</v>
      </c>
      <c r="B1298" s="19" t="str">
        <f>image("https://storage.googleapis.com/acdb/photos/BromideNpcNmlBea09_Remake_0_0.png")</f>
        <v/>
      </c>
      <c r="C1298" s="21" t="s">
        <v>219</v>
      </c>
      <c r="D1298" s="21" t="s">
        <v>51</v>
      </c>
      <c r="E1298" s="21">
        <v>10.0</v>
      </c>
      <c r="F1298" s="21" t="s">
        <v>2289</v>
      </c>
      <c r="G1298" s="19"/>
      <c r="H1298" s="19"/>
      <c r="I1298" s="19"/>
    </row>
    <row r="1299" ht="56.25" customHeight="1">
      <c r="A1299" s="21" t="s">
        <v>3830</v>
      </c>
      <c r="B1299" s="19" t="str">
        <f>image("https://storage.googleapis.com/acdb/photos/BromideNpcNmlBea09_Remake_1_0.png")</f>
        <v/>
      </c>
      <c r="C1299" s="21" t="s">
        <v>795</v>
      </c>
      <c r="D1299" s="21" t="s">
        <v>51</v>
      </c>
      <c r="E1299" s="21">
        <v>10.0</v>
      </c>
      <c r="F1299" s="21" t="s">
        <v>2289</v>
      </c>
      <c r="G1299" s="19"/>
      <c r="H1299" s="19"/>
      <c r="I1299" s="19"/>
    </row>
    <row r="1300" ht="56.25" customHeight="1">
      <c r="A1300" s="21" t="s">
        <v>3830</v>
      </c>
      <c r="B1300" s="19" t="str">
        <f>image("https://storage.googleapis.com/acdb/photos/BromideNpcNmlBea09_Remake_2_0.png")</f>
        <v/>
      </c>
      <c r="C1300" s="21" t="s">
        <v>954</v>
      </c>
      <c r="D1300" s="21" t="s">
        <v>51</v>
      </c>
      <c r="E1300" s="21">
        <v>10.0</v>
      </c>
      <c r="F1300" s="21" t="s">
        <v>2289</v>
      </c>
      <c r="G1300" s="19"/>
      <c r="H1300" s="19"/>
      <c r="I1300" s="19"/>
    </row>
    <row r="1301" ht="56.25" customHeight="1">
      <c r="A1301" s="21" t="s">
        <v>3830</v>
      </c>
      <c r="B1301" s="19" t="str">
        <f>image("https://storage.googleapis.com/acdb/photos/BromideNpcNmlBea09_Remake_3_0.png")</f>
        <v/>
      </c>
      <c r="C1301" s="21" t="s">
        <v>82</v>
      </c>
      <c r="D1301" s="21" t="s">
        <v>51</v>
      </c>
      <c r="E1301" s="21">
        <v>10.0</v>
      </c>
      <c r="F1301" s="21" t="s">
        <v>2289</v>
      </c>
      <c r="G1301" s="19"/>
      <c r="H1301" s="19"/>
      <c r="I1301" s="19"/>
    </row>
    <row r="1302" ht="56.25" customHeight="1">
      <c r="A1302" s="21" t="s">
        <v>3830</v>
      </c>
      <c r="B1302" s="19" t="str">
        <f>image("https://storage.googleapis.com/acdb/photos/BromideNpcNmlBea09_Remake_4_0.png")</f>
        <v/>
      </c>
      <c r="C1302" s="21" t="s">
        <v>833</v>
      </c>
      <c r="D1302" s="21" t="s">
        <v>51</v>
      </c>
      <c r="E1302" s="21">
        <v>10.0</v>
      </c>
      <c r="F1302" s="21" t="s">
        <v>2289</v>
      </c>
      <c r="G1302" s="19"/>
      <c r="H1302" s="19"/>
      <c r="I1302" s="19"/>
    </row>
    <row r="1303" ht="56.25" customHeight="1">
      <c r="A1303" s="21" t="s">
        <v>3830</v>
      </c>
      <c r="B1303" s="19" t="str">
        <f>image("https://storage.googleapis.com/acdb/photos/BromideNpcNmlBea09_Remake_5_0.png")</f>
        <v/>
      </c>
      <c r="C1303" s="21" t="s">
        <v>258</v>
      </c>
      <c r="D1303" s="21" t="s">
        <v>51</v>
      </c>
      <c r="E1303" s="21">
        <v>10.0</v>
      </c>
      <c r="F1303" s="21" t="s">
        <v>2289</v>
      </c>
      <c r="G1303" s="19"/>
      <c r="H1303" s="19"/>
      <c r="I1303" s="19"/>
    </row>
    <row r="1304" ht="56.25" customHeight="1">
      <c r="A1304" s="21" t="s">
        <v>3830</v>
      </c>
      <c r="B1304" s="19" t="str">
        <f>image("https://storage.googleapis.com/acdb/photos/BromideNpcNmlBea09_Remake_6_0.png")</f>
        <v/>
      </c>
      <c r="C1304" s="21" t="s">
        <v>182</v>
      </c>
      <c r="D1304" s="21" t="s">
        <v>51</v>
      </c>
      <c r="E1304" s="21">
        <v>10.0</v>
      </c>
      <c r="F1304" s="21" t="s">
        <v>2289</v>
      </c>
      <c r="G1304" s="19"/>
      <c r="H1304" s="19"/>
      <c r="I1304" s="19"/>
    </row>
    <row r="1305" ht="56.25" customHeight="1">
      <c r="A1305" s="21" t="s">
        <v>3830</v>
      </c>
      <c r="B1305" s="19" t="str">
        <f>image("https://storage.googleapis.com/acdb/photos/BromideNpcNmlBea09_Remake_7_0.png")</f>
        <v/>
      </c>
      <c r="C1305" s="21" t="s">
        <v>187</v>
      </c>
      <c r="D1305" s="21" t="s">
        <v>51</v>
      </c>
      <c r="E1305" s="21">
        <v>10.0</v>
      </c>
      <c r="F1305" s="21" t="s">
        <v>2289</v>
      </c>
      <c r="G1305" s="19"/>
      <c r="H1305" s="19"/>
      <c r="I1305" s="19"/>
    </row>
    <row r="1306" ht="56.25" customHeight="1">
      <c r="A1306" s="21" t="s">
        <v>3839</v>
      </c>
      <c r="B1306" s="19" t="str">
        <f>image("https://storage.googleapis.com/acdb/photos/BromideNpcNmlBea06_Remake_0_0.png")</f>
        <v/>
      </c>
      <c r="C1306" s="21" t="s">
        <v>219</v>
      </c>
      <c r="D1306" s="21" t="s">
        <v>51</v>
      </c>
      <c r="E1306" s="21">
        <v>10.0</v>
      </c>
      <c r="F1306" s="21" t="s">
        <v>2289</v>
      </c>
      <c r="G1306" s="19"/>
      <c r="H1306" s="19"/>
      <c r="I1306" s="19"/>
    </row>
    <row r="1307" ht="56.25" customHeight="1">
      <c r="A1307" s="21" t="s">
        <v>3839</v>
      </c>
      <c r="B1307" s="19" t="str">
        <f>image("https://storage.googleapis.com/acdb/photos/BromideNpcNmlBea06_Remake_1_0.png")</f>
        <v/>
      </c>
      <c r="C1307" s="21" t="s">
        <v>795</v>
      </c>
      <c r="D1307" s="21" t="s">
        <v>51</v>
      </c>
      <c r="E1307" s="21">
        <v>10.0</v>
      </c>
      <c r="F1307" s="21" t="s">
        <v>2289</v>
      </c>
      <c r="G1307" s="19"/>
      <c r="H1307" s="19"/>
      <c r="I1307" s="19"/>
    </row>
    <row r="1308" ht="56.25" customHeight="1">
      <c r="A1308" s="21" t="s">
        <v>3839</v>
      </c>
      <c r="B1308" s="19" t="str">
        <f>image("https://storage.googleapis.com/acdb/photos/BromideNpcNmlBea06_Remake_2_0.png")</f>
        <v/>
      </c>
      <c r="C1308" s="21" t="s">
        <v>954</v>
      </c>
      <c r="D1308" s="21" t="s">
        <v>51</v>
      </c>
      <c r="E1308" s="21">
        <v>10.0</v>
      </c>
      <c r="F1308" s="21" t="s">
        <v>2289</v>
      </c>
      <c r="G1308" s="19"/>
      <c r="H1308" s="19"/>
      <c r="I1308" s="19"/>
    </row>
    <row r="1309" ht="56.25" customHeight="1">
      <c r="A1309" s="21" t="s">
        <v>3839</v>
      </c>
      <c r="B1309" s="19" t="str">
        <f>image("https://storage.googleapis.com/acdb/photos/BromideNpcNmlBea06_Remake_3_0.png")</f>
        <v/>
      </c>
      <c r="C1309" s="21" t="s">
        <v>82</v>
      </c>
      <c r="D1309" s="21" t="s">
        <v>51</v>
      </c>
      <c r="E1309" s="21">
        <v>10.0</v>
      </c>
      <c r="F1309" s="21" t="s">
        <v>2289</v>
      </c>
      <c r="G1309" s="19"/>
      <c r="H1309" s="19"/>
      <c r="I1309" s="19"/>
    </row>
    <row r="1310" ht="56.25" customHeight="1">
      <c r="A1310" s="21" t="s">
        <v>3839</v>
      </c>
      <c r="B1310" s="19" t="str">
        <f>image("https://storage.googleapis.com/acdb/photos/BromideNpcNmlBea06_Remake_4_0.png")</f>
        <v/>
      </c>
      <c r="C1310" s="21" t="s">
        <v>833</v>
      </c>
      <c r="D1310" s="21" t="s">
        <v>51</v>
      </c>
      <c r="E1310" s="21">
        <v>10.0</v>
      </c>
      <c r="F1310" s="21" t="s">
        <v>2289</v>
      </c>
      <c r="G1310" s="19"/>
      <c r="H1310" s="19"/>
      <c r="I1310" s="19"/>
    </row>
    <row r="1311" ht="56.25" customHeight="1">
      <c r="A1311" s="21" t="s">
        <v>3839</v>
      </c>
      <c r="B1311" s="19" t="str">
        <f>image("https://storage.googleapis.com/acdb/photos/BromideNpcNmlBea06_Remake_5_0.png")</f>
        <v/>
      </c>
      <c r="C1311" s="21" t="s">
        <v>258</v>
      </c>
      <c r="D1311" s="21" t="s">
        <v>51</v>
      </c>
      <c r="E1311" s="21">
        <v>10.0</v>
      </c>
      <c r="F1311" s="21" t="s">
        <v>2289</v>
      </c>
      <c r="G1311" s="19"/>
      <c r="H1311" s="19"/>
      <c r="I1311" s="19"/>
    </row>
    <row r="1312" ht="56.25" customHeight="1">
      <c r="A1312" s="21" t="s">
        <v>3839</v>
      </c>
      <c r="B1312" s="19" t="str">
        <f>image("https://storage.googleapis.com/acdb/photos/BromideNpcNmlBea06_Remake_6_0.png")</f>
        <v/>
      </c>
      <c r="C1312" s="21" t="s">
        <v>182</v>
      </c>
      <c r="D1312" s="21" t="s">
        <v>51</v>
      </c>
      <c r="E1312" s="21">
        <v>10.0</v>
      </c>
      <c r="F1312" s="21" t="s">
        <v>2289</v>
      </c>
      <c r="G1312" s="19"/>
      <c r="H1312" s="19"/>
      <c r="I1312" s="19"/>
    </row>
    <row r="1313" ht="56.25" customHeight="1">
      <c r="A1313" s="21" t="s">
        <v>3839</v>
      </c>
      <c r="B1313" s="19" t="str">
        <f>image("https://storage.googleapis.com/acdb/photos/BromideNpcNmlBea06_Remake_7_0.png")</f>
        <v/>
      </c>
      <c r="C1313" s="21" t="s">
        <v>187</v>
      </c>
      <c r="D1313" s="21" t="s">
        <v>51</v>
      </c>
      <c r="E1313" s="21">
        <v>10.0</v>
      </c>
      <c r="F1313" s="21" t="s">
        <v>2289</v>
      </c>
      <c r="G1313" s="19"/>
      <c r="H1313" s="19"/>
      <c r="I1313" s="19"/>
    </row>
    <row r="1314" ht="56.25" customHeight="1">
      <c r="A1314" s="21" t="s">
        <v>3847</v>
      </c>
      <c r="B1314" s="19" t="str">
        <f>image("https://storage.googleapis.com/acdb/photos/BromideNpcNmlGoa04_Remake_0_0.png")</f>
        <v/>
      </c>
      <c r="C1314" s="21" t="s">
        <v>219</v>
      </c>
      <c r="D1314" s="21" t="s">
        <v>51</v>
      </c>
      <c r="E1314" s="21">
        <v>10.0</v>
      </c>
      <c r="F1314" s="21" t="s">
        <v>2289</v>
      </c>
      <c r="G1314" s="19"/>
      <c r="H1314" s="19"/>
      <c r="I1314" s="19"/>
    </row>
    <row r="1315" ht="56.25" customHeight="1">
      <c r="A1315" s="21" t="s">
        <v>3847</v>
      </c>
      <c r="B1315" s="19" t="str">
        <f>image("https://storage.googleapis.com/acdb/photos/BromideNpcNmlGoa04_Remake_1_0.png")</f>
        <v/>
      </c>
      <c r="C1315" s="21" t="s">
        <v>795</v>
      </c>
      <c r="D1315" s="21" t="s">
        <v>51</v>
      </c>
      <c r="E1315" s="21">
        <v>10.0</v>
      </c>
      <c r="F1315" s="21" t="s">
        <v>2289</v>
      </c>
      <c r="G1315" s="19"/>
      <c r="H1315" s="19"/>
      <c r="I1315" s="19"/>
    </row>
    <row r="1316" ht="56.25" customHeight="1">
      <c r="A1316" s="21" t="s">
        <v>3847</v>
      </c>
      <c r="B1316" s="19" t="str">
        <f>image("https://storage.googleapis.com/acdb/photos/BromideNpcNmlGoa04_Remake_2_0.png")</f>
        <v/>
      </c>
      <c r="C1316" s="21" t="s">
        <v>954</v>
      </c>
      <c r="D1316" s="21" t="s">
        <v>51</v>
      </c>
      <c r="E1316" s="21">
        <v>10.0</v>
      </c>
      <c r="F1316" s="21" t="s">
        <v>2289</v>
      </c>
      <c r="G1316" s="19"/>
      <c r="H1316" s="19"/>
      <c r="I1316" s="19"/>
    </row>
    <row r="1317" ht="56.25" customHeight="1">
      <c r="A1317" s="21" t="s">
        <v>3847</v>
      </c>
      <c r="B1317" s="19" t="str">
        <f>image("https://storage.googleapis.com/acdb/photos/BromideNpcNmlGoa04_Remake_3_0.png")</f>
        <v/>
      </c>
      <c r="C1317" s="21" t="s">
        <v>82</v>
      </c>
      <c r="D1317" s="21" t="s">
        <v>51</v>
      </c>
      <c r="E1317" s="21">
        <v>10.0</v>
      </c>
      <c r="F1317" s="21" t="s">
        <v>2289</v>
      </c>
      <c r="G1317" s="19"/>
      <c r="H1317" s="19"/>
      <c r="I1317" s="19"/>
    </row>
    <row r="1318" ht="56.25" customHeight="1">
      <c r="A1318" s="21" t="s">
        <v>3847</v>
      </c>
      <c r="B1318" s="19" t="str">
        <f>image("https://storage.googleapis.com/acdb/photos/BromideNpcNmlGoa04_Remake_4_0.png")</f>
        <v/>
      </c>
      <c r="C1318" s="21" t="s">
        <v>833</v>
      </c>
      <c r="D1318" s="21" t="s">
        <v>51</v>
      </c>
      <c r="E1318" s="21">
        <v>10.0</v>
      </c>
      <c r="F1318" s="21" t="s">
        <v>2289</v>
      </c>
      <c r="G1318" s="19"/>
      <c r="H1318" s="19"/>
      <c r="I1318" s="19"/>
    </row>
    <row r="1319" ht="56.25" customHeight="1">
      <c r="A1319" s="21" t="s">
        <v>3847</v>
      </c>
      <c r="B1319" s="19" t="str">
        <f>image("https://storage.googleapis.com/acdb/photos/BromideNpcNmlGoa04_Remake_5_0.png")</f>
        <v/>
      </c>
      <c r="C1319" s="21" t="s">
        <v>258</v>
      </c>
      <c r="D1319" s="21" t="s">
        <v>51</v>
      </c>
      <c r="E1319" s="21">
        <v>10.0</v>
      </c>
      <c r="F1319" s="21" t="s">
        <v>2289</v>
      </c>
      <c r="G1319" s="19"/>
      <c r="H1319" s="19"/>
      <c r="I1319" s="19"/>
    </row>
    <row r="1320" ht="56.25" customHeight="1">
      <c r="A1320" s="21" t="s">
        <v>3847</v>
      </c>
      <c r="B1320" s="19" t="str">
        <f>image("https://storage.googleapis.com/acdb/photos/BromideNpcNmlGoa04_Remake_6_0.png")</f>
        <v/>
      </c>
      <c r="C1320" s="21" t="s">
        <v>182</v>
      </c>
      <c r="D1320" s="21" t="s">
        <v>51</v>
      </c>
      <c r="E1320" s="21">
        <v>10.0</v>
      </c>
      <c r="F1320" s="21" t="s">
        <v>2289</v>
      </c>
      <c r="G1320" s="19"/>
      <c r="H1320" s="19"/>
      <c r="I1320" s="19"/>
    </row>
    <row r="1321" ht="56.25" customHeight="1">
      <c r="A1321" s="21" t="s">
        <v>3847</v>
      </c>
      <c r="B1321" s="19" t="str">
        <f>image("https://storage.googleapis.com/acdb/photos/BromideNpcNmlGoa04_Remake_7_0.png")</f>
        <v/>
      </c>
      <c r="C1321" s="21" t="s">
        <v>187</v>
      </c>
      <c r="D1321" s="21" t="s">
        <v>51</v>
      </c>
      <c r="E1321" s="21">
        <v>10.0</v>
      </c>
      <c r="F1321" s="21" t="s">
        <v>2289</v>
      </c>
      <c r="G1321" s="19"/>
      <c r="H1321" s="19"/>
      <c r="I1321" s="19"/>
    </row>
    <row r="1322" ht="56.25" customHeight="1">
      <c r="A1322" s="21" t="s">
        <v>3856</v>
      </c>
      <c r="B1322" s="19" t="str">
        <f>image("https://storage.googleapis.com/acdb/photos/BromideNpcNmlPgn05_Remake_0_0.png")</f>
        <v/>
      </c>
      <c r="C1322" s="21" t="s">
        <v>219</v>
      </c>
      <c r="D1322" s="21" t="s">
        <v>51</v>
      </c>
      <c r="E1322" s="21">
        <v>10.0</v>
      </c>
      <c r="F1322" s="21" t="s">
        <v>2289</v>
      </c>
      <c r="G1322" s="19"/>
      <c r="H1322" s="19"/>
      <c r="I1322" s="19"/>
    </row>
    <row r="1323" ht="56.25" customHeight="1">
      <c r="A1323" s="21" t="s">
        <v>3856</v>
      </c>
      <c r="B1323" s="19" t="str">
        <f>image("https://storage.googleapis.com/acdb/photos/BromideNpcNmlPgn05_Remake_1_0.png")</f>
        <v/>
      </c>
      <c r="C1323" s="21" t="s">
        <v>795</v>
      </c>
      <c r="D1323" s="21" t="s">
        <v>51</v>
      </c>
      <c r="E1323" s="21">
        <v>10.0</v>
      </c>
      <c r="F1323" s="21" t="s">
        <v>2289</v>
      </c>
      <c r="G1323" s="19"/>
      <c r="H1323" s="19"/>
      <c r="I1323" s="19"/>
    </row>
    <row r="1324" ht="56.25" customHeight="1">
      <c r="A1324" s="21" t="s">
        <v>3856</v>
      </c>
      <c r="B1324" s="19" t="str">
        <f>image("https://storage.googleapis.com/acdb/photos/BromideNpcNmlPgn05_Remake_2_0.png")</f>
        <v/>
      </c>
      <c r="C1324" s="21" t="s">
        <v>954</v>
      </c>
      <c r="D1324" s="21" t="s">
        <v>51</v>
      </c>
      <c r="E1324" s="21">
        <v>10.0</v>
      </c>
      <c r="F1324" s="21" t="s">
        <v>2289</v>
      </c>
      <c r="G1324" s="19"/>
      <c r="H1324" s="19"/>
      <c r="I1324" s="19"/>
    </row>
    <row r="1325" ht="56.25" customHeight="1">
      <c r="A1325" s="21" t="s">
        <v>3856</v>
      </c>
      <c r="B1325" s="19" t="str">
        <f>image("https://storage.googleapis.com/acdb/photos/BromideNpcNmlPgn05_Remake_3_0.png")</f>
        <v/>
      </c>
      <c r="C1325" s="21" t="s">
        <v>82</v>
      </c>
      <c r="D1325" s="21" t="s">
        <v>51</v>
      </c>
      <c r="E1325" s="21">
        <v>10.0</v>
      </c>
      <c r="F1325" s="21" t="s">
        <v>2289</v>
      </c>
      <c r="G1325" s="19"/>
      <c r="H1325" s="19"/>
      <c r="I1325" s="19"/>
    </row>
    <row r="1326" ht="56.25" customHeight="1">
      <c r="A1326" s="21" t="s">
        <v>3856</v>
      </c>
      <c r="B1326" s="19" t="str">
        <f>image("https://storage.googleapis.com/acdb/photos/BromideNpcNmlPgn05_Remake_4_0.png")</f>
        <v/>
      </c>
      <c r="C1326" s="21" t="s">
        <v>833</v>
      </c>
      <c r="D1326" s="21" t="s">
        <v>51</v>
      </c>
      <c r="E1326" s="21">
        <v>10.0</v>
      </c>
      <c r="F1326" s="21" t="s">
        <v>2289</v>
      </c>
      <c r="G1326" s="19"/>
      <c r="H1326" s="19"/>
      <c r="I1326" s="19"/>
    </row>
    <row r="1327" ht="56.25" customHeight="1">
      <c r="A1327" s="21" t="s">
        <v>3856</v>
      </c>
      <c r="B1327" s="19" t="str">
        <f>image("https://storage.googleapis.com/acdb/photos/BromideNpcNmlPgn05_Remake_5_0.png")</f>
        <v/>
      </c>
      <c r="C1327" s="21" t="s">
        <v>258</v>
      </c>
      <c r="D1327" s="21" t="s">
        <v>51</v>
      </c>
      <c r="E1327" s="21">
        <v>10.0</v>
      </c>
      <c r="F1327" s="21" t="s">
        <v>2289</v>
      </c>
      <c r="G1327" s="19"/>
      <c r="H1327" s="19"/>
      <c r="I1327" s="19"/>
    </row>
    <row r="1328" ht="56.25" customHeight="1">
      <c r="A1328" s="21" t="s">
        <v>3856</v>
      </c>
      <c r="B1328" s="19" t="str">
        <f>image("https://storage.googleapis.com/acdb/photos/BromideNpcNmlPgn05_Remake_6_0.png")</f>
        <v/>
      </c>
      <c r="C1328" s="21" t="s">
        <v>182</v>
      </c>
      <c r="D1328" s="21" t="s">
        <v>51</v>
      </c>
      <c r="E1328" s="21">
        <v>10.0</v>
      </c>
      <c r="F1328" s="21" t="s">
        <v>2289</v>
      </c>
      <c r="G1328" s="19"/>
      <c r="H1328" s="19"/>
      <c r="I1328" s="19"/>
    </row>
    <row r="1329" ht="56.25" customHeight="1">
      <c r="A1329" s="21" t="s">
        <v>3856</v>
      </c>
      <c r="B1329" s="19" t="str">
        <f>image("https://storage.googleapis.com/acdb/photos/BromideNpcNmlPgn05_Remake_7_0.png")</f>
        <v/>
      </c>
      <c r="C1329" s="21" t="s">
        <v>187</v>
      </c>
      <c r="D1329" s="21" t="s">
        <v>51</v>
      </c>
      <c r="E1329" s="21">
        <v>10.0</v>
      </c>
      <c r="F1329" s="21" t="s">
        <v>2289</v>
      </c>
      <c r="G1329" s="19"/>
      <c r="H1329" s="19"/>
      <c r="I1329" s="19"/>
    </row>
    <row r="1330" ht="56.25" customHeight="1">
      <c r="A1330" s="21" t="s">
        <v>3868</v>
      </c>
      <c r="B1330" s="19" t="str">
        <f>image("https://storage.googleapis.com/acdb/photos/BromideNpcNmlHam00_Remake_0_0.png")</f>
        <v/>
      </c>
      <c r="C1330" s="21" t="s">
        <v>219</v>
      </c>
      <c r="D1330" s="21" t="s">
        <v>51</v>
      </c>
      <c r="E1330" s="21">
        <v>10.0</v>
      </c>
      <c r="F1330" s="21" t="s">
        <v>2289</v>
      </c>
      <c r="G1330" s="19"/>
      <c r="H1330" s="19"/>
      <c r="I1330" s="19"/>
    </row>
    <row r="1331" ht="56.25" customHeight="1">
      <c r="A1331" s="21" t="s">
        <v>3868</v>
      </c>
      <c r="B1331" s="19" t="str">
        <f>image("https://storage.googleapis.com/acdb/photos/BromideNpcNmlHam00_Remake_1_0.png")</f>
        <v/>
      </c>
      <c r="C1331" s="21" t="s">
        <v>795</v>
      </c>
      <c r="D1331" s="21" t="s">
        <v>51</v>
      </c>
      <c r="E1331" s="21">
        <v>10.0</v>
      </c>
      <c r="F1331" s="21" t="s">
        <v>2289</v>
      </c>
      <c r="G1331" s="19"/>
      <c r="H1331" s="19"/>
      <c r="I1331" s="19"/>
    </row>
    <row r="1332" ht="56.25" customHeight="1">
      <c r="A1332" s="21" t="s">
        <v>3868</v>
      </c>
      <c r="B1332" s="19" t="str">
        <f>image("https://storage.googleapis.com/acdb/photos/BromideNpcNmlHam00_Remake_2_0.png")</f>
        <v/>
      </c>
      <c r="C1332" s="21" t="s">
        <v>954</v>
      </c>
      <c r="D1332" s="21" t="s">
        <v>51</v>
      </c>
      <c r="E1332" s="21">
        <v>10.0</v>
      </c>
      <c r="F1332" s="21" t="s">
        <v>2289</v>
      </c>
      <c r="G1332" s="19"/>
      <c r="H1332" s="19"/>
      <c r="I1332" s="19"/>
    </row>
    <row r="1333" ht="56.25" customHeight="1">
      <c r="A1333" s="21" t="s">
        <v>3868</v>
      </c>
      <c r="B1333" s="19" t="str">
        <f>image("https://storage.googleapis.com/acdb/photos/BromideNpcNmlHam00_Remake_3_0.png")</f>
        <v/>
      </c>
      <c r="C1333" s="21" t="s">
        <v>82</v>
      </c>
      <c r="D1333" s="21" t="s">
        <v>51</v>
      </c>
      <c r="E1333" s="21">
        <v>10.0</v>
      </c>
      <c r="F1333" s="21" t="s">
        <v>2289</v>
      </c>
      <c r="G1333" s="19"/>
      <c r="H1333" s="19"/>
      <c r="I1333" s="19"/>
    </row>
    <row r="1334" ht="56.25" customHeight="1">
      <c r="A1334" s="21" t="s">
        <v>3868</v>
      </c>
      <c r="B1334" s="19" t="str">
        <f>image("https://storage.googleapis.com/acdb/photos/BromideNpcNmlHam00_Remake_4_0.png")</f>
        <v/>
      </c>
      <c r="C1334" s="21" t="s">
        <v>833</v>
      </c>
      <c r="D1334" s="21" t="s">
        <v>51</v>
      </c>
      <c r="E1334" s="21">
        <v>10.0</v>
      </c>
      <c r="F1334" s="21" t="s">
        <v>2289</v>
      </c>
      <c r="G1334" s="19"/>
      <c r="H1334" s="19"/>
      <c r="I1334" s="19"/>
    </row>
    <row r="1335" ht="56.25" customHeight="1">
      <c r="A1335" s="21" t="s">
        <v>3868</v>
      </c>
      <c r="B1335" s="19" t="str">
        <f>image("https://storage.googleapis.com/acdb/photos/BromideNpcNmlHam00_Remake_5_0.png")</f>
        <v/>
      </c>
      <c r="C1335" s="21" t="s">
        <v>258</v>
      </c>
      <c r="D1335" s="21" t="s">
        <v>51</v>
      </c>
      <c r="E1335" s="21">
        <v>10.0</v>
      </c>
      <c r="F1335" s="21" t="s">
        <v>2289</v>
      </c>
      <c r="G1335" s="19"/>
      <c r="H1335" s="19"/>
      <c r="I1335" s="19"/>
    </row>
    <row r="1336" ht="56.25" customHeight="1">
      <c r="A1336" s="21" t="s">
        <v>3868</v>
      </c>
      <c r="B1336" s="19" t="str">
        <f>image("https://storage.googleapis.com/acdb/photos/BromideNpcNmlHam00_Remake_6_0.png")</f>
        <v/>
      </c>
      <c r="C1336" s="21" t="s">
        <v>182</v>
      </c>
      <c r="D1336" s="21" t="s">
        <v>51</v>
      </c>
      <c r="E1336" s="21">
        <v>10.0</v>
      </c>
      <c r="F1336" s="21" t="s">
        <v>2289</v>
      </c>
      <c r="G1336" s="19"/>
      <c r="H1336" s="19"/>
      <c r="I1336" s="19"/>
    </row>
    <row r="1337" ht="56.25" customHeight="1">
      <c r="A1337" s="21" t="s">
        <v>3868</v>
      </c>
      <c r="B1337" s="19" t="str">
        <f>image("https://storage.googleapis.com/acdb/photos/BromideNpcNmlHam00_Remake_7_0.png")</f>
        <v/>
      </c>
      <c r="C1337" s="21" t="s">
        <v>187</v>
      </c>
      <c r="D1337" s="21" t="s">
        <v>51</v>
      </c>
      <c r="E1337" s="21">
        <v>10.0</v>
      </c>
      <c r="F1337" s="21" t="s">
        <v>2289</v>
      </c>
      <c r="G1337" s="19"/>
      <c r="H1337" s="19"/>
      <c r="I1337" s="19"/>
    </row>
    <row r="1338" ht="56.25" customHeight="1">
      <c r="A1338" s="21" t="s">
        <v>3875</v>
      </c>
      <c r="B1338" s="19" t="str">
        <f>image("https://storage.googleapis.com/acdb/photos/BromideNpcNmlHam07_Remake_0_0.png")</f>
        <v/>
      </c>
      <c r="C1338" s="21" t="s">
        <v>219</v>
      </c>
      <c r="D1338" s="21" t="s">
        <v>51</v>
      </c>
      <c r="E1338" s="21">
        <v>10.0</v>
      </c>
      <c r="F1338" s="21" t="s">
        <v>2289</v>
      </c>
      <c r="G1338" s="19"/>
      <c r="H1338" s="19"/>
      <c r="I1338" s="19"/>
    </row>
    <row r="1339" ht="56.25" customHeight="1">
      <c r="A1339" s="21" t="s">
        <v>3875</v>
      </c>
      <c r="B1339" s="19" t="str">
        <f>image("https://storage.googleapis.com/acdb/photos/BromideNpcNmlHam07_Remake_1_0.png")</f>
        <v/>
      </c>
      <c r="C1339" s="21" t="s">
        <v>795</v>
      </c>
      <c r="D1339" s="21" t="s">
        <v>51</v>
      </c>
      <c r="E1339" s="21">
        <v>10.0</v>
      </c>
      <c r="F1339" s="21" t="s">
        <v>2289</v>
      </c>
      <c r="G1339" s="19"/>
      <c r="H1339" s="19"/>
      <c r="I1339" s="19"/>
    </row>
    <row r="1340" ht="56.25" customHeight="1">
      <c r="A1340" s="21" t="s">
        <v>3875</v>
      </c>
      <c r="B1340" s="19" t="str">
        <f>image("https://storage.googleapis.com/acdb/photos/BromideNpcNmlHam07_Remake_2_0.png")</f>
        <v/>
      </c>
      <c r="C1340" s="21" t="s">
        <v>954</v>
      </c>
      <c r="D1340" s="21" t="s">
        <v>51</v>
      </c>
      <c r="E1340" s="21">
        <v>10.0</v>
      </c>
      <c r="F1340" s="21" t="s">
        <v>2289</v>
      </c>
      <c r="G1340" s="19"/>
      <c r="H1340" s="19"/>
      <c r="I1340" s="19"/>
    </row>
    <row r="1341" ht="56.25" customHeight="1">
      <c r="A1341" s="21" t="s">
        <v>3875</v>
      </c>
      <c r="B1341" s="19" t="str">
        <f>image("https://storage.googleapis.com/acdb/photos/BromideNpcNmlHam07_Remake_3_0.png")</f>
        <v/>
      </c>
      <c r="C1341" s="21" t="s">
        <v>82</v>
      </c>
      <c r="D1341" s="21" t="s">
        <v>51</v>
      </c>
      <c r="E1341" s="21">
        <v>10.0</v>
      </c>
      <c r="F1341" s="21" t="s">
        <v>2289</v>
      </c>
      <c r="G1341" s="19"/>
      <c r="H1341" s="19"/>
      <c r="I1341" s="19"/>
    </row>
    <row r="1342" ht="56.25" customHeight="1">
      <c r="A1342" s="21" t="s">
        <v>3875</v>
      </c>
      <c r="B1342" s="19" t="str">
        <f>image("https://storage.googleapis.com/acdb/photos/BromideNpcNmlHam07_Remake_4_0.png")</f>
        <v/>
      </c>
      <c r="C1342" s="21" t="s">
        <v>833</v>
      </c>
      <c r="D1342" s="21" t="s">
        <v>51</v>
      </c>
      <c r="E1342" s="21">
        <v>10.0</v>
      </c>
      <c r="F1342" s="21" t="s">
        <v>2289</v>
      </c>
      <c r="G1342" s="19"/>
      <c r="H1342" s="19"/>
      <c r="I1342" s="19"/>
    </row>
    <row r="1343" ht="56.25" customHeight="1">
      <c r="A1343" s="21" t="s">
        <v>3875</v>
      </c>
      <c r="B1343" s="19" t="str">
        <f>image("https://storage.googleapis.com/acdb/photos/BromideNpcNmlHam07_Remake_5_0.png")</f>
        <v/>
      </c>
      <c r="C1343" s="21" t="s">
        <v>258</v>
      </c>
      <c r="D1343" s="21" t="s">
        <v>51</v>
      </c>
      <c r="E1343" s="21">
        <v>10.0</v>
      </c>
      <c r="F1343" s="21" t="s">
        <v>2289</v>
      </c>
      <c r="G1343" s="19"/>
      <c r="H1343" s="19"/>
      <c r="I1343" s="19"/>
    </row>
    <row r="1344" ht="56.25" customHeight="1">
      <c r="A1344" s="21" t="s">
        <v>3875</v>
      </c>
      <c r="B1344" s="19" t="str">
        <f>image("https://storage.googleapis.com/acdb/photos/BromideNpcNmlHam07_Remake_6_0.png")</f>
        <v/>
      </c>
      <c r="C1344" s="21" t="s">
        <v>182</v>
      </c>
      <c r="D1344" s="21" t="s">
        <v>51</v>
      </c>
      <c r="E1344" s="21">
        <v>10.0</v>
      </c>
      <c r="F1344" s="21" t="s">
        <v>2289</v>
      </c>
      <c r="G1344" s="19"/>
      <c r="H1344" s="19"/>
      <c r="I1344" s="19"/>
    </row>
    <row r="1345" ht="56.25" customHeight="1">
      <c r="A1345" s="21" t="s">
        <v>3875</v>
      </c>
      <c r="B1345" s="19" t="str">
        <f>image("https://storage.googleapis.com/acdb/photos/BromideNpcNmlHam07_Remake_7_0.png")</f>
        <v/>
      </c>
      <c r="C1345" s="21" t="s">
        <v>187</v>
      </c>
      <c r="D1345" s="21" t="s">
        <v>51</v>
      </c>
      <c r="E1345" s="21">
        <v>10.0</v>
      </c>
      <c r="F1345" s="21" t="s">
        <v>2289</v>
      </c>
      <c r="G1345" s="19"/>
      <c r="H1345" s="19"/>
      <c r="I1345" s="19"/>
    </row>
    <row r="1346" ht="56.25" customHeight="1">
      <c r="A1346" s="21" t="s">
        <v>3885</v>
      </c>
      <c r="B1346" s="19" t="str">
        <f>image("https://storage.googleapis.com/acdb/photos/BromideNpcNmlGor10_Remake_0_0.png")</f>
        <v/>
      </c>
      <c r="C1346" s="21" t="s">
        <v>219</v>
      </c>
      <c r="D1346" s="21" t="s">
        <v>51</v>
      </c>
      <c r="E1346" s="21">
        <v>10.0</v>
      </c>
      <c r="F1346" s="21" t="s">
        <v>2289</v>
      </c>
      <c r="G1346" s="19"/>
      <c r="H1346" s="19"/>
      <c r="I1346" s="19"/>
    </row>
    <row r="1347" ht="56.25" customHeight="1">
      <c r="A1347" s="21" t="s">
        <v>3885</v>
      </c>
      <c r="B1347" s="19" t="str">
        <f>image("https://storage.googleapis.com/acdb/photos/BromideNpcNmlGor10_Remake_1_0.png")</f>
        <v/>
      </c>
      <c r="C1347" s="21" t="s">
        <v>795</v>
      </c>
      <c r="D1347" s="21" t="s">
        <v>51</v>
      </c>
      <c r="E1347" s="21">
        <v>10.0</v>
      </c>
      <c r="F1347" s="21" t="s">
        <v>2289</v>
      </c>
      <c r="G1347" s="19"/>
      <c r="H1347" s="19"/>
      <c r="I1347" s="19"/>
    </row>
    <row r="1348" ht="56.25" customHeight="1">
      <c r="A1348" s="21" t="s">
        <v>3885</v>
      </c>
      <c r="B1348" s="19" t="str">
        <f>image("https://storage.googleapis.com/acdb/photos/BromideNpcNmlGor10_Remake_2_0.png")</f>
        <v/>
      </c>
      <c r="C1348" s="21" t="s">
        <v>954</v>
      </c>
      <c r="D1348" s="21" t="s">
        <v>51</v>
      </c>
      <c r="E1348" s="21">
        <v>10.0</v>
      </c>
      <c r="F1348" s="21" t="s">
        <v>2289</v>
      </c>
      <c r="G1348" s="19"/>
      <c r="H1348" s="19"/>
      <c r="I1348" s="19"/>
    </row>
    <row r="1349" ht="56.25" customHeight="1">
      <c r="A1349" s="21" t="s">
        <v>3885</v>
      </c>
      <c r="B1349" s="19" t="str">
        <f>image("https://storage.googleapis.com/acdb/photos/BromideNpcNmlGor10_Remake_3_0.png")</f>
        <v/>
      </c>
      <c r="C1349" s="21" t="s">
        <v>82</v>
      </c>
      <c r="D1349" s="21" t="s">
        <v>51</v>
      </c>
      <c r="E1349" s="21">
        <v>10.0</v>
      </c>
      <c r="F1349" s="21" t="s">
        <v>2289</v>
      </c>
      <c r="G1349" s="19"/>
      <c r="H1349" s="19"/>
      <c r="I1349" s="19"/>
    </row>
    <row r="1350" ht="56.25" customHeight="1">
      <c r="A1350" s="21" t="s">
        <v>3885</v>
      </c>
      <c r="B1350" s="19" t="str">
        <f>image("https://storage.googleapis.com/acdb/photos/BromideNpcNmlGor10_Remake_4_0.png")</f>
        <v/>
      </c>
      <c r="C1350" s="21" t="s">
        <v>833</v>
      </c>
      <c r="D1350" s="21" t="s">
        <v>51</v>
      </c>
      <c r="E1350" s="21">
        <v>10.0</v>
      </c>
      <c r="F1350" s="21" t="s">
        <v>2289</v>
      </c>
      <c r="G1350" s="19"/>
      <c r="H1350" s="19"/>
      <c r="I1350" s="19"/>
    </row>
    <row r="1351" ht="56.25" customHeight="1">
      <c r="A1351" s="21" t="s">
        <v>3885</v>
      </c>
      <c r="B1351" s="19" t="str">
        <f>image("https://storage.googleapis.com/acdb/photos/BromideNpcNmlGor10_Remake_5_0.png")</f>
        <v/>
      </c>
      <c r="C1351" s="21" t="s">
        <v>258</v>
      </c>
      <c r="D1351" s="21" t="s">
        <v>51</v>
      </c>
      <c r="E1351" s="21">
        <v>10.0</v>
      </c>
      <c r="F1351" s="21" t="s">
        <v>2289</v>
      </c>
      <c r="G1351" s="19"/>
      <c r="H1351" s="19"/>
      <c r="I1351" s="19"/>
    </row>
    <row r="1352" ht="56.25" customHeight="1">
      <c r="A1352" s="21" t="s">
        <v>3885</v>
      </c>
      <c r="B1352" s="19" t="str">
        <f>image("https://storage.googleapis.com/acdb/photos/BromideNpcNmlGor10_Remake_6_0.png")</f>
        <v/>
      </c>
      <c r="C1352" s="21" t="s">
        <v>182</v>
      </c>
      <c r="D1352" s="21" t="s">
        <v>51</v>
      </c>
      <c r="E1352" s="21">
        <v>10.0</v>
      </c>
      <c r="F1352" s="21" t="s">
        <v>2289</v>
      </c>
      <c r="G1352" s="19"/>
      <c r="H1352" s="19"/>
      <c r="I1352" s="19"/>
    </row>
    <row r="1353" ht="56.25" customHeight="1">
      <c r="A1353" s="21" t="s">
        <v>3885</v>
      </c>
      <c r="B1353" s="19" t="str">
        <f>image("https://storage.googleapis.com/acdb/photos/BromideNpcNmlGor10_Remake_7_0.png")</f>
        <v/>
      </c>
      <c r="C1353" s="21" t="s">
        <v>187</v>
      </c>
      <c r="D1353" s="21" t="s">
        <v>51</v>
      </c>
      <c r="E1353" s="21">
        <v>10.0</v>
      </c>
      <c r="F1353" s="21" t="s">
        <v>2289</v>
      </c>
      <c r="G1353" s="19"/>
      <c r="H1353" s="19"/>
      <c r="I1353" s="19"/>
    </row>
    <row r="1354" ht="56.25" customHeight="1">
      <c r="A1354" s="21" t="s">
        <v>3895</v>
      </c>
      <c r="B1354" s="19" t="str">
        <f>image("https://storage.googleapis.com/acdb/photos/BromideNpcNmlHip08_Remake_0_0.png")</f>
        <v/>
      </c>
      <c r="C1354" s="21" t="s">
        <v>219</v>
      </c>
      <c r="D1354" s="21" t="s">
        <v>51</v>
      </c>
      <c r="E1354" s="21">
        <v>10.0</v>
      </c>
      <c r="F1354" s="21" t="s">
        <v>2289</v>
      </c>
      <c r="G1354" s="19"/>
      <c r="H1354" s="19"/>
      <c r="I1354" s="19"/>
    </row>
    <row r="1355" ht="56.25" customHeight="1">
      <c r="A1355" s="21" t="s">
        <v>3895</v>
      </c>
      <c r="B1355" s="19" t="str">
        <f>image("https://storage.googleapis.com/acdb/photos/BromideNpcNmlHip08_Remake_1_0.png")</f>
        <v/>
      </c>
      <c r="C1355" s="21" t="s">
        <v>795</v>
      </c>
      <c r="D1355" s="21" t="s">
        <v>51</v>
      </c>
      <c r="E1355" s="21">
        <v>10.0</v>
      </c>
      <c r="F1355" s="21" t="s">
        <v>2289</v>
      </c>
      <c r="G1355" s="19"/>
      <c r="H1355" s="19"/>
      <c r="I1355" s="19"/>
    </row>
    <row r="1356" ht="56.25" customHeight="1">
      <c r="A1356" s="21" t="s">
        <v>3895</v>
      </c>
      <c r="B1356" s="19" t="str">
        <f>image("https://storage.googleapis.com/acdb/photos/BromideNpcNmlHip08_Remake_2_0.png")</f>
        <v/>
      </c>
      <c r="C1356" s="21" t="s">
        <v>954</v>
      </c>
      <c r="D1356" s="21" t="s">
        <v>51</v>
      </c>
      <c r="E1356" s="21">
        <v>10.0</v>
      </c>
      <c r="F1356" s="21" t="s">
        <v>2289</v>
      </c>
      <c r="G1356" s="19"/>
      <c r="H1356" s="19"/>
      <c r="I1356" s="19"/>
    </row>
    <row r="1357" ht="56.25" customHeight="1">
      <c r="A1357" s="21" t="s">
        <v>3895</v>
      </c>
      <c r="B1357" s="19" t="str">
        <f>image("https://storage.googleapis.com/acdb/photos/BromideNpcNmlHip08_Remake_3_0.png")</f>
        <v/>
      </c>
      <c r="C1357" s="21" t="s">
        <v>82</v>
      </c>
      <c r="D1357" s="21" t="s">
        <v>51</v>
      </c>
      <c r="E1357" s="21">
        <v>10.0</v>
      </c>
      <c r="F1357" s="21" t="s">
        <v>2289</v>
      </c>
      <c r="G1357" s="19"/>
      <c r="H1357" s="19"/>
      <c r="I1357" s="19"/>
    </row>
    <row r="1358" ht="56.25" customHeight="1">
      <c r="A1358" s="21" t="s">
        <v>3895</v>
      </c>
      <c r="B1358" s="19" t="str">
        <f>image("https://storage.googleapis.com/acdb/photos/BromideNpcNmlHip08_Remake_4_0.png")</f>
        <v/>
      </c>
      <c r="C1358" s="21" t="s">
        <v>833</v>
      </c>
      <c r="D1358" s="21" t="s">
        <v>51</v>
      </c>
      <c r="E1358" s="21">
        <v>10.0</v>
      </c>
      <c r="F1358" s="21" t="s">
        <v>2289</v>
      </c>
      <c r="G1358" s="19"/>
      <c r="H1358" s="19"/>
      <c r="I1358" s="19"/>
    </row>
    <row r="1359" ht="56.25" customHeight="1">
      <c r="A1359" s="21" t="s">
        <v>3895</v>
      </c>
      <c r="B1359" s="19" t="str">
        <f>image("https://storage.googleapis.com/acdb/photos/BromideNpcNmlHip08_Remake_5_0.png")</f>
        <v/>
      </c>
      <c r="C1359" s="21" t="s">
        <v>258</v>
      </c>
      <c r="D1359" s="21" t="s">
        <v>51</v>
      </c>
      <c r="E1359" s="21">
        <v>10.0</v>
      </c>
      <c r="F1359" s="21" t="s">
        <v>2289</v>
      </c>
      <c r="G1359" s="19"/>
      <c r="H1359" s="19"/>
      <c r="I1359" s="19"/>
    </row>
    <row r="1360" ht="56.25" customHeight="1">
      <c r="A1360" s="21" t="s">
        <v>3895</v>
      </c>
      <c r="B1360" s="19" t="str">
        <f>image("https://storage.googleapis.com/acdb/photos/BromideNpcNmlHip08_Remake_6_0.png")</f>
        <v/>
      </c>
      <c r="C1360" s="21" t="s">
        <v>182</v>
      </c>
      <c r="D1360" s="21" t="s">
        <v>51</v>
      </c>
      <c r="E1360" s="21">
        <v>10.0</v>
      </c>
      <c r="F1360" s="21" t="s">
        <v>2289</v>
      </c>
      <c r="G1360" s="19"/>
      <c r="H1360" s="19"/>
      <c r="I1360" s="19"/>
    </row>
    <row r="1361" ht="56.25" customHeight="1">
      <c r="A1361" s="21" t="s">
        <v>3895</v>
      </c>
      <c r="B1361" s="19" t="str">
        <f>image("https://storage.googleapis.com/acdb/photos/BromideNpcNmlHip08_Remake_7_0.png")</f>
        <v/>
      </c>
      <c r="C1361" s="21" t="s">
        <v>187</v>
      </c>
      <c r="D1361" s="21" t="s">
        <v>51</v>
      </c>
      <c r="E1361" s="21">
        <v>10.0</v>
      </c>
      <c r="F1361" s="21" t="s">
        <v>2289</v>
      </c>
      <c r="G1361" s="19"/>
      <c r="H1361" s="19"/>
      <c r="I1361" s="19"/>
    </row>
    <row r="1362" ht="56.25" customHeight="1">
      <c r="A1362" s="21" t="s">
        <v>3906</v>
      </c>
      <c r="B1362" s="19" t="str">
        <f>image("https://storage.googleapis.com/acdb/photos/BromideNpcNmlSqu18_Remake_0_0.png")</f>
        <v/>
      </c>
      <c r="C1362" s="21" t="s">
        <v>219</v>
      </c>
      <c r="D1362" s="21" t="s">
        <v>51</v>
      </c>
      <c r="E1362" s="21">
        <v>10.0</v>
      </c>
      <c r="F1362" s="21" t="s">
        <v>2289</v>
      </c>
      <c r="G1362" s="19"/>
      <c r="H1362" s="19"/>
      <c r="I1362" s="19"/>
    </row>
    <row r="1363" ht="56.25" customHeight="1">
      <c r="A1363" s="21" t="s">
        <v>3906</v>
      </c>
      <c r="B1363" s="19" t="str">
        <f>image("https://storage.googleapis.com/acdb/photos/BromideNpcNmlSqu18_Remake_1_0.png")</f>
        <v/>
      </c>
      <c r="C1363" s="21" t="s">
        <v>795</v>
      </c>
      <c r="D1363" s="21" t="s">
        <v>51</v>
      </c>
      <c r="E1363" s="21">
        <v>10.0</v>
      </c>
      <c r="F1363" s="21" t="s">
        <v>2289</v>
      </c>
      <c r="G1363" s="19"/>
      <c r="H1363" s="19"/>
      <c r="I1363" s="19"/>
    </row>
    <row r="1364" ht="56.25" customHeight="1">
      <c r="A1364" s="21" t="s">
        <v>3906</v>
      </c>
      <c r="B1364" s="19" t="str">
        <f>image("https://storage.googleapis.com/acdb/photos/BromideNpcNmlSqu18_Remake_2_0.png")</f>
        <v/>
      </c>
      <c r="C1364" s="21" t="s">
        <v>954</v>
      </c>
      <c r="D1364" s="21" t="s">
        <v>51</v>
      </c>
      <c r="E1364" s="21">
        <v>10.0</v>
      </c>
      <c r="F1364" s="21" t="s">
        <v>2289</v>
      </c>
      <c r="G1364" s="19"/>
      <c r="H1364" s="19"/>
      <c r="I1364" s="19"/>
    </row>
    <row r="1365" ht="56.25" customHeight="1">
      <c r="A1365" s="21" t="s">
        <v>3906</v>
      </c>
      <c r="B1365" s="19" t="str">
        <f>image("https://storage.googleapis.com/acdb/photos/BromideNpcNmlSqu18_Remake_3_0.png")</f>
        <v/>
      </c>
      <c r="C1365" s="21" t="s">
        <v>82</v>
      </c>
      <c r="D1365" s="21" t="s">
        <v>51</v>
      </c>
      <c r="E1365" s="21">
        <v>10.0</v>
      </c>
      <c r="F1365" s="21" t="s">
        <v>2289</v>
      </c>
      <c r="G1365" s="19"/>
      <c r="H1365" s="19"/>
      <c r="I1365" s="19"/>
    </row>
    <row r="1366" ht="56.25" customHeight="1">
      <c r="A1366" s="21" t="s">
        <v>3906</v>
      </c>
      <c r="B1366" s="19" t="str">
        <f>image("https://storage.googleapis.com/acdb/photos/BromideNpcNmlSqu18_Remake_4_0.png")</f>
        <v/>
      </c>
      <c r="C1366" s="21" t="s">
        <v>833</v>
      </c>
      <c r="D1366" s="21" t="s">
        <v>51</v>
      </c>
      <c r="E1366" s="21">
        <v>10.0</v>
      </c>
      <c r="F1366" s="21" t="s">
        <v>2289</v>
      </c>
      <c r="G1366" s="19"/>
      <c r="H1366" s="19"/>
      <c r="I1366" s="19"/>
    </row>
    <row r="1367" ht="56.25" customHeight="1">
      <c r="A1367" s="21" t="s">
        <v>3906</v>
      </c>
      <c r="B1367" s="19" t="str">
        <f>image("https://storage.googleapis.com/acdb/photos/BromideNpcNmlSqu18_Remake_5_0.png")</f>
        <v/>
      </c>
      <c r="C1367" s="21" t="s">
        <v>258</v>
      </c>
      <c r="D1367" s="21" t="s">
        <v>51</v>
      </c>
      <c r="E1367" s="21">
        <v>10.0</v>
      </c>
      <c r="F1367" s="21" t="s">
        <v>2289</v>
      </c>
      <c r="G1367" s="19"/>
      <c r="H1367" s="19"/>
      <c r="I1367" s="19"/>
    </row>
    <row r="1368" ht="56.25" customHeight="1">
      <c r="A1368" s="21" t="s">
        <v>3906</v>
      </c>
      <c r="B1368" s="19" t="str">
        <f>image("https://storage.googleapis.com/acdb/photos/BromideNpcNmlSqu18_Remake_6_0.png")</f>
        <v/>
      </c>
      <c r="C1368" s="21" t="s">
        <v>182</v>
      </c>
      <c r="D1368" s="21" t="s">
        <v>51</v>
      </c>
      <c r="E1368" s="21">
        <v>10.0</v>
      </c>
      <c r="F1368" s="21" t="s">
        <v>2289</v>
      </c>
      <c r="G1368" s="19"/>
      <c r="H1368" s="19"/>
      <c r="I1368" s="19"/>
    </row>
    <row r="1369" ht="56.25" customHeight="1">
      <c r="A1369" s="21" t="s">
        <v>3906</v>
      </c>
      <c r="B1369" s="19" t="str">
        <f>image("https://storage.googleapis.com/acdb/photos/BromideNpcNmlSqu18_Remake_7_0.png")</f>
        <v/>
      </c>
      <c r="C1369" s="21" t="s">
        <v>187</v>
      </c>
      <c r="D1369" s="21" t="s">
        <v>51</v>
      </c>
      <c r="E1369" s="21">
        <v>10.0</v>
      </c>
      <c r="F1369" s="21" t="s">
        <v>2289</v>
      </c>
      <c r="G1369" s="19"/>
      <c r="H1369" s="19"/>
      <c r="I1369" s="19"/>
    </row>
    <row r="1370" ht="56.25" customHeight="1">
      <c r="A1370" s="21" t="s">
        <v>3917</v>
      </c>
      <c r="B1370" s="19" t="str">
        <f>image("https://storage.googleapis.com/acdb/photos/BromideNpcNmlFlg19_Remake_0_0.png")</f>
        <v/>
      </c>
      <c r="C1370" s="21" t="s">
        <v>219</v>
      </c>
      <c r="D1370" s="21" t="s">
        <v>51</v>
      </c>
      <c r="E1370" s="21">
        <v>10.0</v>
      </c>
      <c r="F1370" s="21" t="s">
        <v>2289</v>
      </c>
      <c r="G1370" s="19"/>
      <c r="H1370" s="19"/>
      <c r="I1370" s="19"/>
    </row>
    <row r="1371" ht="56.25" customHeight="1">
      <c r="A1371" s="21" t="s">
        <v>3917</v>
      </c>
      <c r="B1371" s="19" t="str">
        <f>image("https://storage.googleapis.com/acdb/photos/BromideNpcNmlFlg19_Remake_1_0.png")</f>
        <v/>
      </c>
      <c r="C1371" s="21" t="s">
        <v>795</v>
      </c>
      <c r="D1371" s="21" t="s">
        <v>51</v>
      </c>
      <c r="E1371" s="21">
        <v>10.0</v>
      </c>
      <c r="F1371" s="21" t="s">
        <v>2289</v>
      </c>
      <c r="G1371" s="19"/>
      <c r="H1371" s="19"/>
      <c r="I1371" s="19"/>
    </row>
    <row r="1372" ht="56.25" customHeight="1">
      <c r="A1372" s="21" t="s">
        <v>3917</v>
      </c>
      <c r="B1372" s="19" t="str">
        <f>image("https://storage.googleapis.com/acdb/photos/BromideNpcNmlFlg19_Remake_2_0.png")</f>
        <v/>
      </c>
      <c r="C1372" s="21" t="s">
        <v>954</v>
      </c>
      <c r="D1372" s="21" t="s">
        <v>51</v>
      </c>
      <c r="E1372" s="21">
        <v>10.0</v>
      </c>
      <c r="F1372" s="21" t="s">
        <v>2289</v>
      </c>
      <c r="G1372" s="19"/>
      <c r="H1372" s="19"/>
      <c r="I1372" s="19"/>
    </row>
    <row r="1373" ht="56.25" customHeight="1">
      <c r="A1373" s="21" t="s">
        <v>3917</v>
      </c>
      <c r="B1373" s="19" t="str">
        <f>image("https://storage.googleapis.com/acdb/photos/BromideNpcNmlFlg19_Remake_3_0.png")</f>
        <v/>
      </c>
      <c r="C1373" s="21" t="s">
        <v>82</v>
      </c>
      <c r="D1373" s="21" t="s">
        <v>51</v>
      </c>
      <c r="E1373" s="21">
        <v>10.0</v>
      </c>
      <c r="F1373" s="21" t="s">
        <v>2289</v>
      </c>
      <c r="G1373" s="19"/>
      <c r="H1373" s="19"/>
      <c r="I1373" s="19"/>
    </row>
    <row r="1374" ht="56.25" customHeight="1">
      <c r="A1374" s="21" t="s">
        <v>3917</v>
      </c>
      <c r="B1374" s="19" t="str">
        <f>image("https://storage.googleapis.com/acdb/photos/BromideNpcNmlFlg19_Remake_4_0.png")</f>
        <v/>
      </c>
      <c r="C1374" s="21" t="s">
        <v>833</v>
      </c>
      <c r="D1374" s="21" t="s">
        <v>51</v>
      </c>
      <c r="E1374" s="21">
        <v>10.0</v>
      </c>
      <c r="F1374" s="21" t="s">
        <v>2289</v>
      </c>
      <c r="G1374" s="19"/>
      <c r="H1374" s="19"/>
      <c r="I1374" s="19"/>
    </row>
    <row r="1375" ht="56.25" customHeight="1">
      <c r="A1375" s="21" t="s">
        <v>3917</v>
      </c>
      <c r="B1375" s="19" t="str">
        <f>image("https://storage.googleapis.com/acdb/photos/BromideNpcNmlFlg19_Remake_5_0.png")</f>
        <v/>
      </c>
      <c r="C1375" s="21" t="s">
        <v>258</v>
      </c>
      <c r="D1375" s="21" t="s">
        <v>51</v>
      </c>
      <c r="E1375" s="21">
        <v>10.0</v>
      </c>
      <c r="F1375" s="21" t="s">
        <v>2289</v>
      </c>
      <c r="G1375" s="19"/>
      <c r="H1375" s="19"/>
      <c r="I1375" s="19"/>
    </row>
    <row r="1376" ht="56.25" customHeight="1">
      <c r="A1376" s="21" t="s">
        <v>3917</v>
      </c>
      <c r="B1376" s="19" t="str">
        <f>image("https://storage.googleapis.com/acdb/photos/BromideNpcNmlFlg19_Remake_6_0.png")</f>
        <v/>
      </c>
      <c r="C1376" s="21" t="s">
        <v>182</v>
      </c>
      <c r="D1376" s="21" t="s">
        <v>51</v>
      </c>
      <c r="E1376" s="21">
        <v>10.0</v>
      </c>
      <c r="F1376" s="21" t="s">
        <v>2289</v>
      </c>
      <c r="G1376" s="19"/>
      <c r="H1376" s="19"/>
      <c r="I1376" s="19"/>
    </row>
    <row r="1377" ht="56.25" customHeight="1">
      <c r="A1377" s="21" t="s">
        <v>3917</v>
      </c>
      <c r="B1377" s="19" t="str">
        <f>image("https://storage.googleapis.com/acdb/photos/BromideNpcNmlFlg19_Remake_7_0.png")</f>
        <v/>
      </c>
      <c r="C1377" s="21" t="s">
        <v>187</v>
      </c>
      <c r="D1377" s="21" t="s">
        <v>51</v>
      </c>
      <c r="E1377" s="21">
        <v>10.0</v>
      </c>
      <c r="F1377" s="21" t="s">
        <v>2289</v>
      </c>
      <c r="G1377" s="19"/>
      <c r="H1377" s="19"/>
      <c r="I1377" s="19"/>
    </row>
    <row r="1378" ht="56.25" customHeight="1">
      <c r="A1378" s="21" t="s">
        <v>3926</v>
      </c>
      <c r="B1378" s="19" t="str">
        <f>image("https://storage.googleapis.com/acdb/photos/BromideNpcNmlHip09_Remake_0_0.png")</f>
        <v/>
      </c>
      <c r="C1378" s="21" t="s">
        <v>219</v>
      </c>
      <c r="D1378" s="21" t="s">
        <v>51</v>
      </c>
      <c r="E1378" s="21">
        <v>10.0</v>
      </c>
      <c r="F1378" s="21" t="s">
        <v>2289</v>
      </c>
      <c r="G1378" s="19"/>
      <c r="H1378" s="19"/>
      <c r="I1378" s="19"/>
    </row>
    <row r="1379" ht="56.25" customHeight="1">
      <c r="A1379" s="21" t="s">
        <v>3926</v>
      </c>
      <c r="B1379" s="19" t="str">
        <f>image("https://storage.googleapis.com/acdb/photos/BromideNpcNmlHip09_Remake_1_0.png")</f>
        <v/>
      </c>
      <c r="C1379" s="21" t="s">
        <v>795</v>
      </c>
      <c r="D1379" s="21" t="s">
        <v>51</v>
      </c>
      <c r="E1379" s="21">
        <v>10.0</v>
      </c>
      <c r="F1379" s="21" t="s">
        <v>2289</v>
      </c>
      <c r="G1379" s="19"/>
      <c r="H1379" s="19"/>
      <c r="I1379" s="19"/>
    </row>
    <row r="1380" ht="56.25" customHeight="1">
      <c r="A1380" s="21" t="s">
        <v>3926</v>
      </c>
      <c r="B1380" s="19" t="str">
        <f>image("https://storage.googleapis.com/acdb/photos/BromideNpcNmlHip09_Remake_2_0.png")</f>
        <v/>
      </c>
      <c r="C1380" s="21" t="s">
        <v>954</v>
      </c>
      <c r="D1380" s="21" t="s">
        <v>51</v>
      </c>
      <c r="E1380" s="21">
        <v>10.0</v>
      </c>
      <c r="F1380" s="21" t="s">
        <v>2289</v>
      </c>
      <c r="G1380" s="19"/>
      <c r="H1380" s="19"/>
      <c r="I1380" s="19"/>
    </row>
    <row r="1381" ht="56.25" customHeight="1">
      <c r="A1381" s="21" t="s">
        <v>3926</v>
      </c>
      <c r="B1381" s="19" t="str">
        <f>image("https://storage.googleapis.com/acdb/photos/BromideNpcNmlHip09_Remake_3_0.png")</f>
        <v/>
      </c>
      <c r="C1381" s="21" t="s">
        <v>82</v>
      </c>
      <c r="D1381" s="21" t="s">
        <v>51</v>
      </c>
      <c r="E1381" s="21">
        <v>10.0</v>
      </c>
      <c r="F1381" s="21" t="s">
        <v>2289</v>
      </c>
      <c r="G1381" s="19"/>
      <c r="H1381" s="19"/>
      <c r="I1381" s="19"/>
    </row>
    <row r="1382" ht="56.25" customHeight="1">
      <c r="A1382" s="21" t="s">
        <v>3926</v>
      </c>
      <c r="B1382" s="19" t="str">
        <f>image("https://storage.googleapis.com/acdb/photos/BromideNpcNmlHip09_Remake_4_0.png")</f>
        <v/>
      </c>
      <c r="C1382" s="21" t="s">
        <v>833</v>
      </c>
      <c r="D1382" s="21" t="s">
        <v>51</v>
      </c>
      <c r="E1382" s="21">
        <v>10.0</v>
      </c>
      <c r="F1382" s="21" t="s">
        <v>2289</v>
      </c>
      <c r="G1382" s="19"/>
      <c r="H1382" s="19"/>
      <c r="I1382" s="19"/>
    </row>
    <row r="1383" ht="56.25" customHeight="1">
      <c r="A1383" s="21" t="s">
        <v>3926</v>
      </c>
      <c r="B1383" s="19" t="str">
        <f>image("https://storage.googleapis.com/acdb/photos/BromideNpcNmlHip09_Remake_5_0.png")</f>
        <v/>
      </c>
      <c r="C1383" s="21" t="s">
        <v>258</v>
      </c>
      <c r="D1383" s="21" t="s">
        <v>51</v>
      </c>
      <c r="E1383" s="21">
        <v>10.0</v>
      </c>
      <c r="F1383" s="21" t="s">
        <v>2289</v>
      </c>
      <c r="G1383" s="19"/>
      <c r="H1383" s="19"/>
      <c r="I1383" s="19"/>
    </row>
    <row r="1384" ht="56.25" customHeight="1">
      <c r="A1384" s="21" t="s">
        <v>3926</v>
      </c>
      <c r="B1384" s="19" t="str">
        <f>image("https://storage.googleapis.com/acdb/photos/BromideNpcNmlHip09_Remake_6_0.png")</f>
        <v/>
      </c>
      <c r="C1384" s="21" t="s">
        <v>182</v>
      </c>
      <c r="D1384" s="21" t="s">
        <v>51</v>
      </c>
      <c r="E1384" s="21">
        <v>10.0</v>
      </c>
      <c r="F1384" s="21" t="s">
        <v>2289</v>
      </c>
      <c r="G1384" s="19"/>
      <c r="H1384" s="19"/>
      <c r="I1384" s="19"/>
    </row>
    <row r="1385" ht="56.25" customHeight="1">
      <c r="A1385" s="21" t="s">
        <v>3926</v>
      </c>
      <c r="B1385" s="19" t="str">
        <f>image("https://storage.googleapis.com/acdb/photos/BromideNpcNmlHip09_Remake_7_0.png")</f>
        <v/>
      </c>
      <c r="C1385" s="21" t="s">
        <v>187</v>
      </c>
      <c r="D1385" s="21" t="s">
        <v>51</v>
      </c>
      <c r="E1385" s="21">
        <v>10.0</v>
      </c>
      <c r="F1385" s="21" t="s">
        <v>2289</v>
      </c>
      <c r="G1385" s="19"/>
      <c r="H1385" s="19"/>
      <c r="I1385" s="19"/>
    </row>
    <row r="1386" ht="56.25" customHeight="1">
      <c r="A1386" s="21" t="s">
        <v>3937</v>
      </c>
      <c r="B1386" s="19" t="str">
        <f>image("https://storage.googleapis.com/acdb/photos/BromideNpcNmlRbt14_Remake_0_0.png")</f>
        <v/>
      </c>
      <c r="C1386" s="21" t="s">
        <v>219</v>
      </c>
      <c r="D1386" s="21" t="s">
        <v>51</v>
      </c>
      <c r="E1386" s="21">
        <v>10.0</v>
      </c>
      <c r="F1386" s="21" t="s">
        <v>2289</v>
      </c>
      <c r="G1386" s="19"/>
      <c r="H1386" s="19"/>
      <c r="I1386" s="19"/>
    </row>
    <row r="1387" ht="56.25" customHeight="1">
      <c r="A1387" s="21" t="s">
        <v>3937</v>
      </c>
      <c r="B1387" s="19" t="str">
        <f>image("https://storage.googleapis.com/acdb/photos/BromideNpcNmlRbt14_Remake_1_0.png")</f>
        <v/>
      </c>
      <c r="C1387" s="21" t="s">
        <v>795</v>
      </c>
      <c r="D1387" s="21" t="s">
        <v>51</v>
      </c>
      <c r="E1387" s="21">
        <v>10.0</v>
      </c>
      <c r="F1387" s="21" t="s">
        <v>2289</v>
      </c>
      <c r="G1387" s="19"/>
      <c r="H1387" s="19"/>
      <c r="I1387" s="19"/>
    </row>
    <row r="1388" ht="56.25" customHeight="1">
      <c r="A1388" s="21" t="s">
        <v>3937</v>
      </c>
      <c r="B1388" s="19" t="str">
        <f>image("https://storage.googleapis.com/acdb/photos/BromideNpcNmlRbt14_Remake_2_0.png")</f>
        <v/>
      </c>
      <c r="C1388" s="21" t="s">
        <v>954</v>
      </c>
      <c r="D1388" s="21" t="s">
        <v>51</v>
      </c>
      <c r="E1388" s="21">
        <v>10.0</v>
      </c>
      <c r="F1388" s="21" t="s">
        <v>2289</v>
      </c>
      <c r="G1388" s="19"/>
      <c r="H1388" s="19"/>
      <c r="I1388" s="19"/>
    </row>
    <row r="1389" ht="56.25" customHeight="1">
      <c r="A1389" s="21" t="s">
        <v>3937</v>
      </c>
      <c r="B1389" s="19" t="str">
        <f>image("https://storage.googleapis.com/acdb/photos/BromideNpcNmlRbt14_Remake_3_0.png")</f>
        <v/>
      </c>
      <c r="C1389" s="21" t="s">
        <v>82</v>
      </c>
      <c r="D1389" s="21" t="s">
        <v>51</v>
      </c>
      <c r="E1389" s="21">
        <v>10.0</v>
      </c>
      <c r="F1389" s="21" t="s">
        <v>2289</v>
      </c>
      <c r="G1389" s="19"/>
      <c r="H1389" s="19"/>
      <c r="I1389" s="19"/>
    </row>
    <row r="1390" ht="56.25" customHeight="1">
      <c r="A1390" s="21" t="s">
        <v>3937</v>
      </c>
      <c r="B1390" s="19" t="str">
        <f>image("https://storage.googleapis.com/acdb/photos/BromideNpcNmlRbt14_Remake_4_0.png")</f>
        <v/>
      </c>
      <c r="C1390" s="21" t="s">
        <v>833</v>
      </c>
      <c r="D1390" s="21" t="s">
        <v>51</v>
      </c>
      <c r="E1390" s="21">
        <v>10.0</v>
      </c>
      <c r="F1390" s="21" t="s">
        <v>2289</v>
      </c>
      <c r="G1390" s="19"/>
      <c r="H1390" s="19"/>
      <c r="I1390" s="19"/>
    </row>
    <row r="1391" ht="56.25" customHeight="1">
      <c r="A1391" s="21" t="s">
        <v>3937</v>
      </c>
      <c r="B1391" s="19" t="str">
        <f>image("https://storage.googleapis.com/acdb/photos/BromideNpcNmlRbt14_Remake_5_0.png")</f>
        <v/>
      </c>
      <c r="C1391" s="21" t="s">
        <v>258</v>
      </c>
      <c r="D1391" s="21" t="s">
        <v>51</v>
      </c>
      <c r="E1391" s="21">
        <v>10.0</v>
      </c>
      <c r="F1391" s="21" t="s">
        <v>2289</v>
      </c>
      <c r="G1391" s="19"/>
      <c r="H1391" s="19"/>
      <c r="I1391" s="19"/>
    </row>
    <row r="1392" ht="56.25" customHeight="1">
      <c r="A1392" s="21" t="s">
        <v>3937</v>
      </c>
      <c r="B1392" s="19" t="str">
        <f>image("https://storage.googleapis.com/acdb/photos/BromideNpcNmlRbt14_Remake_6_0.png")</f>
        <v/>
      </c>
      <c r="C1392" s="21" t="s">
        <v>182</v>
      </c>
      <c r="D1392" s="21" t="s">
        <v>51</v>
      </c>
      <c r="E1392" s="21">
        <v>10.0</v>
      </c>
      <c r="F1392" s="21" t="s">
        <v>2289</v>
      </c>
      <c r="G1392" s="19"/>
      <c r="H1392" s="19"/>
      <c r="I1392" s="19"/>
    </row>
    <row r="1393" ht="56.25" customHeight="1">
      <c r="A1393" s="21" t="s">
        <v>3937</v>
      </c>
      <c r="B1393" s="19" t="str">
        <f>image("https://storage.googleapis.com/acdb/photos/BromideNpcNmlRbt14_Remake_7_0.png")</f>
        <v/>
      </c>
      <c r="C1393" s="21" t="s">
        <v>187</v>
      </c>
      <c r="D1393" s="21" t="s">
        <v>51</v>
      </c>
      <c r="E1393" s="21">
        <v>10.0</v>
      </c>
      <c r="F1393" s="21" t="s">
        <v>2289</v>
      </c>
      <c r="G1393" s="19"/>
      <c r="H1393" s="19"/>
      <c r="I1393" s="19"/>
    </row>
    <row r="1394" ht="56.25" customHeight="1">
      <c r="A1394" s="21" t="s">
        <v>3943</v>
      </c>
      <c r="B1394" s="19" t="str">
        <f>image("https://storage.googleapis.com/acdb/photos/BromideNpcNmlPgn03_Remake_0_0.png")</f>
        <v/>
      </c>
      <c r="C1394" s="21" t="s">
        <v>219</v>
      </c>
      <c r="D1394" s="21" t="s">
        <v>51</v>
      </c>
      <c r="E1394" s="21">
        <v>10.0</v>
      </c>
      <c r="F1394" s="21" t="s">
        <v>2289</v>
      </c>
      <c r="G1394" s="19"/>
      <c r="H1394" s="19"/>
      <c r="I1394" s="19"/>
    </row>
    <row r="1395" ht="56.25" customHeight="1">
      <c r="A1395" s="21" t="s">
        <v>3943</v>
      </c>
      <c r="B1395" s="19" t="str">
        <f>image("https://storage.googleapis.com/acdb/photos/BromideNpcNmlPgn03_Remake_1_0.png")</f>
        <v/>
      </c>
      <c r="C1395" s="21" t="s">
        <v>795</v>
      </c>
      <c r="D1395" s="21" t="s">
        <v>51</v>
      </c>
      <c r="E1395" s="21">
        <v>10.0</v>
      </c>
      <c r="F1395" s="21" t="s">
        <v>2289</v>
      </c>
      <c r="G1395" s="19"/>
      <c r="H1395" s="19"/>
      <c r="I1395" s="19"/>
    </row>
    <row r="1396" ht="56.25" customHeight="1">
      <c r="A1396" s="21" t="s">
        <v>3943</v>
      </c>
      <c r="B1396" s="19" t="str">
        <f>image("https://storage.googleapis.com/acdb/photos/BromideNpcNmlPgn03_Remake_2_0.png")</f>
        <v/>
      </c>
      <c r="C1396" s="21" t="s">
        <v>954</v>
      </c>
      <c r="D1396" s="21" t="s">
        <v>51</v>
      </c>
      <c r="E1396" s="21">
        <v>10.0</v>
      </c>
      <c r="F1396" s="21" t="s">
        <v>2289</v>
      </c>
      <c r="G1396" s="19"/>
      <c r="H1396" s="19"/>
      <c r="I1396" s="19"/>
    </row>
    <row r="1397" ht="56.25" customHeight="1">
      <c r="A1397" s="21" t="s">
        <v>3943</v>
      </c>
      <c r="B1397" s="19" t="str">
        <f>image("https://storage.googleapis.com/acdb/photos/BromideNpcNmlPgn03_Remake_3_0.png")</f>
        <v/>
      </c>
      <c r="C1397" s="21" t="s">
        <v>82</v>
      </c>
      <c r="D1397" s="21" t="s">
        <v>51</v>
      </c>
      <c r="E1397" s="21">
        <v>10.0</v>
      </c>
      <c r="F1397" s="21" t="s">
        <v>2289</v>
      </c>
      <c r="G1397" s="19"/>
      <c r="H1397" s="19"/>
      <c r="I1397" s="19"/>
    </row>
    <row r="1398" ht="56.25" customHeight="1">
      <c r="A1398" s="21" t="s">
        <v>3943</v>
      </c>
      <c r="B1398" s="19" t="str">
        <f>image("https://storage.googleapis.com/acdb/photos/BromideNpcNmlPgn03_Remake_4_0.png")</f>
        <v/>
      </c>
      <c r="C1398" s="21" t="s">
        <v>833</v>
      </c>
      <c r="D1398" s="21" t="s">
        <v>51</v>
      </c>
      <c r="E1398" s="21">
        <v>10.0</v>
      </c>
      <c r="F1398" s="21" t="s">
        <v>2289</v>
      </c>
      <c r="G1398" s="19"/>
      <c r="H1398" s="19"/>
      <c r="I1398" s="19"/>
    </row>
    <row r="1399" ht="56.25" customHeight="1">
      <c r="A1399" s="21" t="s">
        <v>3943</v>
      </c>
      <c r="B1399" s="19" t="str">
        <f>image("https://storage.googleapis.com/acdb/photos/BromideNpcNmlPgn03_Remake_5_0.png")</f>
        <v/>
      </c>
      <c r="C1399" s="21" t="s">
        <v>258</v>
      </c>
      <c r="D1399" s="21" t="s">
        <v>51</v>
      </c>
      <c r="E1399" s="21">
        <v>10.0</v>
      </c>
      <c r="F1399" s="21" t="s">
        <v>2289</v>
      </c>
      <c r="G1399" s="19"/>
      <c r="H1399" s="19"/>
      <c r="I1399" s="19"/>
    </row>
    <row r="1400" ht="56.25" customHeight="1">
      <c r="A1400" s="21" t="s">
        <v>3943</v>
      </c>
      <c r="B1400" s="19" t="str">
        <f>image("https://storage.googleapis.com/acdb/photos/BromideNpcNmlPgn03_Remake_6_0.png")</f>
        <v/>
      </c>
      <c r="C1400" s="21" t="s">
        <v>182</v>
      </c>
      <c r="D1400" s="21" t="s">
        <v>51</v>
      </c>
      <c r="E1400" s="21">
        <v>10.0</v>
      </c>
      <c r="F1400" s="21" t="s">
        <v>2289</v>
      </c>
      <c r="G1400" s="19"/>
      <c r="H1400" s="19"/>
      <c r="I1400" s="19"/>
    </row>
    <row r="1401" ht="56.25" customHeight="1">
      <c r="A1401" s="21" t="s">
        <v>3943</v>
      </c>
      <c r="B1401" s="19" t="str">
        <f>image("https://storage.googleapis.com/acdb/photos/BromideNpcNmlPgn03_Remake_7_0.png")</f>
        <v/>
      </c>
      <c r="C1401" s="21" t="s">
        <v>187</v>
      </c>
      <c r="D1401" s="21" t="s">
        <v>51</v>
      </c>
      <c r="E1401" s="21">
        <v>10.0</v>
      </c>
      <c r="F1401" s="21" t="s">
        <v>2289</v>
      </c>
      <c r="G1401" s="19"/>
      <c r="H1401" s="19"/>
      <c r="I1401" s="19"/>
    </row>
    <row r="1402" ht="56.25" customHeight="1">
      <c r="A1402" s="21" t="s">
        <v>3953</v>
      </c>
      <c r="B1402" s="19" t="str">
        <f>image("https://storage.googleapis.com/acdb/photos/BromideNpcNmlRhn04_Remake_0_0.png")</f>
        <v/>
      </c>
      <c r="C1402" s="21" t="s">
        <v>219</v>
      </c>
      <c r="D1402" s="21" t="s">
        <v>51</v>
      </c>
      <c r="E1402" s="21">
        <v>10.0</v>
      </c>
      <c r="F1402" s="21" t="s">
        <v>2289</v>
      </c>
      <c r="G1402" s="19"/>
      <c r="H1402" s="19"/>
      <c r="I1402" s="19"/>
    </row>
    <row r="1403" ht="56.25" customHeight="1">
      <c r="A1403" s="21" t="s">
        <v>3953</v>
      </c>
      <c r="B1403" s="19" t="str">
        <f>image("https://storage.googleapis.com/acdb/photos/BromideNpcNmlRhn04_Remake_1_0.png")</f>
        <v/>
      </c>
      <c r="C1403" s="21" t="s">
        <v>795</v>
      </c>
      <c r="D1403" s="21" t="s">
        <v>51</v>
      </c>
      <c r="E1403" s="21">
        <v>10.0</v>
      </c>
      <c r="F1403" s="21" t="s">
        <v>2289</v>
      </c>
      <c r="G1403" s="19"/>
      <c r="H1403" s="19"/>
      <c r="I1403" s="19"/>
    </row>
    <row r="1404" ht="56.25" customHeight="1">
      <c r="A1404" s="21" t="s">
        <v>3953</v>
      </c>
      <c r="B1404" s="19" t="str">
        <f>image("https://storage.googleapis.com/acdb/photos/BromideNpcNmlRhn04_Remake_2_0.png")</f>
        <v/>
      </c>
      <c r="C1404" s="21" t="s">
        <v>954</v>
      </c>
      <c r="D1404" s="21" t="s">
        <v>51</v>
      </c>
      <c r="E1404" s="21">
        <v>10.0</v>
      </c>
      <c r="F1404" s="21" t="s">
        <v>2289</v>
      </c>
      <c r="G1404" s="19"/>
      <c r="H1404" s="19"/>
      <c r="I1404" s="19"/>
    </row>
    <row r="1405" ht="56.25" customHeight="1">
      <c r="A1405" s="21" t="s">
        <v>3953</v>
      </c>
      <c r="B1405" s="19" t="str">
        <f>image("https://storage.googleapis.com/acdb/photos/BromideNpcNmlRhn04_Remake_3_0.png")</f>
        <v/>
      </c>
      <c r="C1405" s="21" t="s">
        <v>82</v>
      </c>
      <c r="D1405" s="21" t="s">
        <v>51</v>
      </c>
      <c r="E1405" s="21">
        <v>10.0</v>
      </c>
      <c r="F1405" s="21" t="s">
        <v>2289</v>
      </c>
      <c r="G1405" s="19"/>
      <c r="H1405" s="19"/>
      <c r="I1405" s="19"/>
    </row>
    <row r="1406" ht="56.25" customHeight="1">
      <c r="A1406" s="21" t="s">
        <v>3953</v>
      </c>
      <c r="B1406" s="19" t="str">
        <f>image("https://storage.googleapis.com/acdb/photos/BromideNpcNmlRhn04_Remake_4_0.png")</f>
        <v/>
      </c>
      <c r="C1406" s="21" t="s">
        <v>833</v>
      </c>
      <c r="D1406" s="21" t="s">
        <v>51</v>
      </c>
      <c r="E1406" s="21">
        <v>10.0</v>
      </c>
      <c r="F1406" s="21" t="s">
        <v>2289</v>
      </c>
      <c r="G1406" s="19"/>
      <c r="H1406" s="19"/>
      <c r="I1406" s="19"/>
    </row>
    <row r="1407" ht="56.25" customHeight="1">
      <c r="A1407" s="21" t="s">
        <v>3953</v>
      </c>
      <c r="B1407" s="19" t="str">
        <f>image("https://storage.googleapis.com/acdb/photos/BromideNpcNmlRhn04_Remake_5_0.png")</f>
        <v/>
      </c>
      <c r="C1407" s="21" t="s">
        <v>258</v>
      </c>
      <c r="D1407" s="21" t="s">
        <v>51</v>
      </c>
      <c r="E1407" s="21">
        <v>10.0</v>
      </c>
      <c r="F1407" s="21" t="s">
        <v>2289</v>
      </c>
      <c r="G1407" s="19"/>
      <c r="H1407" s="19"/>
      <c r="I1407" s="19"/>
    </row>
    <row r="1408" ht="56.25" customHeight="1">
      <c r="A1408" s="21" t="s">
        <v>3953</v>
      </c>
      <c r="B1408" s="19" t="str">
        <f>image("https://storage.googleapis.com/acdb/photos/BromideNpcNmlRhn04_Remake_6_0.png")</f>
        <v/>
      </c>
      <c r="C1408" s="21" t="s">
        <v>182</v>
      </c>
      <c r="D1408" s="21" t="s">
        <v>51</v>
      </c>
      <c r="E1408" s="21">
        <v>10.0</v>
      </c>
      <c r="F1408" s="21" t="s">
        <v>2289</v>
      </c>
      <c r="G1408" s="19"/>
      <c r="H1408" s="19"/>
      <c r="I1408" s="19"/>
    </row>
    <row r="1409" ht="56.25" customHeight="1">
      <c r="A1409" s="21" t="s">
        <v>3953</v>
      </c>
      <c r="B1409" s="19" t="str">
        <f>image("https://storage.googleapis.com/acdb/photos/BromideNpcNmlRhn04_Remake_7_0.png")</f>
        <v/>
      </c>
      <c r="C1409" s="21" t="s">
        <v>187</v>
      </c>
      <c r="D1409" s="21" t="s">
        <v>51</v>
      </c>
      <c r="E1409" s="21">
        <v>10.0</v>
      </c>
      <c r="F1409" s="21" t="s">
        <v>2289</v>
      </c>
      <c r="G1409" s="19"/>
      <c r="H1409" s="19"/>
      <c r="I1409" s="19"/>
    </row>
    <row r="1410" ht="56.25" customHeight="1">
      <c r="A1410" s="21" t="s">
        <v>3961</v>
      </c>
      <c r="B1410" s="19" t="str">
        <f>image("https://storage.googleapis.com/acdb/photos/BromideNpcNmlFlg11_Remake_0_0.png")</f>
        <v/>
      </c>
      <c r="C1410" s="21" t="s">
        <v>219</v>
      </c>
      <c r="D1410" s="21" t="s">
        <v>51</v>
      </c>
      <c r="E1410" s="21">
        <v>10.0</v>
      </c>
      <c r="F1410" s="21" t="s">
        <v>2289</v>
      </c>
      <c r="G1410" s="19"/>
      <c r="H1410" s="19"/>
      <c r="I1410" s="19"/>
    </row>
    <row r="1411" ht="56.25" customHeight="1">
      <c r="A1411" s="21" t="s">
        <v>3961</v>
      </c>
      <c r="B1411" s="19" t="str">
        <f>image("https://storage.googleapis.com/acdb/photos/BromideNpcNmlFlg11_Remake_1_0.png")</f>
        <v/>
      </c>
      <c r="C1411" s="21" t="s">
        <v>795</v>
      </c>
      <c r="D1411" s="21" t="s">
        <v>51</v>
      </c>
      <c r="E1411" s="21">
        <v>10.0</v>
      </c>
      <c r="F1411" s="21" t="s">
        <v>2289</v>
      </c>
      <c r="G1411" s="19"/>
      <c r="H1411" s="19"/>
      <c r="I1411" s="19"/>
    </row>
    <row r="1412" ht="56.25" customHeight="1">
      <c r="A1412" s="21" t="s">
        <v>3961</v>
      </c>
      <c r="B1412" s="19" t="str">
        <f>image("https://storage.googleapis.com/acdb/photos/BromideNpcNmlFlg11_Remake_2_0.png")</f>
        <v/>
      </c>
      <c r="C1412" s="21" t="s">
        <v>954</v>
      </c>
      <c r="D1412" s="21" t="s">
        <v>51</v>
      </c>
      <c r="E1412" s="21">
        <v>10.0</v>
      </c>
      <c r="F1412" s="21" t="s">
        <v>2289</v>
      </c>
      <c r="G1412" s="19"/>
      <c r="H1412" s="19"/>
      <c r="I1412" s="19"/>
    </row>
    <row r="1413" ht="56.25" customHeight="1">
      <c r="A1413" s="21" t="s">
        <v>3961</v>
      </c>
      <c r="B1413" s="19" t="str">
        <f>image("https://storage.googleapis.com/acdb/photos/BromideNpcNmlFlg11_Remake_3_0.png")</f>
        <v/>
      </c>
      <c r="C1413" s="21" t="s">
        <v>82</v>
      </c>
      <c r="D1413" s="21" t="s">
        <v>51</v>
      </c>
      <c r="E1413" s="21">
        <v>10.0</v>
      </c>
      <c r="F1413" s="21" t="s">
        <v>2289</v>
      </c>
      <c r="G1413" s="19"/>
      <c r="H1413" s="19"/>
      <c r="I1413" s="19"/>
    </row>
    <row r="1414" ht="56.25" customHeight="1">
      <c r="A1414" s="21" t="s">
        <v>3961</v>
      </c>
      <c r="B1414" s="19" t="str">
        <f>image("https://storage.googleapis.com/acdb/photos/BromideNpcNmlFlg11_Remake_4_0.png")</f>
        <v/>
      </c>
      <c r="C1414" s="21" t="s">
        <v>833</v>
      </c>
      <c r="D1414" s="21" t="s">
        <v>51</v>
      </c>
      <c r="E1414" s="21">
        <v>10.0</v>
      </c>
      <c r="F1414" s="21" t="s">
        <v>2289</v>
      </c>
      <c r="G1414" s="19"/>
      <c r="H1414" s="19"/>
      <c r="I1414" s="19"/>
    </row>
    <row r="1415" ht="56.25" customHeight="1">
      <c r="A1415" s="21" t="s">
        <v>3961</v>
      </c>
      <c r="B1415" s="19" t="str">
        <f>image("https://storage.googleapis.com/acdb/photos/BromideNpcNmlFlg11_Remake_5_0.png")</f>
        <v/>
      </c>
      <c r="C1415" s="21" t="s">
        <v>258</v>
      </c>
      <c r="D1415" s="21" t="s">
        <v>51</v>
      </c>
      <c r="E1415" s="21">
        <v>10.0</v>
      </c>
      <c r="F1415" s="21" t="s">
        <v>2289</v>
      </c>
      <c r="G1415" s="19"/>
      <c r="H1415" s="19"/>
      <c r="I1415" s="19"/>
    </row>
    <row r="1416" ht="56.25" customHeight="1">
      <c r="A1416" s="21" t="s">
        <v>3961</v>
      </c>
      <c r="B1416" s="19" t="str">
        <f>image("https://storage.googleapis.com/acdb/photos/BromideNpcNmlFlg11_Remake_6_0.png")</f>
        <v/>
      </c>
      <c r="C1416" s="21" t="s">
        <v>182</v>
      </c>
      <c r="D1416" s="21" t="s">
        <v>51</v>
      </c>
      <c r="E1416" s="21">
        <v>10.0</v>
      </c>
      <c r="F1416" s="21" t="s">
        <v>2289</v>
      </c>
      <c r="G1416" s="19"/>
      <c r="H1416" s="19"/>
      <c r="I1416" s="19"/>
    </row>
    <row r="1417" ht="56.25" customHeight="1">
      <c r="A1417" s="21" t="s">
        <v>3961</v>
      </c>
      <c r="B1417" s="19" t="str">
        <f>image("https://storage.googleapis.com/acdb/photos/BromideNpcNmlFlg11_Remake_7_0.png")</f>
        <v/>
      </c>
      <c r="C1417" s="21" t="s">
        <v>187</v>
      </c>
      <c r="D1417" s="21" t="s">
        <v>51</v>
      </c>
      <c r="E1417" s="21">
        <v>10.0</v>
      </c>
      <c r="F1417" s="21" t="s">
        <v>2289</v>
      </c>
      <c r="G1417" s="19"/>
      <c r="H1417" s="19"/>
      <c r="I1417" s="19"/>
    </row>
    <row r="1418" ht="56.25" customHeight="1">
      <c r="A1418" s="21" t="s">
        <v>3971</v>
      </c>
      <c r="B1418" s="19" t="str">
        <f>image("https://storage.googleapis.com/acdb/photos/BromideNpcNmlPig03_Remake_0_0.png")</f>
        <v/>
      </c>
      <c r="C1418" s="21" t="s">
        <v>219</v>
      </c>
      <c r="D1418" s="21" t="s">
        <v>51</v>
      </c>
      <c r="E1418" s="21">
        <v>10.0</v>
      </c>
      <c r="F1418" s="21" t="s">
        <v>2289</v>
      </c>
      <c r="G1418" s="19"/>
      <c r="H1418" s="19"/>
      <c r="I1418" s="19"/>
    </row>
    <row r="1419" ht="56.25" customHeight="1">
      <c r="A1419" s="21" t="s">
        <v>3971</v>
      </c>
      <c r="B1419" s="19" t="str">
        <f>image("https://storage.googleapis.com/acdb/photos/BromideNpcNmlPig03_Remake_1_0.png")</f>
        <v/>
      </c>
      <c r="C1419" s="21" t="s">
        <v>795</v>
      </c>
      <c r="D1419" s="21" t="s">
        <v>51</v>
      </c>
      <c r="E1419" s="21">
        <v>10.0</v>
      </c>
      <c r="F1419" s="21" t="s">
        <v>2289</v>
      </c>
      <c r="G1419" s="19"/>
      <c r="H1419" s="19"/>
      <c r="I1419" s="19"/>
    </row>
    <row r="1420" ht="56.25" customHeight="1">
      <c r="A1420" s="21" t="s">
        <v>3971</v>
      </c>
      <c r="B1420" s="19" t="str">
        <f>image("https://storage.googleapis.com/acdb/photos/BromideNpcNmlPig03_Remake_2_0.png")</f>
        <v/>
      </c>
      <c r="C1420" s="21" t="s">
        <v>954</v>
      </c>
      <c r="D1420" s="21" t="s">
        <v>51</v>
      </c>
      <c r="E1420" s="21">
        <v>10.0</v>
      </c>
      <c r="F1420" s="21" t="s">
        <v>2289</v>
      </c>
      <c r="G1420" s="19"/>
      <c r="H1420" s="19"/>
      <c r="I1420" s="19"/>
    </row>
    <row r="1421" ht="56.25" customHeight="1">
      <c r="A1421" s="21" t="s">
        <v>3971</v>
      </c>
      <c r="B1421" s="19" t="str">
        <f>image("https://storage.googleapis.com/acdb/photos/BromideNpcNmlPig03_Remake_3_0.png")</f>
        <v/>
      </c>
      <c r="C1421" s="21" t="s">
        <v>82</v>
      </c>
      <c r="D1421" s="21" t="s">
        <v>51</v>
      </c>
      <c r="E1421" s="21">
        <v>10.0</v>
      </c>
      <c r="F1421" s="21" t="s">
        <v>2289</v>
      </c>
      <c r="G1421" s="19"/>
      <c r="H1421" s="19"/>
      <c r="I1421" s="19"/>
    </row>
    <row r="1422" ht="56.25" customHeight="1">
      <c r="A1422" s="21" t="s">
        <v>3971</v>
      </c>
      <c r="B1422" s="19" t="str">
        <f>image("https://storage.googleapis.com/acdb/photos/BromideNpcNmlPig03_Remake_4_0.png")</f>
        <v/>
      </c>
      <c r="C1422" s="21" t="s">
        <v>833</v>
      </c>
      <c r="D1422" s="21" t="s">
        <v>51</v>
      </c>
      <c r="E1422" s="21">
        <v>10.0</v>
      </c>
      <c r="F1422" s="21" t="s">
        <v>2289</v>
      </c>
      <c r="G1422" s="19"/>
      <c r="H1422" s="19"/>
      <c r="I1422" s="19"/>
    </row>
    <row r="1423" ht="56.25" customHeight="1">
      <c r="A1423" s="21" t="s">
        <v>3971</v>
      </c>
      <c r="B1423" s="19" t="str">
        <f>image("https://storage.googleapis.com/acdb/photos/BromideNpcNmlPig03_Remake_5_0.png")</f>
        <v/>
      </c>
      <c r="C1423" s="21" t="s">
        <v>258</v>
      </c>
      <c r="D1423" s="21" t="s">
        <v>51</v>
      </c>
      <c r="E1423" s="21">
        <v>10.0</v>
      </c>
      <c r="F1423" s="21" t="s">
        <v>2289</v>
      </c>
      <c r="G1423" s="19"/>
      <c r="H1423" s="19"/>
      <c r="I1423" s="19"/>
    </row>
    <row r="1424" ht="56.25" customHeight="1">
      <c r="A1424" s="21" t="s">
        <v>3971</v>
      </c>
      <c r="B1424" s="19" t="str">
        <f>image("https://storage.googleapis.com/acdb/photos/BromideNpcNmlPig03_Remake_6_0.png")</f>
        <v/>
      </c>
      <c r="C1424" s="21" t="s">
        <v>182</v>
      </c>
      <c r="D1424" s="21" t="s">
        <v>51</v>
      </c>
      <c r="E1424" s="21">
        <v>10.0</v>
      </c>
      <c r="F1424" s="21" t="s">
        <v>2289</v>
      </c>
      <c r="G1424" s="19"/>
      <c r="H1424" s="19"/>
      <c r="I1424" s="19"/>
    </row>
    <row r="1425" ht="56.25" customHeight="1">
      <c r="A1425" s="21" t="s">
        <v>3971</v>
      </c>
      <c r="B1425" s="19" t="str">
        <f>image("https://storage.googleapis.com/acdb/photos/BromideNpcNmlPig03_Remake_7_0.png")</f>
        <v/>
      </c>
      <c r="C1425" s="21" t="s">
        <v>187</v>
      </c>
      <c r="D1425" s="21" t="s">
        <v>51</v>
      </c>
      <c r="E1425" s="21">
        <v>10.0</v>
      </c>
      <c r="F1425" s="21" t="s">
        <v>2289</v>
      </c>
      <c r="G1425" s="19"/>
      <c r="H1425" s="19"/>
      <c r="I1425" s="19"/>
    </row>
    <row r="1426" ht="56.25" customHeight="1">
      <c r="A1426" s="21" t="s">
        <v>3980</v>
      </c>
      <c r="B1426" s="19" t="str">
        <f>image("https://storage.googleapis.com/acdb/photos/BromideNpcNmlPgn11_Remake_0_0.png")</f>
        <v/>
      </c>
      <c r="C1426" s="21" t="s">
        <v>219</v>
      </c>
      <c r="D1426" s="21" t="s">
        <v>51</v>
      </c>
      <c r="E1426" s="21">
        <v>10.0</v>
      </c>
      <c r="F1426" s="21" t="s">
        <v>2289</v>
      </c>
      <c r="G1426" s="19"/>
      <c r="H1426" s="19"/>
      <c r="I1426" s="19"/>
    </row>
    <row r="1427" ht="56.25" customHeight="1">
      <c r="A1427" s="21" t="s">
        <v>3980</v>
      </c>
      <c r="B1427" s="19" t="str">
        <f>image("https://storage.googleapis.com/acdb/photos/BromideNpcNmlPgn11_Remake_1_0.png")</f>
        <v/>
      </c>
      <c r="C1427" s="21" t="s">
        <v>795</v>
      </c>
      <c r="D1427" s="21" t="s">
        <v>51</v>
      </c>
      <c r="E1427" s="21">
        <v>10.0</v>
      </c>
      <c r="F1427" s="21" t="s">
        <v>2289</v>
      </c>
      <c r="G1427" s="19"/>
      <c r="H1427" s="19"/>
      <c r="I1427" s="19"/>
    </row>
    <row r="1428" ht="56.25" customHeight="1">
      <c r="A1428" s="21" t="s">
        <v>3980</v>
      </c>
      <c r="B1428" s="19" t="str">
        <f>image("https://storage.googleapis.com/acdb/photos/BromideNpcNmlPgn11_Remake_2_0.png")</f>
        <v/>
      </c>
      <c r="C1428" s="21" t="s">
        <v>954</v>
      </c>
      <c r="D1428" s="21" t="s">
        <v>51</v>
      </c>
      <c r="E1428" s="21">
        <v>10.0</v>
      </c>
      <c r="F1428" s="21" t="s">
        <v>2289</v>
      </c>
      <c r="G1428" s="19"/>
      <c r="H1428" s="19"/>
      <c r="I1428" s="19"/>
    </row>
    <row r="1429" ht="56.25" customHeight="1">
      <c r="A1429" s="21" t="s">
        <v>3980</v>
      </c>
      <c r="B1429" s="19" t="str">
        <f>image("https://storage.googleapis.com/acdb/photos/BromideNpcNmlPgn11_Remake_3_0.png")</f>
        <v/>
      </c>
      <c r="C1429" s="21" t="s">
        <v>82</v>
      </c>
      <c r="D1429" s="21" t="s">
        <v>51</v>
      </c>
      <c r="E1429" s="21">
        <v>10.0</v>
      </c>
      <c r="F1429" s="21" t="s">
        <v>2289</v>
      </c>
      <c r="G1429" s="19"/>
      <c r="H1429" s="19"/>
      <c r="I1429" s="19"/>
    </row>
    <row r="1430" ht="56.25" customHeight="1">
      <c r="A1430" s="21" t="s">
        <v>3980</v>
      </c>
      <c r="B1430" s="19" t="str">
        <f>image("https://storage.googleapis.com/acdb/photos/BromideNpcNmlPgn11_Remake_4_0.png")</f>
        <v/>
      </c>
      <c r="C1430" s="21" t="s">
        <v>833</v>
      </c>
      <c r="D1430" s="21" t="s">
        <v>51</v>
      </c>
      <c r="E1430" s="21">
        <v>10.0</v>
      </c>
      <c r="F1430" s="21" t="s">
        <v>2289</v>
      </c>
      <c r="G1430" s="19"/>
      <c r="H1430" s="19"/>
      <c r="I1430" s="19"/>
    </row>
    <row r="1431" ht="56.25" customHeight="1">
      <c r="A1431" s="21" t="s">
        <v>3980</v>
      </c>
      <c r="B1431" s="19" t="str">
        <f>image("https://storage.googleapis.com/acdb/photos/BromideNpcNmlPgn11_Remake_5_0.png")</f>
        <v/>
      </c>
      <c r="C1431" s="21" t="s">
        <v>258</v>
      </c>
      <c r="D1431" s="21" t="s">
        <v>51</v>
      </c>
      <c r="E1431" s="21">
        <v>10.0</v>
      </c>
      <c r="F1431" s="21" t="s">
        <v>2289</v>
      </c>
      <c r="G1431" s="19"/>
      <c r="H1431" s="19"/>
      <c r="I1431" s="19"/>
    </row>
    <row r="1432" ht="56.25" customHeight="1">
      <c r="A1432" s="21" t="s">
        <v>3980</v>
      </c>
      <c r="B1432" s="19" t="str">
        <f>image("https://storage.googleapis.com/acdb/photos/BromideNpcNmlPgn11_Remake_6_0.png")</f>
        <v/>
      </c>
      <c r="C1432" s="21" t="s">
        <v>182</v>
      </c>
      <c r="D1432" s="21" t="s">
        <v>51</v>
      </c>
      <c r="E1432" s="21">
        <v>10.0</v>
      </c>
      <c r="F1432" s="21" t="s">
        <v>2289</v>
      </c>
      <c r="G1432" s="19"/>
      <c r="H1432" s="19"/>
      <c r="I1432" s="19"/>
    </row>
    <row r="1433" ht="56.25" customHeight="1">
      <c r="A1433" s="21" t="s">
        <v>3980</v>
      </c>
      <c r="B1433" s="19" t="str">
        <f>image("https://storage.googleapis.com/acdb/photos/BromideNpcNmlPgn11_Remake_7_0.png")</f>
        <v/>
      </c>
      <c r="C1433" s="21" t="s">
        <v>187</v>
      </c>
      <c r="D1433" s="21" t="s">
        <v>51</v>
      </c>
      <c r="E1433" s="21">
        <v>10.0</v>
      </c>
      <c r="F1433" s="21" t="s">
        <v>2289</v>
      </c>
      <c r="G1433" s="19"/>
      <c r="H1433" s="19"/>
      <c r="I1433" s="19"/>
    </row>
    <row r="1434" ht="56.25" customHeight="1">
      <c r="A1434" s="21" t="s">
        <v>3989</v>
      </c>
      <c r="B1434" s="19" t="str">
        <f>image("https://storage.googleapis.com/acdb/photos/BromideNpcNmlBea11_Remake_0_0.png")</f>
        <v/>
      </c>
      <c r="C1434" s="21" t="s">
        <v>219</v>
      </c>
      <c r="D1434" s="21" t="s">
        <v>51</v>
      </c>
      <c r="E1434" s="21">
        <v>10.0</v>
      </c>
      <c r="F1434" s="21" t="s">
        <v>2289</v>
      </c>
      <c r="G1434" s="19"/>
      <c r="H1434" s="19"/>
      <c r="I1434" s="19"/>
    </row>
    <row r="1435" ht="56.25" customHeight="1">
      <c r="A1435" s="21" t="s">
        <v>3989</v>
      </c>
      <c r="B1435" s="19" t="str">
        <f>image("https://storage.googleapis.com/acdb/photos/BromideNpcNmlBea11_Remake_1_0.png")</f>
        <v/>
      </c>
      <c r="C1435" s="21" t="s">
        <v>795</v>
      </c>
      <c r="D1435" s="21" t="s">
        <v>51</v>
      </c>
      <c r="E1435" s="21">
        <v>10.0</v>
      </c>
      <c r="F1435" s="21" t="s">
        <v>2289</v>
      </c>
      <c r="G1435" s="19"/>
      <c r="H1435" s="19"/>
      <c r="I1435" s="19"/>
    </row>
    <row r="1436" ht="56.25" customHeight="1">
      <c r="A1436" s="21" t="s">
        <v>3989</v>
      </c>
      <c r="B1436" s="19" t="str">
        <f>image("https://storage.googleapis.com/acdb/photos/BromideNpcNmlBea11_Remake_2_0.png")</f>
        <v/>
      </c>
      <c r="C1436" s="21" t="s">
        <v>954</v>
      </c>
      <c r="D1436" s="21" t="s">
        <v>51</v>
      </c>
      <c r="E1436" s="21">
        <v>10.0</v>
      </c>
      <c r="F1436" s="21" t="s">
        <v>2289</v>
      </c>
      <c r="G1436" s="19"/>
      <c r="H1436" s="19"/>
      <c r="I1436" s="19"/>
    </row>
    <row r="1437" ht="56.25" customHeight="1">
      <c r="A1437" s="21" t="s">
        <v>3989</v>
      </c>
      <c r="B1437" s="19" t="str">
        <f>image("https://storage.googleapis.com/acdb/photos/BromideNpcNmlBea11_Remake_3_0.png")</f>
        <v/>
      </c>
      <c r="C1437" s="21" t="s">
        <v>82</v>
      </c>
      <c r="D1437" s="21" t="s">
        <v>51</v>
      </c>
      <c r="E1437" s="21">
        <v>10.0</v>
      </c>
      <c r="F1437" s="21" t="s">
        <v>2289</v>
      </c>
      <c r="G1437" s="19"/>
      <c r="H1437" s="19"/>
      <c r="I1437" s="19"/>
    </row>
    <row r="1438" ht="56.25" customHeight="1">
      <c r="A1438" s="21" t="s">
        <v>3989</v>
      </c>
      <c r="B1438" s="19" t="str">
        <f>image("https://storage.googleapis.com/acdb/photos/BromideNpcNmlBea11_Remake_4_0.png")</f>
        <v/>
      </c>
      <c r="C1438" s="21" t="s">
        <v>833</v>
      </c>
      <c r="D1438" s="21" t="s">
        <v>51</v>
      </c>
      <c r="E1438" s="21">
        <v>10.0</v>
      </c>
      <c r="F1438" s="21" t="s">
        <v>2289</v>
      </c>
      <c r="G1438" s="19"/>
      <c r="H1438" s="19"/>
      <c r="I1438" s="19"/>
    </row>
    <row r="1439" ht="56.25" customHeight="1">
      <c r="A1439" s="21" t="s">
        <v>3989</v>
      </c>
      <c r="B1439" s="19" t="str">
        <f>image("https://storage.googleapis.com/acdb/photos/BromideNpcNmlBea11_Remake_5_0.png")</f>
        <v/>
      </c>
      <c r="C1439" s="21" t="s">
        <v>258</v>
      </c>
      <c r="D1439" s="21" t="s">
        <v>51</v>
      </c>
      <c r="E1439" s="21">
        <v>10.0</v>
      </c>
      <c r="F1439" s="21" t="s">
        <v>2289</v>
      </c>
      <c r="G1439" s="19"/>
      <c r="H1439" s="19"/>
      <c r="I1439" s="19"/>
    </row>
    <row r="1440" ht="56.25" customHeight="1">
      <c r="A1440" s="21" t="s">
        <v>3989</v>
      </c>
      <c r="B1440" s="19" t="str">
        <f>image("https://storage.googleapis.com/acdb/photos/BromideNpcNmlBea11_Remake_6_0.png")</f>
        <v/>
      </c>
      <c r="C1440" s="21" t="s">
        <v>182</v>
      </c>
      <c r="D1440" s="21" t="s">
        <v>51</v>
      </c>
      <c r="E1440" s="21">
        <v>10.0</v>
      </c>
      <c r="F1440" s="21" t="s">
        <v>2289</v>
      </c>
      <c r="G1440" s="19"/>
      <c r="H1440" s="19"/>
      <c r="I1440" s="19"/>
    </row>
    <row r="1441" ht="56.25" customHeight="1">
      <c r="A1441" s="21" t="s">
        <v>3989</v>
      </c>
      <c r="B1441" s="19" t="str">
        <f>image("https://storage.googleapis.com/acdb/photos/BromideNpcNmlBea11_Remake_7_0.png")</f>
        <v/>
      </c>
      <c r="C1441" s="21" t="s">
        <v>187</v>
      </c>
      <c r="D1441" s="21" t="s">
        <v>51</v>
      </c>
      <c r="E1441" s="21">
        <v>10.0</v>
      </c>
      <c r="F1441" s="21" t="s">
        <v>2289</v>
      </c>
      <c r="G1441" s="19"/>
      <c r="H1441" s="19"/>
      <c r="I1441" s="19"/>
    </row>
    <row r="1442" ht="56.25" customHeight="1">
      <c r="A1442" s="21" t="s">
        <v>4000</v>
      </c>
      <c r="B1442" s="19" t="str">
        <f>image("https://storage.googleapis.com/acdb/photos/BromideNpcNmlBrd16_Remake_0_0.png")</f>
        <v/>
      </c>
      <c r="C1442" s="21" t="s">
        <v>219</v>
      </c>
      <c r="D1442" s="21" t="s">
        <v>51</v>
      </c>
      <c r="E1442" s="21">
        <v>10.0</v>
      </c>
      <c r="F1442" s="21" t="s">
        <v>2289</v>
      </c>
      <c r="G1442" s="19"/>
      <c r="H1442" s="19"/>
      <c r="I1442" s="19"/>
    </row>
    <row r="1443" ht="56.25" customHeight="1">
      <c r="A1443" s="21" t="s">
        <v>4000</v>
      </c>
      <c r="B1443" s="19" t="str">
        <f>image("https://storage.googleapis.com/acdb/photos/BromideNpcNmlBrd16_Remake_1_0.png")</f>
        <v/>
      </c>
      <c r="C1443" s="21" t="s">
        <v>795</v>
      </c>
      <c r="D1443" s="21" t="s">
        <v>51</v>
      </c>
      <c r="E1443" s="21">
        <v>10.0</v>
      </c>
      <c r="F1443" s="21" t="s">
        <v>2289</v>
      </c>
      <c r="G1443" s="19"/>
      <c r="H1443" s="19"/>
      <c r="I1443" s="19"/>
    </row>
    <row r="1444" ht="56.25" customHeight="1">
      <c r="A1444" s="21" t="s">
        <v>4000</v>
      </c>
      <c r="B1444" s="19" t="str">
        <f>image("https://storage.googleapis.com/acdb/photos/BromideNpcNmlBrd16_Remake_2_0.png")</f>
        <v/>
      </c>
      <c r="C1444" s="21" t="s">
        <v>954</v>
      </c>
      <c r="D1444" s="21" t="s">
        <v>51</v>
      </c>
      <c r="E1444" s="21">
        <v>10.0</v>
      </c>
      <c r="F1444" s="21" t="s">
        <v>2289</v>
      </c>
      <c r="G1444" s="19"/>
      <c r="H1444" s="19"/>
      <c r="I1444" s="19"/>
    </row>
    <row r="1445" ht="56.25" customHeight="1">
      <c r="A1445" s="21" t="s">
        <v>4000</v>
      </c>
      <c r="B1445" s="19" t="str">
        <f>image("https://storage.googleapis.com/acdb/photos/BromideNpcNmlBrd16_Remake_3_0.png")</f>
        <v/>
      </c>
      <c r="C1445" s="21" t="s">
        <v>82</v>
      </c>
      <c r="D1445" s="21" t="s">
        <v>51</v>
      </c>
      <c r="E1445" s="21">
        <v>10.0</v>
      </c>
      <c r="F1445" s="21" t="s">
        <v>2289</v>
      </c>
      <c r="G1445" s="19"/>
      <c r="H1445" s="19"/>
      <c r="I1445" s="19"/>
    </row>
    <row r="1446" ht="56.25" customHeight="1">
      <c r="A1446" s="21" t="s">
        <v>4000</v>
      </c>
      <c r="B1446" s="19" t="str">
        <f>image("https://storage.googleapis.com/acdb/photos/BromideNpcNmlBrd16_Remake_4_0.png")</f>
        <v/>
      </c>
      <c r="C1446" s="21" t="s">
        <v>833</v>
      </c>
      <c r="D1446" s="21" t="s">
        <v>51</v>
      </c>
      <c r="E1446" s="21">
        <v>10.0</v>
      </c>
      <c r="F1446" s="21" t="s">
        <v>2289</v>
      </c>
      <c r="G1446" s="19"/>
      <c r="H1446" s="19"/>
      <c r="I1446" s="19"/>
    </row>
    <row r="1447" ht="56.25" customHeight="1">
      <c r="A1447" s="21" t="s">
        <v>4000</v>
      </c>
      <c r="B1447" s="19" t="str">
        <f>image("https://storage.googleapis.com/acdb/photos/BromideNpcNmlBrd16_Remake_5_0.png")</f>
        <v/>
      </c>
      <c r="C1447" s="21" t="s">
        <v>258</v>
      </c>
      <c r="D1447" s="21" t="s">
        <v>51</v>
      </c>
      <c r="E1447" s="21">
        <v>10.0</v>
      </c>
      <c r="F1447" s="21" t="s">
        <v>2289</v>
      </c>
      <c r="G1447" s="19"/>
      <c r="H1447" s="19"/>
      <c r="I1447" s="19"/>
    </row>
    <row r="1448" ht="56.25" customHeight="1">
      <c r="A1448" s="21" t="s">
        <v>4000</v>
      </c>
      <c r="B1448" s="19" t="str">
        <f>image("https://storage.googleapis.com/acdb/photos/BromideNpcNmlBrd16_Remake_6_0.png")</f>
        <v/>
      </c>
      <c r="C1448" s="21" t="s">
        <v>182</v>
      </c>
      <c r="D1448" s="21" t="s">
        <v>51</v>
      </c>
      <c r="E1448" s="21">
        <v>10.0</v>
      </c>
      <c r="F1448" s="21" t="s">
        <v>2289</v>
      </c>
      <c r="G1448" s="19"/>
      <c r="H1448" s="19"/>
      <c r="I1448" s="19"/>
    </row>
    <row r="1449" ht="56.25" customHeight="1">
      <c r="A1449" s="21" t="s">
        <v>4000</v>
      </c>
      <c r="B1449" s="19" t="str">
        <f>image("https://storage.googleapis.com/acdb/photos/BromideNpcNmlBrd16_Remake_7_0.png")</f>
        <v/>
      </c>
      <c r="C1449" s="21" t="s">
        <v>187</v>
      </c>
      <c r="D1449" s="21" t="s">
        <v>51</v>
      </c>
      <c r="E1449" s="21">
        <v>10.0</v>
      </c>
      <c r="F1449" s="21" t="s">
        <v>2289</v>
      </c>
      <c r="G1449" s="19"/>
      <c r="H1449" s="19"/>
      <c r="I1449" s="19"/>
    </row>
    <row r="1450" ht="56.25" customHeight="1">
      <c r="A1450" s="21" t="s">
        <v>4008</v>
      </c>
      <c r="B1450" s="19" t="str">
        <f>image("https://storage.googleapis.com/acdb/photos/BromideNpcNmlBrd11_Remake_0_0.png")</f>
        <v/>
      </c>
      <c r="C1450" s="21" t="s">
        <v>219</v>
      </c>
      <c r="D1450" s="21" t="s">
        <v>51</v>
      </c>
      <c r="E1450" s="21">
        <v>10.0</v>
      </c>
      <c r="F1450" s="21" t="s">
        <v>2289</v>
      </c>
      <c r="G1450" s="19"/>
      <c r="H1450" s="19"/>
      <c r="I1450" s="19"/>
    </row>
    <row r="1451" ht="56.25" customHeight="1">
      <c r="A1451" s="21" t="s">
        <v>4008</v>
      </c>
      <c r="B1451" s="19" t="str">
        <f>image("https://storage.googleapis.com/acdb/photos/BromideNpcNmlBrd11_Remake_1_0.png")</f>
        <v/>
      </c>
      <c r="C1451" s="21" t="s">
        <v>795</v>
      </c>
      <c r="D1451" s="21" t="s">
        <v>51</v>
      </c>
      <c r="E1451" s="21">
        <v>10.0</v>
      </c>
      <c r="F1451" s="21" t="s">
        <v>2289</v>
      </c>
      <c r="G1451" s="19"/>
      <c r="H1451" s="19"/>
      <c r="I1451" s="19"/>
    </row>
    <row r="1452" ht="56.25" customHeight="1">
      <c r="A1452" s="21" t="s">
        <v>4008</v>
      </c>
      <c r="B1452" s="19" t="str">
        <f>image("https://storage.googleapis.com/acdb/photos/BromideNpcNmlBrd11_Remake_2_0.png")</f>
        <v/>
      </c>
      <c r="C1452" s="21" t="s">
        <v>954</v>
      </c>
      <c r="D1452" s="21" t="s">
        <v>51</v>
      </c>
      <c r="E1452" s="21">
        <v>10.0</v>
      </c>
      <c r="F1452" s="21" t="s">
        <v>2289</v>
      </c>
      <c r="G1452" s="19"/>
      <c r="H1452" s="19"/>
      <c r="I1452" s="19"/>
    </row>
    <row r="1453" ht="56.25" customHeight="1">
      <c r="A1453" s="21" t="s">
        <v>4008</v>
      </c>
      <c r="B1453" s="19" t="str">
        <f>image("https://storage.googleapis.com/acdb/photos/BromideNpcNmlBrd11_Remake_3_0.png")</f>
        <v/>
      </c>
      <c r="C1453" s="21" t="s">
        <v>82</v>
      </c>
      <c r="D1453" s="21" t="s">
        <v>51</v>
      </c>
      <c r="E1453" s="21">
        <v>10.0</v>
      </c>
      <c r="F1453" s="21" t="s">
        <v>2289</v>
      </c>
      <c r="G1453" s="19"/>
      <c r="H1453" s="19"/>
      <c r="I1453" s="19"/>
    </row>
    <row r="1454" ht="56.25" customHeight="1">
      <c r="A1454" s="21" t="s">
        <v>4008</v>
      </c>
      <c r="B1454" s="19" t="str">
        <f>image("https://storage.googleapis.com/acdb/photos/BromideNpcNmlBrd11_Remake_4_0.png")</f>
        <v/>
      </c>
      <c r="C1454" s="21" t="s">
        <v>833</v>
      </c>
      <c r="D1454" s="21" t="s">
        <v>51</v>
      </c>
      <c r="E1454" s="21">
        <v>10.0</v>
      </c>
      <c r="F1454" s="21" t="s">
        <v>2289</v>
      </c>
      <c r="G1454" s="19"/>
      <c r="H1454" s="19"/>
      <c r="I1454" s="19"/>
    </row>
    <row r="1455" ht="56.25" customHeight="1">
      <c r="A1455" s="21" t="s">
        <v>4008</v>
      </c>
      <c r="B1455" s="19" t="str">
        <f>image("https://storage.googleapis.com/acdb/photos/BromideNpcNmlBrd11_Remake_5_0.png")</f>
        <v/>
      </c>
      <c r="C1455" s="21" t="s">
        <v>258</v>
      </c>
      <c r="D1455" s="21" t="s">
        <v>51</v>
      </c>
      <c r="E1455" s="21">
        <v>10.0</v>
      </c>
      <c r="F1455" s="21" t="s">
        <v>2289</v>
      </c>
      <c r="G1455" s="19"/>
      <c r="H1455" s="19"/>
      <c r="I1455" s="19"/>
    </row>
    <row r="1456" ht="56.25" customHeight="1">
      <c r="A1456" s="21" t="s">
        <v>4008</v>
      </c>
      <c r="B1456" s="19" t="str">
        <f>image("https://storage.googleapis.com/acdb/photos/BromideNpcNmlBrd11_Remake_6_0.png")</f>
        <v/>
      </c>
      <c r="C1456" s="21" t="s">
        <v>182</v>
      </c>
      <c r="D1456" s="21" t="s">
        <v>51</v>
      </c>
      <c r="E1456" s="21">
        <v>10.0</v>
      </c>
      <c r="F1456" s="21" t="s">
        <v>2289</v>
      </c>
      <c r="G1456" s="19"/>
      <c r="H1456" s="19"/>
      <c r="I1456" s="19"/>
    </row>
    <row r="1457" ht="56.25" customHeight="1">
      <c r="A1457" s="21" t="s">
        <v>4008</v>
      </c>
      <c r="B1457" s="19" t="str">
        <f>image("https://storage.googleapis.com/acdb/photos/BromideNpcNmlBrd11_Remake_7_0.png")</f>
        <v/>
      </c>
      <c r="C1457" s="21" t="s">
        <v>187</v>
      </c>
      <c r="D1457" s="21" t="s">
        <v>51</v>
      </c>
      <c r="E1457" s="21">
        <v>10.0</v>
      </c>
      <c r="F1457" s="21" t="s">
        <v>2289</v>
      </c>
      <c r="G1457" s="19"/>
      <c r="H1457" s="19"/>
      <c r="I1457" s="19"/>
    </row>
    <row r="1458" ht="56.25" customHeight="1">
      <c r="A1458" s="21" t="s">
        <v>4014</v>
      </c>
      <c r="B1458" s="19" t="str">
        <f>image("https://storage.googleapis.com/acdb/photos/BromideNpcNmlFlg13_Remake_0_0.png")</f>
        <v/>
      </c>
      <c r="C1458" s="21" t="s">
        <v>219</v>
      </c>
      <c r="D1458" s="21" t="s">
        <v>51</v>
      </c>
      <c r="E1458" s="21">
        <v>10.0</v>
      </c>
      <c r="F1458" s="21" t="s">
        <v>2289</v>
      </c>
      <c r="G1458" s="19"/>
      <c r="H1458" s="19"/>
      <c r="I1458" s="19"/>
    </row>
    <row r="1459" ht="56.25" customHeight="1">
      <c r="A1459" s="21" t="s">
        <v>4014</v>
      </c>
      <c r="B1459" s="19" t="str">
        <f>image("https://storage.googleapis.com/acdb/photos/BromideNpcNmlFlg13_Remake_1_0.png")</f>
        <v/>
      </c>
      <c r="C1459" s="21" t="s">
        <v>795</v>
      </c>
      <c r="D1459" s="21" t="s">
        <v>51</v>
      </c>
      <c r="E1459" s="21">
        <v>10.0</v>
      </c>
      <c r="F1459" s="21" t="s">
        <v>2289</v>
      </c>
      <c r="G1459" s="19"/>
      <c r="H1459" s="19"/>
      <c r="I1459" s="19"/>
    </row>
    <row r="1460" ht="56.25" customHeight="1">
      <c r="A1460" s="21" t="s">
        <v>4014</v>
      </c>
      <c r="B1460" s="19" t="str">
        <f>image("https://storage.googleapis.com/acdb/photos/BromideNpcNmlFlg13_Remake_2_0.png")</f>
        <v/>
      </c>
      <c r="C1460" s="21" t="s">
        <v>954</v>
      </c>
      <c r="D1460" s="21" t="s">
        <v>51</v>
      </c>
      <c r="E1460" s="21">
        <v>10.0</v>
      </c>
      <c r="F1460" s="21" t="s">
        <v>2289</v>
      </c>
      <c r="G1460" s="19"/>
      <c r="H1460" s="19"/>
      <c r="I1460" s="19"/>
    </row>
    <row r="1461" ht="56.25" customHeight="1">
      <c r="A1461" s="21" t="s">
        <v>4014</v>
      </c>
      <c r="B1461" s="19" t="str">
        <f>image("https://storage.googleapis.com/acdb/photos/BromideNpcNmlFlg13_Remake_3_0.png")</f>
        <v/>
      </c>
      <c r="C1461" s="21" t="s">
        <v>82</v>
      </c>
      <c r="D1461" s="21" t="s">
        <v>51</v>
      </c>
      <c r="E1461" s="21">
        <v>10.0</v>
      </c>
      <c r="F1461" s="21" t="s">
        <v>2289</v>
      </c>
      <c r="G1461" s="19"/>
      <c r="H1461" s="19"/>
      <c r="I1461" s="19"/>
    </row>
    <row r="1462" ht="56.25" customHeight="1">
      <c r="A1462" s="21" t="s">
        <v>4014</v>
      </c>
      <c r="B1462" s="19" t="str">
        <f>image("https://storage.googleapis.com/acdb/photos/BromideNpcNmlFlg13_Remake_4_0.png")</f>
        <v/>
      </c>
      <c r="C1462" s="21" t="s">
        <v>833</v>
      </c>
      <c r="D1462" s="21" t="s">
        <v>51</v>
      </c>
      <c r="E1462" s="21">
        <v>10.0</v>
      </c>
      <c r="F1462" s="21" t="s">
        <v>2289</v>
      </c>
      <c r="G1462" s="19"/>
      <c r="H1462" s="19"/>
      <c r="I1462" s="19"/>
    </row>
    <row r="1463" ht="56.25" customHeight="1">
      <c r="A1463" s="21" t="s">
        <v>4014</v>
      </c>
      <c r="B1463" s="19" t="str">
        <f>image("https://storage.googleapis.com/acdb/photos/BromideNpcNmlFlg13_Remake_5_0.png")</f>
        <v/>
      </c>
      <c r="C1463" s="21" t="s">
        <v>258</v>
      </c>
      <c r="D1463" s="21" t="s">
        <v>51</v>
      </c>
      <c r="E1463" s="21">
        <v>10.0</v>
      </c>
      <c r="F1463" s="21" t="s">
        <v>2289</v>
      </c>
      <c r="G1463" s="19"/>
      <c r="H1463" s="19"/>
      <c r="I1463" s="19"/>
    </row>
    <row r="1464" ht="56.25" customHeight="1">
      <c r="A1464" s="21" t="s">
        <v>4014</v>
      </c>
      <c r="B1464" s="19" t="str">
        <f>image("https://storage.googleapis.com/acdb/photos/BromideNpcNmlFlg13_Remake_6_0.png")</f>
        <v/>
      </c>
      <c r="C1464" s="21" t="s">
        <v>182</v>
      </c>
      <c r="D1464" s="21" t="s">
        <v>51</v>
      </c>
      <c r="E1464" s="21">
        <v>10.0</v>
      </c>
      <c r="F1464" s="21" t="s">
        <v>2289</v>
      </c>
      <c r="G1464" s="19"/>
      <c r="H1464" s="19"/>
      <c r="I1464" s="19"/>
    </row>
    <row r="1465" ht="56.25" customHeight="1">
      <c r="A1465" s="21" t="s">
        <v>4014</v>
      </c>
      <c r="B1465" s="19" t="str">
        <f>image("https://storage.googleapis.com/acdb/photos/BromideNpcNmlFlg13_Remake_7_0.png")</f>
        <v/>
      </c>
      <c r="C1465" s="21" t="s">
        <v>187</v>
      </c>
      <c r="D1465" s="21" t="s">
        <v>51</v>
      </c>
      <c r="E1465" s="21">
        <v>10.0</v>
      </c>
      <c r="F1465" s="21" t="s">
        <v>2289</v>
      </c>
      <c r="G1465" s="19"/>
      <c r="H1465" s="19"/>
      <c r="I1465" s="19"/>
    </row>
    <row r="1466" ht="56.25" customHeight="1">
      <c r="A1466" s="21" t="s">
        <v>4016</v>
      </c>
      <c r="B1466" s="19" t="str">
        <f>image("https://storage.googleapis.com/acdb/photos/BromideNpcNmlBrd00_Remake_0_0.png")</f>
        <v/>
      </c>
      <c r="C1466" s="21" t="s">
        <v>219</v>
      </c>
      <c r="D1466" s="21" t="s">
        <v>51</v>
      </c>
      <c r="E1466" s="21">
        <v>10.0</v>
      </c>
      <c r="F1466" s="21" t="s">
        <v>2289</v>
      </c>
      <c r="G1466" s="19"/>
      <c r="H1466" s="19"/>
      <c r="I1466" s="19"/>
    </row>
    <row r="1467" ht="56.25" customHeight="1">
      <c r="A1467" s="21" t="s">
        <v>4016</v>
      </c>
      <c r="B1467" s="19" t="str">
        <f>image("https://storage.googleapis.com/acdb/photos/BromideNpcNmlBrd00_Remake_1_0.png")</f>
        <v/>
      </c>
      <c r="C1467" s="21" t="s">
        <v>795</v>
      </c>
      <c r="D1467" s="21" t="s">
        <v>51</v>
      </c>
      <c r="E1467" s="21">
        <v>10.0</v>
      </c>
      <c r="F1467" s="21" t="s">
        <v>2289</v>
      </c>
      <c r="G1467" s="19"/>
      <c r="H1467" s="19"/>
      <c r="I1467" s="19"/>
    </row>
    <row r="1468" ht="56.25" customHeight="1">
      <c r="A1468" s="21" t="s">
        <v>4016</v>
      </c>
      <c r="B1468" s="19" t="str">
        <f>image("https://storage.googleapis.com/acdb/photos/BromideNpcNmlBrd00_Remake_2_0.png")</f>
        <v/>
      </c>
      <c r="C1468" s="21" t="s">
        <v>954</v>
      </c>
      <c r="D1468" s="21" t="s">
        <v>51</v>
      </c>
      <c r="E1468" s="21">
        <v>10.0</v>
      </c>
      <c r="F1468" s="21" t="s">
        <v>2289</v>
      </c>
      <c r="G1468" s="19"/>
      <c r="H1468" s="19"/>
      <c r="I1468" s="19"/>
    </row>
    <row r="1469" ht="56.25" customHeight="1">
      <c r="A1469" s="21" t="s">
        <v>4016</v>
      </c>
      <c r="B1469" s="19" t="str">
        <f>image("https://storage.googleapis.com/acdb/photos/BromideNpcNmlBrd00_Remake_3_0.png")</f>
        <v/>
      </c>
      <c r="C1469" s="21" t="s">
        <v>82</v>
      </c>
      <c r="D1469" s="21" t="s">
        <v>51</v>
      </c>
      <c r="E1469" s="21">
        <v>10.0</v>
      </c>
      <c r="F1469" s="21" t="s">
        <v>2289</v>
      </c>
      <c r="G1469" s="19"/>
      <c r="H1469" s="19"/>
      <c r="I1469" s="19"/>
    </row>
    <row r="1470" ht="56.25" customHeight="1">
      <c r="A1470" s="21" t="s">
        <v>4016</v>
      </c>
      <c r="B1470" s="19" t="str">
        <f>image("https://storage.googleapis.com/acdb/photos/BromideNpcNmlBrd00_Remake_4_0.png")</f>
        <v/>
      </c>
      <c r="C1470" s="21" t="s">
        <v>833</v>
      </c>
      <c r="D1470" s="21" t="s">
        <v>51</v>
      </c>
      <c r="E1470" s="21">
        <v>10.0</v>
      </c>
      <c r="F1470" s="21" t="s">
        <v>2289</v>
      </c>
      <c r="G1470" s="19"/>
      <c r="H1470" s="19"/>
      <c r="I1470" s="19"/>
    </row>
    <row r="1471" ht="56.25" customHeight="1">
      <c r="A1471" s="21" t="s">
        <v>4016</v>
      </c>
      <c r="B1471" s="19" t="str">
        <f>image("https://storage.googleapis.com/acdb/photos/BromideNpcNmlBrd00_Remake_5_0.png")</f>
        <v/>
      </c>
      <c r="C1471" s="21" t="s">
        <v>258</v>
      </c>
      <c r="D1471" s="21" t="s">
        <v>51</v>
      </c>
      <c r="E1471" s="21">
        <v>10.0</v>
      </c>
      <c r="F1471" s="21" t="s">
        <v>2289</v>
      </c>
      <c r="G1471" s="19"/>
      <c r="H1471" s="19"/>
      <c r="I1471" s="19"/>
    </row>
    <row r="1472" ht="56.25" customHeight="1">
      <c r="A1472" s="21" t="s">
        <v>4016</v>
      </c>
      <c r="B1472" s="19" t="str">
        <f>image("https://storage.googleapis.com/acdb/photos/BromideNpcNmlBrd00_Remake_6_0.png")</f>
        <v/>
      </c>
      <c r="C1472" s="21" t="s">
        <v>182</v>
      </c>
      <c r="D1472" s="21" t="s">
        <v>51</v>
      </c>
      <c r="E1472" s="21">
        <v>10.0</v>
      </c>
      <c r="F1472" s="21" t="s">
        <v>2289</v>
      </c>
      <c r="G1472" s="19"/>
      <c r="H1472" s="19"/>
      <c r="I1472" s="19"/>
    </row>
    <row r="1473" ht="56.25" customHeight="1">
      <c r="A1473" s="21" t="s">
        <v>4016</v>
      </c>
      <c r="B1473" s="19" t="str">
        <f>image("https://storage.googleapis.com/acdb/photos/BromideNpcNmlBrd00_Remake_7_0.png")</f>
        <v/>
      </c>
      <c r="C1473" s="21" t="s">
        <v>187</v>
      </c>
      <c r="D1473" s="21" t="s">
        <v>51</v>
      </c>
      <c r="E1473" s="21">
        <v>10.0</v>
      </c>
      <c r="F1473" s="21" t="s">
        <v>2289</v>
      </c>
      <c r="G1473" s="19"/>
      <c r="H1473" s="19"/>
      <c r="I1473" s="19"/>
    </row>
    <row r="1474" ht="56.25" customHeight="1">
      <c r="A1474" s="21" t="s">
        <v>4022</v>
      </c>
      <c r="B1474" s="19" t="str">
        <f>image("https://storage.googleapis.com/acdb/photos/BromideNpcNmlFlg07_Remake_0_0.png")</f>
        <v/>
      </c>
      <c r="C1474" s="21" t="s">
        <v>219</v>
      </c>
      <c r="D1474" s="21" t="s">
        <v>51</v>
      </c>
      <c r="E1474" s="21">
        <v>10.0</v>
      </c>
      <c r="F1474" s="21" t="s">
        <v>2289</v>
      </c>
      <c r="G1474" s="19"/>
      <c r="H1474" s="19"/>
      <c r="I1474" s="19"/>
    </row>
    <row r="1475" ht="56.25" customHeight="1">
      <c r="A1475" s="21" t="s">
        <v>4022</v>
      </c>
      <c r="B1475" s="19" t="str">
        <f>image("https://storage.googleapis.com/acdb/photos/BromideNpcNmlFlg07_Remake_1_0.png")</f>
        <v/>
      </c>
      <c r="C1475" s="21" t="s">
        <v>795</v>
      </c>
      <c r="D1475" s="21" t="s">
        <v>51</v>
      </c>
      <c r="E1475" s="21">
        <v>10.0</v>
      </c>
      <c r="F1475" s="21" t="s">
        <v>2289</v>
      </c>
      <c r="G1475" s="19"/>
      <c r="H1475" s="19"/>
      <c r="I1475" s="19"/>
    </row>
    <row r="1476" ht="56.25" customHeight="1">
      <c r="A1476" s="21" t="s">
        <v>4022</v>
      </c>
      <c r="B1476" s="19" t="str">
        <f>image("https://storage.googleapis.com/acdb/photos/BromideNpcNmlFlg07_Remake_2_0.png")</f>
        <v/>
      </c>
      <c r="C1476" s="21" t="s">
        <v>954</v>
      </c>
      <c r="D1476" s="21" t="s">
        <v>51</v>
      </c>
      <c r="E1476" s="21">
        <v>10.0</v>
      </c>
      <c r="F1476" s="21" t="s">
        <v>2289</v>
      </c>
      <c r="G1476" s="19"/>
      <c r="H1476" s="19"/>
      <c r="I1476" s="19"/>
    </row>
    <row r="1477" ht="56.25" customHeight="1">
      <c r="A1477" s="21" t="s">
        <v>4022</v>
      </c>
      <c r="B1477" s="19" t="str">
        <f>image("https://storage.googleapis.com/acdb/photos/BromideNpcNmlFlg07_Remake_3_0.png")</f>
        <v/>
      </c>
      <c r="C1477" s="21" t="s">
        <v>82</v>
      </c>
      <c r="D1477" s="21" t="s">
        <v>51</v>
      </c>
      <c r="E1477" s="21">
        <v>10.0</v>
      </c>
      <c r="F1477" s="21" t="s">
        <v>2289</v>
      </c>
      <c r="G1477" s="19"/>
      <c r="H1477" s="19"/>
      <c r="I1477" s="19"/>
    </row>
    <row r="1478" ht="56.25" customHeight="1">
      <c r="A1478" s="21" t="s">
        <v>4022</v>
      </c>
      <c r="B1478" s="19" t="str">
        <f>image("https://storage.googleapis.com/acdb/photos/BromideNpcNmlFlg07_Remake_4_0.png")</f>
        <v/>
      </c>
      <c r="C1478" s="21" t="s">
        <v>833</v>
      </c>
      <c r="D1478" s="21" t="s">
        <v>51</v>
      </c>
      <c r="E1478" s="21">
        <v>10.0</v>
      </c>
      <c r="F1478" s="21" t="s">
        <v>2289</v>
      </c>
      <c r="G1478" s="19"/>
      <c r="H1478" s="19"/>
      <c r="I1478" s="19"/>
    </row>
    <row r="1479" ht="56.25" customHeight="1">
      <c r="A1479" s="21" t="s">
        <v>4022</v>
      </c>
      <c r="B1479" s="19" t="str">
        <f>image("https://storage.googleapis.com/acdb/photos/BromideNpcNmlFlg07_Remake_5_0.png")</f>
        <v/>
      </c>
      <c r="C1479" s="21" t="s">
        <v>258</v>
      </c>
      <c r="D1479" s="21" t="s">
        <v>51</v>
      </c>
      <c r="E1479" s="21">
        <v>10.0</v>
      </c>
      <c r="F1479" s="21" t="s">
        <v>2289</v>
      </c>
      <c r="G1479" s="19"/>
      <c r="H1479" s="19"/>
      <c r="I1479" s="19"/>
    </row>
    <row r="1480" ht="56.25" customHeight="1">
      <c r="A1480" s="21" t="s">
        <v>4022</v>
      </c>
      <c r="B1480" s="19" t="str">
        <f>image("https://storage.googleapis.com/acdb/photos/BromideNpcNmlFlg07_Remake_6_0.png")</f>
        <v/>
      </c>
      <c r="C1480" s="21" t="s">
        <v>182</v>
      </c>
      <c r="D1480" s="21" t="s">
        <v>51</v>
      </c>
      <c r="E1480" s="21">
        <v>10.0</v>
      </c>
      <c r="F1480" s="21" t="s">
        <v>2289</v>
      </c>
      <c r="G1480" s="19"/>
      <c r="H1480" s="19"/>
      <c r="I1480" s="19"/>
    </row>
    <row r="1481" ht="56.25" customHeight="1">
      <c r="A1481" s="21" t="s">
        <v>4022</v>
      </c>
      <c r="B1481" s="19" t="str">
        <f>image("https://storage.googleapis.com/acdb/photos/BromideNpcNmlFlg07_Remake_7_0.png")</f>
        <v/>
      </c>
      <c r="C1481" s="21" t="s">
        <v>187</v>
      </c>
      <c r="D1481" s="21" t="s">
        <v>51</v>
      </c>
      <c r="E1481" s="21">
        <v>10.0</v>
      </c>
      <c r="F1481" s="21" t="s">
        <v>2289</v>
      </c>
      <c r="G1481" s="19"/>
      <c r="H1481" s="19"/>
      <c r="I1481" s="19"/>
    </row>
    <row r="1482" ht="56.25" customHeight="1">
      <c r="A1482" s="21" t="s">
        <v>4029</v>
      </c>
      <c r="B1482" s="19" t="str">
        <f>image("https://storage.googleapis.com/acdb/photos/BromideNpcNmlBrd04_Remake_0_0.png")</f>
        <v/>
      </c>
      <c r="C1482" s="21" t="s">
        <v>219</v>
      </c>
      <c r="D1482" s="21" t="s">
        <v>51</v>
      </c>
      <c r="E1482" s="21">
        <v>10.0</v>
      </c>
      <c r="F1482" s="21" t="s">
        <v>2289</v>
      </c>
      <c r="G1482" s="19"/>
      <c r="H1482" s="19"/>
      <c r="I1482" s="19"/>
    </row>
    <row r="1483" ht="56.25" customHeight="1">
      <c r="A1483" s="21" t="s">
        <v>4029</v>
      </c>
      <c r="B1483" s="19" t="str">
        <f>image("https://storage.googleapis.com/acdb/photos/BromideNpcNmlBrd04_Remake_1_0.png")</f>
        <v/>
      </c>
      <c r="C1483" s="21" t="s">
        <v>795</v>
      </c>
      <c r="D1483" s="21" t="s">
        <v>51</v>
      </c>
      <c r="E1483" s="21">
        <v>10.0</v>
      </c>
      <c r="F1483" s="21" t="s">
        <v>2289</v>
      </c>
      <c r="G1483" s="19"/>
      <c r="H1483" s="19"/>
      <c r="I1483" s="19"/>
    </row>
    <row r="1484" ht="56.25" customHeight="1">
      <c r="A1484" s="21" t="s">
        <v>4029</v>
      </c>
      <c r="B1484" s="19" t="str">
        <f>image("https://storage.googleapis.com/acdb/photos/BromideNpcNmlBrd04_Remake_2_0.png")</f>
        <v/>
      </c>
      <c r="C1484" s="21" t="s">
        <v>954</v>
      </c>
      <c r="D1484" s="21" t="s">
        <v>51</v>
      </c>
      <c r="E1484" s="21">
        <v>10.0</v>
      </c>
      <c r="F1484" s="21" t="s">
        <v>2289</v>
      </c>
      <c r="G1484" s="19"/>
      <c r="H1484" s="19"/>
      <c r="I1484" s="19"/>
    </row>
    <row r="1485" ht="56.25" customHeight="1">
      <c r="A1485" s="21" t="s">
        <v>4029</v>
      </c>
      <c r="B1485" s="19" t="str">
        <f>image("https://storage.googleapis.com/acdb/photos/BromideNpcNmlBrd04_Remake_3_0.png")</f>
        <v/>
      </c>
      <c r="C1485" s="21" t="s">
        <v>82</v>
      </c>
      <c r="D1485" s="21" t="s">
        <v>51</v>
      </c>
      <c r="E1485" s="21">
        <v>10.0</v>
      </c>
      <c r="F1485" s="21" t="s">
        <v>2289</v>
      </c>
      <c r="G1485" s="19"/>
      <c r="H1485" s="19"/>
      <c r="I1485" s="19"/>
    </row>
    <row r="1486" ht="56.25" customHeight="1">
      <c r="A1486" s="21" t="s">
        <v>4029</v>
      </c>
      <c r="B1486" s="19" t="str">
        <f>image("https://storage.googleapis.com/acdb/photos/BromideNpcNmlBrd04_Remake_4_0.png")</f>
        <v/>
      </c>
      <c r="C1486" s="21" t="s">
        <v>833</v>
      </c>
      <c r="D1486" s="21" t="s">
        <v>51</v>
      </c>
      <c r="E1486" s="21">
        <v>10.0</v>
      </c>
      <c r="F1486" s="21" t="s">
        <v>2289</v>
      </c>
      <c r="G1486" s="19"/>
      <c r="H1486" s="19"/>
      <c r="I1486" s="19"/>
    </row>
    <row r="1487" ht="56.25" customHeight="1">
      <c r="A1487" s="21" t="s">
        <v>4029</v>
      </c>
      <c r="B1487" s="19" t="str">
        <f>image("https://storage.googleapis.com/acdb/photos/BromideNpcNmlBrd04_Remake_5_0.png")</f>
        <v/>
      </c>
      <c r="C1487" s="21" t="s">
        <v>258</v>
      </c>
      <c r="D1487" s="21" t="s">
        <v>51</v>
      </c>
      <c r="E1487" s="21">
        <v>10.0</v>
      </c>
      <c r="F1487" s="21" t="s">
        <v>2289</v>
      </c>
      <c r="G1487" s="19"/>
      <c r="H1487" s="19"/>
      <c r="I1487" s="19"/>
    </row>
    <row r="1488" ht="56.25" customHeight="1">
      <c r="A1488" s="21" t="s">
        <v>4029</v>
      </c>
      <c r="B1488" s="19" t="str">
        <f>image("https://storage.googleapis.com/acdb/photos/BromideNpcNmlBrd04_Remake_6_0.png")</f>
        <v/>
      </c>
      <c r="C1488" s="21" t="s">
        <v>182</v>
      </c>
      <c r="D1488" s="21" t="s">
        <v>51</v>
      </c>
      <c r="E1488" s="21">
        <v>10.0</v>
      </c>
      <c r="F1488" s="21" t="s">
        <v>2289</v>
      </c>
      <c r="G1488" s="19"/>
      <c r="H1488" s="19"/>
      <c r="I1488" s="19"/>
    </row>
    <row r="1489" ht="56.25" customHeight="1">
      <c r="A1489" s="21" t="s">
        <v>4029</v>
      </c>
      <c r="B1489" s="19" t="str">
        <f>image("https://storage.googleapis.com/acdb/photos/BromideNpcNmlBrd04_Remake_7_0.png")</f>
        <v/>
      </c>
      <c r="C1489" s="21" t="s">
        <v>187</v>
      </c>
      <c r="D1489" s="21" t="s">
        <v>51</v>
      </c>
      <c r="E1489" s="21">
        <v>10.0</v>
      </c>
      <c r="F1489" s="21" t="s">
        <v>2289</v>
      </c>
      <c r="G1489" s="19"/>
      <c r="H1489" s="19"/>
      <c r="I1489" s="19"/>
    </row>
    <row r="1490" ht="56.25" customHeight="1">
      <c r="A1490" s="21" t="s">
        <v>4037</v>
      </c>
      <c r="B1490" s="19" t="str">
        <f>image("https://storage.googleapis.com/acdb/photos/BromideNpcNmlDuk01_Remake_0_0.png")</f>
        <v/>
      </c>
      <c r="C1490" s="21" t="s">
        <v>219</v>
      </c>
      <c r="D1490" s="21" t="s">
        <v>51</v>
      </c>
      <c r="E1490" s="21">
        <v>10.0</v>
      </c>
      <c r="F1490" s="21" t="s">
        <v>2289</v>
      </c>
      <c r="G1490" s="19"/>
      <c r="H1490" s="19"/>
      <c r="I1490" s="19"/>
    </row>
    <row r="1491" ht="56.25" customHeight="1">
      <c r="A1491" s="21" t="s">
        <v>4037</v>
      </c>
      <c r="B1491" s="19" t="str">
        <f>image("https://storage.googleapis.com/acdb/photos/BromideNpcNmlDuk01_Remake_1_0.png")</f>
        <v/>
      </c>
      <c r="C1491" s="21" t="s">
        <v>795</v>
      </c>
      <c r="D1491" s="21" t="s">
        <v>51</v>
      </c>
      <c r="E1491" s="21">
        <v>10.0</v>
      </c>
      <c r="F1491" s="21" t="s">
        <v>2289</v>
      </c>
      <c r="G1491" s="19"/>
      <c r="H1491" s="19"/>
      <c r="I1491" s="19"/>
    </row>
    <row r="1492" ht="56.25" customHeight="1">
      <c r="A1492" s="21" t="s">
        <v>4037</v>
      </c>
      <c r="B1492" s="19" t="str">
        <f>image("https://storage.googleapis.com/acdb/photos/BromideNpcNmlDuk01_Remake_2_0.png")</f>
        <v/>
      </c>
      <c r="C1492" s="21" t="s">
        <v>954</v>
      </c>
      <c r="D1492" s="21" t="s">
        <v>51</v>
      </c>
      <c r="E1492" s="21">
        <v>10.0</v>
      </c>
      <c r="F1492" s="21" t="s">
        <v>2289</v>
      </c>
      <c r="G1492" s="19"/>
      <c r="H1492" s="19"/>
      <c r="I1492" s="19"/>
    </row>
    <row r="1493" ht="56.25" customHeight="1">
      <c r="A1493" s="21" t="s">
        <v>4037</v>
      </c>
      <c r="B1493" s="19" t="str">
        <f>image("https://storage.googleapis.com/acdb/photos/BromideNpcNmlDuk01_Remake_3_0.png")</f>
        <v/>
      </c>
      <c r="C1493" s="21" t="s">
        <v>82</v>
      </c>
      <c r="D1493" s="21" t="s">
        <v>51</v>
      </c>
      <c r="E1493" s="21">
        <v>10.0</v>
      </c>
      <c r="F1493" s="21" t="s">
        <v>2289</v>
      </c>
      <c r="G1493" s="19"/>
      <c r="H1493" s="19"/>
      <c r="I1493" s="19"/>
    </row>
    <row r="1494" ht="56.25" customHeight="1">
      <c r="A1494" s="21" t="s">
        <v>4037</v>
      </c>
      <c r="B1494" s="19" t="str">
        <f>image("https://storage.googleapis.com/acdb/photos/BromideNpcNmlDuk01_Remake_4_0.png")</f>
        <v/>
      </c>
      <c r="C1494" s="21" t="s">
        <v>833</v>
      </c>
      <c r="D1494" s="21" t="s">
        <v>51</v>
      </c>
      <c r="E1494" s="21">
        <v>10.0</v>
      </c>
      <c r="F1494" s="21" t="s">
        <v>2289</v>
      </c>
      <c r="G1494" s="19"/>
      <c r="H1494" s="19"/>
      <c r="I1494" s="19"/>
    </row>
    <row r="1495" ht="56.25" customHeight="1">
      <c r="A1495" s="21" t="s">
        <v>4037</v>
      </c>
      <c r="B1495" s="19" t="str">
        <f>image("https://storage.googleapis.com/acdb/photos/BromideNpcNmlDuk01_Remake_5_0.png")</f>
        <v/>
      </c>
      <c r="C1495" s="21" t="s">
        <v>258</v>
      </c>
      <c r="D1495" s="21" t="s">
        <v>51</v>
      </c>
      <c r="E1495" s="21">
        <v>10.0</v>
      </c>
      <c r="F1495" s="21" t="s">
        <v>2289</v>
      </c>
      <c r="G1495" s="19"/>
      <c r="H1495" s="19"/>
      <c r="I1495" s="19"/>
    </row>
    <row r="1496" ht="56.25" customHeight="1">
      <c r="A1496" s="21" t="s">
        <v>4037</v>
      </c>
      <c r="B1496" s="19" t="str">
        <f>image("https://storage.googleapis.com/acdb/photos/BromideNpcNmlDuk01_Remake_6_0.png")</f>
        <v/>
      </c>
      <c r="C1496" s="21" t="s">
        <v>182</v>
      </c>
      <c r="D1496" s="21" t="s">
        <v>51</v>
      </c>
      <c r="E1496" s="21">
        <v>10.0</v>
      </c>
      <c r="F1496" s="21" t="s">
        <v>2289</v>
      </c>
      <c r="G1496" s="19"/>
      <c r="H1496" s="19"/>
      <c r="I1496" s="19"/>
    </row>
    <row r="1497" ht="56.25" customHeight="1">
      <c r="A1497" s="21" t="s">
        <v>4037</v>
      </c>
      <c r="B1497" s="19" t="str">
        <f>image("https://storage.googleapis.com/acdb/photos/BromideNpcNmlDuk01_Remake_7_0.png")</f>
        <v/>
      </c>
      <c r="C1497" s="21" t="s">
        <v>187</v>
      </c>
      <c r="D1497" s="21" t="s">
        <v>51</v>
      </c>
      <c r="E1497" s="21">
        <v>10.0</v>
      </c>
      <c r="F1497" s="21" t="s">
        <v>2289</v>
      </c>
      <c r="G1497" s="19"/>
      <c r="H1497" s="19"/>
      <c r="I1497" s="19"/>
    </row>
    <row r="1498" ht="56.25" customHeight="1">
      <c r="A1498" s="21" t="s">
        <v>4045</v>
      </c>
      <c r="B1498" s="19" t="str">
        <f>image("https://storage.googleapis.com/acdb/photos/BromideNpcNmlCbr19_Remake_0_0.png")</f>
        <v/>
      </c>
      <c r="C1498" s="21" t="s">
        <v>219</v>
      </c>
      <c r="D1498" s="21" t="s">
        <v>51</v>
      </c>
      <c r="E1498" s="21">
        <v>10.0</v>
      </c>
      <c r="F1498" s="21" t="s">
        <v>2289</v>
      </c>
      <c r="G1498" s="19"/>
      <c r="H1498" s="19"/>
      <c r="I1498" s="19"/>
    </row>
    <row r="1499" ht="56.25" customHeight="1">
      <c r="A1499" s="21" t="s">
        <v>4045</v>
      </c>
      <c r="B1499" s="19" t="str">
        <f>image("https://storage.googleapis.com/acdb/photos/BromideNpcNmlCbr19_Remake_1_0.png")</f>
        <v/>
      </c>
      <c r="C1499" s="21" t="s">
        <v>795</v>
      </c>
      <c r="D1499" s="21" t="s">
        <v>51</v>
      </c>
      <c r="E1499" s="21">
        <v>10.0</v>
      </c>
      <c r="F1499" s="21" t="s">
        <v>2289</v>
      </c>
      <c r="G1499" s="19"/>
      <c r="H1499" s="19"/>
      <c r="I1499" s="19"/>
    </row>
    <row r="1500" ht="56.25" customHeight="1">
      <c r="A1500" s="21" t="s">
        <v>4045</v>
      </c>
      <c r="B1500" s="19" t="str">
        <f>image("https://storage.googleapis.com/acdb/photos/BromideNpcNmlCbr19_Remake_2_0.png")</f>
        <v/>
      </c>
      <c r="C1500" s="21" t="s">
        <v>954</v>
      </c>
      <c r="D1500" s="21" t="s">
        <v>51</v>
      </c>
      <c r="E1500" s="21">
        <v>10.0</v>
      </c>
      <c r="F1500" s="21" t="s">
        <v>2289</v>
      </c>
      <c r="G1500" s="19"/>
      <c r="H1500" s="19"/>
      <c r="I1500" s="19"/>
    </row>
    <row r="1501" ht="56.25" customHeight="1">
      <c r="A1501" s="21" t="s">
        <v>4045</v>
      </c>
      <c r="B1501" s="19" t="str">
        <f>image("https://storage.googleapis.com/acdb/photos/BromideNpcNmlCbr19_Remake_3_0.png")</f>
        <v/>
      </c>
      <c r="C1501" s="21" t="s">
        <v>82</v>
      </c>
      <c r="D1501" s="21" t="s">
        <v>51</v>
      </c>
      <c r="E1501" s="21">
        <v>10.0</v>
      </c>
      <c r="F1501" s="21" t="s">
        <v>2289</v>
      </c>
      <c r="G1501" s="19"/>
      <c r="H1501" s="19"/>
      <c r="I1501" s="19"/>
    </row>
    <row r="1502" ht="56.25" customHeight="1">
      <c r="A1502" s="21" t="s">
        <v>4045</v>
      </c>
      <c r="B1502" s="19" t="str">
        <f>image("https://storage.googleapis.com/acdb/photos/BromideNpcNmlCbr19_Remake_4_0.png")</f>
        <v/>
      </c>
      <c r="C1502" s="21" t="s">
        <v>833</v>
      </c>
      <c r="D1502" s="21" t="s">
        <v>51</v>
      </c>
      <c r="E1502" s="21">
        <v>10.0</v>
      </c>
      <c r="F1502" s="21" t="s">
        <v>2289</v>
      </c>
      <c r="G1502" s="19"/>
      <c r="H1502" s="19"/>
      <c r="I1502" s="19"/>
    </row>
    <row r="1503" ht="56.25" customHeight="1">
      <c r="A1503" s="21" t="s">
        <v>4045</v>
      </c>
      <c r="B1503" s="19" t="str">
        <f>image("https://storage.googleapis.com/acdb/photos/BromideNpcNmlCbr19_Remake_5_0.png")</f>
        <v/>
      </c>
      <c r="C1503" s="21" t="s">
        <v>258</v>
      </c>
      <c r="D1503" s="21" t="s">
        <v>51</v>
      </c>
      <c r="E1503" s="21">
        <v>10.0</v>
      </c>
      <c r="F1503" s="21" t="s">
        <v>2289</v>
      </c>
      <c r="G1503" s="19"/>
      <c r="H1503" s="19"/>
      <c r="I1503" s="19"/>
    </row>
    <row r="1504" ht="56.25" customHeight="1">
      <c r="A1504" s="21" t="s">
        <v>4045</v>
      </c>
      <c r="B1504" s="19" t="str">
        <f>image("https://storage.googleapis.com/acdb/photos/BromideNpcNmlCbr19_Remake_6_0.png")</f>
        <v/>
      </c>
      <c r="C1504" s="21" t="s">
        <v>182</v>
      </c>
      <c r="D1504" s="21" t="s">
        <v>51</v>
      </c>
      <c r="E1504" s="21">
        <v>10.0</v>
      </c>
      <c r="F1504" s="21" t="s">
        <v>2289</v>
      </c>
      <c r="G1504" s="19"/>
      <c r="H1504" s="19"/>
      <c r="I1504" s="19"/>
    </row>
    <row r="1505" ht="56.25" customHeight="1">
      <c r="A1505" s="21" t="s">
        <v>4045</v>
      </c>
      <c r="B1505" s="19" t="str">
        <f>image("https://storage.googleapis.com/acdb/photos/BromideNpcNmlCbr19_Remake_7_0.png")</f>
        <v/>
      </c>
      <c r="C1505" s="21" t="s">
        <v>187</v>
      </c>
      <c r="D1505" s="21" t="s">
        <v>51</v>
      </c>
      <c r="E1505" s="21">
        <v>10.0</v>
      </c>
      <c r="F1505" s="21" t="s">
        <v>2289</v>
      </c>
      <c r="G1505" s="19"/>
      <c r="H1505" s="19"/>
      <c r="I1505" s="19"/>
    </row>
    <row r="1506" ht="56.25" customHeight="1">
      <c r="A1506" s="21" t="s">
        <v>4053</v>
      </c>
      <c r="B1506" s="19" t="str">
        <f>image("https://storage.googleapis.com/acdb/photos/BromideNpcNmlOst05_Remake_0_0.png")</f>
        <v/>
      </c>
      <c r="C1506" s="21" t="s">
        <v>219</v>
      </c>
      <c r="D1506" s="21" t="s">
        <v>51</v>
      </c>
      <c r="E1506" s="21">
        <v>10.0</v>
      </c>
      <c r="F1506" s="21" t="s">
        <v>2289</v>
      </c>
      <c r="G1506" s="19"/>
      <c r="H1506" s="19"/>
      <c r="I1506" s="19"/>
    </row>
    <row r="1507" ht="56.25" customHeight="1">
      <c r="A1507" s="21" t="s">
        <v>4053</v>
      </c>
      <c r="B1507" s="19" t="str">
        <f>image("https://storage.googleapis.com/acdb/photos/BromideNpcNmlOst05_Remake_1_0.png")</f>
        <v/>
      </c>
      <c r="C1507" s="21" t="s">
        <v>795</v>
      </c>
      <c r="D1507" s="21" t="s">
        <v>51</v>
      </c>
      <c r="E1507" s="21">
        <v>10.0</v>
      </c>
      <c r="F1507" s="21" t="s">
        <v>2289</v>
      </c>
      <c r="G1507" s="19"/>
      <c r="H1507" s="19"/>
      <c r="I1507" s="19"/>
    </row>
    <row r="1508" ht="56.25" customHeight="1">
      <c r="A1508" s="21" t="s">
        <v>4053</v>
      </c>
      <c r="B1508" s="19" t="str">
        <f>image("https://storage.googleapis.com/acdb/photos/BromideNpcNmlOst05_Remake_2_0.png")</f>
        <v/>
      </c>
      <c r="C1508" s="21" t="s">
        <v>954</v>
      </c>
      <c r="D1508" s="21" t="s">
        <v>51</v>
      </c>
      <c r="E1508" s="21">
        <v>10.0</v>
      </c>
      <c r="F1508" s="21" t="s">
        <v>2289</v>
      </c>
      <c r="G1508" s="19"/>
      <c r="H1508" s="19"/>
      <c r="I1508" s="19"/>
    </row>
    <row r="1509" ht="56.25" customHeight="1">
      <c r="A1509" s="21" t="s">
        <v>4053</v>
      </c>
      <c r="B1509" s="19" t="str">
        <f>image("https://storage.googleapis.com/acdb/photos/BromideNpcNmlOst05_Remake_3_0.png")</f>
        <v/>
      </c>
      <c r="C1509" s="21" t="s">
        <v>82</v>
      </c>
      <c r="D1509" s="21" t="s">
        <v>51</v>
      </c>
      <c r="E1509" s="21">
        <v>10.0</v>
      </c>
      <c r="F1509" s="21" t="s">
        <v>2289</v>
      </c>
      <c r="G1509" s="19"/>
      <c r="H1509" s="19"/>
      <c r="I1509" s="19"/>
    </row>
    <row r="1510" ht="56.25" customHeight="1">
      <c r="A1510" s="21" t="s">
        <v>4053</v>
      </c>
      <c r="B1510" s="19" t="str">
        <f>image("https://storage.googleapis.com/acdb/photos/BromideNpcNmlOst05_Remake_4_0.png")</f>
        <v/>
      </c>
      <c r="C1510" s="21" t="s">
        <v>833</v>
      </c>
      <c r="D1510" s="21" t="s">
        <v>51</v>
      </c>
      <c r="E1510" s="21">
        <v>10.0</v>
      </c>
      <c r="F1510" s="21" t="s">
        <v>2289</v>
      </c>
      <c r="G1510" s="19"/>
      <c r="H1510" s="19"/>
      <c r="I1510" s="19"/>
    </row>
    <row r="1511" ht="56.25" customHeight="1">
      <c r="A1511" s="21" t="s">
        <v>4053</v>
      </c>
      <c r="B1511" s="19" t="str">
        <f>image("https://storage.googleapis.com/acdb/photos/BromideNpcNmlOst05_Remake_5_0.png")</f>
        <v/>
      </c>
      <c r="C1511" s="21" t="s">
        <v>258</v>
      </c>
      <c r="D1511" s="21" t="s">
        <v>51</v>
      </c>
      <c r="E1511" s="21">
        <v>10.0</v>
      </c>
      <c r="F1511" s="21" t="s">
        <v>2289</v>
      </c>
      <c r="G1511" s="19"/>
      <c r="H1511" s="19"/>
      <c r="I1511" s="19"/>
    </row>
    <row r="1512" ht="56.25" customHeight="1">
      <c r="A1512" s="21" t="s">
        <v>4053</v>
      </c>
      <c r="B1512" s="19" t="str">
        <f>image("https://storage.googleapis.com/acdb/photos/BromideNpcNmlOst05_Remake_6_0.png")</f>
        <v/>
      </c>
      <c r="C1512" s="21" t="s">
        <v>182</v>
      </c>
      <c r="D1512" s="21" t="s">
        <v>51</v>
      </c>
      <c r="E1512" s="21">
        <v>10.0</v>
      </c>
      <c r="F1512" s="21" t="s">
        <v>2289</v>
      </c>
      <c r="G1512" s="19"/>
      <c r="H1512" s="19"/>
      <c r="I1512" s="19"/>
    </row>
    <row r="1513" ht="56.25" customHeight="1">
      <c r="A1513" s="21" t="s">
        <v>4053</v>
      </c>
      <c r="B1513" s="19" t="str">
        <f>image("https://storage.googleapis.com/acdb/photos/BromideNpcNmlOst05_Remake_7_0.png")</f>
        <v/>
      </c>
      <c r="C1513" s="21" t="s">
        <v>187</v>
      </c>
      <c r="D1513" s="21" t="s">
        <v>51</v>
      </c>
      <c r="E1513" s="21">
        <v>10.0</v>
      </c>
      <c r="F1513" s="21" t="s">
        <v>2289</v>
      </c>
      <c r="G1513" s="19"/>
      <c r="H1513" s="19"/>
      <c r="I1513" s="19"/>
    </row>
    <row r="1514" ht="56.25" customHeight="1">
      <c r="A1514" s="21" t="s">
        <v>4062</v>
      </c>
      <c r="B1514" s="19" t="str">
        <f>image("https://storage.googleapis.com/acdb/photos/BromideNpcNmlHrs13_Remake_0_0.png")</f>
        <v/>
      </c>
      <c r="C1514" s="21" t="s">
        <v>219</v>
      </c>
      <c r="D1514" s="21" t="s">
        <v>51</v>
      </c>
      <c r="E1514" s="21">
        <v>10.0</v>
      </c>
      <c r="F1514" s="21" t="s">
        <v>2289</v>
      </c>
      <c r="G1514" s="19"/>
      <c r="H1514" s="19"/>
      <c r="I1514" s="19"/>
    </row>
    <row r="1515" ht="56.25" customHeight="1">
      <c r="A1515" s="21" t="s">
        <v>4062</v>
      </c>
      <c r="B1515" s="19" t="str">
        <f>image("https://storage.googleapis.com/acdb/photos/BromideNpcNmlHrs13_Remake_1_0.png")</f>
        <v/>
      </c>
      <c r="C1515" s="21" t="s">
        <v>795</v>
      </c>
      <c r="D1515" s="21" t="s">
        <v>51</v>
      </c>
      <c r="E1515" s="21">
        <v>10.0</v>
      </c>
      <c r="F1515" s="21" t="s">
        <v>2289</v>
      </c>
      <c r="G1515" s="19"/>
      <c r="H1515" s="19"/>
      <c r="I1515" s="19"/>
    </row>
    <row r="1516" ht="56.25" customHeight="1">
      <c r="A1516" s="21" t="s">
        <v>4062</v>
      </c>
      <c r="B1516" s="19" t="str">
        <f>image("https://storage.googleapis.com/acdb/photos/BromideNpcNmlHrs13_Remake_2_0.png")</f>
        <v/>
      </c>
      <c r="C1516" s="21" t="s">
        <v>954</v>
      </c>
      <c r="D1516" s="21" t="s">
        <v>51</v>
      </c>
      <c r="E1516" s="21">
        <v>10.0</v>
      </c>
      <c r="F1516" s="21" t="s">
        <v>2289</v>
      </c>
      <c r="G1516" s="19"/>
      <c r="H1516" s="19"/>
      <c r="I1516" s="19"/>
    </row>
    <row r="1517" ht="56.25" customHeight="1">
      <c r="A1517" s="21" t="s">
        <v>4062</v>
      </c>
      <c r="B1517" s="19" t="str">
        <f>image("https://storage.googleapis.com/acdb/photos/BromideNpcNmlHrs13_Remake_3_0.png")</f>
        <v/>
      </c>
      <c r="C1517" s="21" t="s">
        <v>82</v>
      </c>
      <c r="D1517" s="21" t="s">
        <v>51</v>
      </c>
      <c r="E1517" s="21">
        <v>10.0</v>
      </c>
      <c r="F1517" s="21" t="s">
        <v>2289</v>
      </c>
      <c r="G1517" s="19"/>
      <c r="H1517" s="19"/>
      <c r="I1517" s="19"/>
    </row>
    <row r="1518" ht="56.25" customHeight="1">
      <c r="A1518" s="21" t="s">
        <v>4062</v>
      </c>
      <c r="B1518" s="19" t="str">
        <f>image("https://storage.googleapis.com/acdb/photos/BromideNpcNmlHrs13_Remake_4_0.png")</f>
        <v/>
      </c>
      <c r="C1518" s="21" t="s">
        <v>833</v>
      </c>
      <c r="D1518" s="21" t="s">
        <v>51</v>
      </c>
      <c r="E1518" s="21">
        <v>10.0</v>
      </c>
      <c r="F1518" s="21" t="s">
        <v>2289</v>
      </c>
      <c r="G1518" s="19"/>
      <c r="H1518" s="19"/>
      <c r="I1518" s="19"/>
    </row>
    <row r="1519" ht="56.25" customHeight="1">
      <c r="A1519" s="21" t="s">
        <v>4062</v>
      </c>
      <c r="B1519" s="19" t="str">
        <f>image("https://storage.googleapis.com/acdb/photos/BromideNpcNmlHrs13_Remake_5_0.png")</f>
        <v/>
      </c>
      <c r="C1519" s="21" t="s">
        <v>258</v>
      </c>
      <c r="D1519" s="21" t="s">
        <v>51</v>
      </c>
      <c r="E1519" s="21">
        <v>10.0</v>
      </c>
      <c r="F1519" s="21" t="s">
        <v>2289</v>
      </c>
      <c r="G1519" s="19"/>
      <c r="H1519" s="19"/>
      <c r="I1519" s="19"/>
    </row>
    <row r="1520" ht="56.25" customHeight="1">
      <c r="A1520" s="21" t="s">
        <v>4062</v>
      </c>
      <c r="B1520" s="19" t="str">
        <f>image("https://storage.googleapis.com/acdb/photos/BromideNpcNmlHrs13_Remake_6_0.png")</f>
        <v/>
      </c>
      <c r="C1520" s="21" t="s">
        <v>182</v>
      </c>
      <c r="D1520" s="21" t="s">
        <v>51</v>
      </c>
      <c r="E1520" s="21">
        <v>10.0</v>
      </c>
      <c r="F1520" s="21" t="s">
        <v>2289</v>
      </c>
      <c r="G1520" s="19"/>
      <c r="H1520" s="19"/>
      <c r="I1520" s="19"/>
    </row>
    <row r="1521" ht="56.25" customHeight="1">
      <c r="A1521" s="21" t="s">
        <v>4062</v>
      </c>
      <c r="B1521" s="19" t="str">
        <f>image("https://storage.googleapis.com/acdb/photos/BromideNpcNmlHrs13_Remake_7_0.png")</f>
        <v/>
      </c>
      <c r="C1521" s="21" t="s">
        <v>187</v>
      </c>
      <c r="D1521" s="21" t="s">
        <v>51</v>
      </c>
      <c r="E1521" s="21">
        <v>10.0</v>
      </c>
      <c r="F1521" s="21" t="s">
        <v>2289</v>
      </c>
      <c r="G1521" s="19"/>
      <c r="H1521" s="19"/>
      <c r="I1521" s="19"/>
    </row>
    <row r="1522" ht="56.25" customHeight="1">
      <c r="A1522" s="21" t="s">
        <v>4070</v>
      </c>
      <c r="B1522" s="19" t="str">
        <f>image("https://storage.googleapis.com/acdb/photos/BromideNpcNmlCbr13_Remake_0_0.png")</f>
        <v/>
      </c>
      <c r="C1522" s="21" t="s">
        <v>219</v>
      </c>
      <c r="D1522" s="21" t="s">
        <v>51</v>
      </c>
      <c r="E1522" s="21">
        <v>10.0</v>
      </c>
      <c r="F1522" s="21" t="s">
        <v>2289</v>
      </c>
      <c r="G1522" s="19"/>
      <c r="H1522" s="19"/>
      <c r="I1522" s="19"/>
    </row>
    <row r="1523" ht="56.25" customHeight="1">
      <c r="A1523" s="21" t="s">
        <v>4070</v>
      </c>
      <c r="B1523" s="19" t="str">
        <f>image("https://storage.googleapis.com/acdb/photos/BromideNpcNmlCbr13_Remake_1_0.png")</f>
        <v/>
      </c>
      <c r="C1523" s="21" t="s">
        <v>795</v>
      </c>
      <c r="D1523" s="21" t="s">
        <v>51</v>
      </c>
      <c r="E1523" s="21">
        <v>10.0</v>
      </c>
      <c r="F1523" s="21" t="s">
        <v>2289</v>
      </c>
      <c r="G1523" s="19"/>
      <c r="H1523" s="19"/>
      <c r="I1523" s="19"/>
    </row>
    <row r="1524" ht="56.25" customHeight="1">
      <c r="A1524" s="21" t="s">
        <v>4070</v>
      </c>
      <c r="B1524" s="19" t="str">
        <f>image("https://storage.googleapis.com/acdb/photos/BromideNpcNmlCbr13_Remake_2_0.png")</f>
        <v/>
      </c>
      <c r="C1524" s="21" t="s">
        <v>954</v>
      </c>
      <c r="D1524" s="21" t="s">
        <v>51</v>
      </c>
      <c r="E1524" s="21">
        <v>10.0</v>
      </c>
      <c r="F1524" s="21" t="s">
        <v>2289</v>
      </c>
      <c r="G1524" s="19"/>
      <c r="H1524" s="19"/>
      <c r="I1524" s="19"/>
    </row>
    <row r="1525" ht="56.25" customHeight="1">
      <c r="A1525" s="21" t="s">
        <v>4070</v>
      </c>
      <c r="B1525" s="19" t="str">
        <f>image("https://storage.googleapis.com/acdb/photos/BromideNpcNmlCbr13_Remake_3_0.png")</f>
        <v/>
      </c>
      <c r="C1525" s="21" t="s">
        <v>82</v>
      </c>
      <c r="D1525" s="21" t="s">
        <v>51</v>
      </c>
      <c r="E1525" s="21">
        <v>10.0</v>
      </c>
      <c r="F1525" s="21" t="s">
        <v>2289</v>
      </c>
      <c r="G1525" s="19"/>
      <c r="H1525" s="19"/>
      <c r="I1525" s="19"/>
    </row>
    <row r="1526" ht="56.25" customHeight="1">
      <c r="A1526" s="21" t="s">
        <v>4070</v>
      </c>
      <c r="B1526" s="19" t="str">
        <f>image("https://storage.googleapis.com/acdb/photos/BromideNpcNmlCbr13_Remake_4_0.png")</f>
        <v/>
      </c>
      <c r="C1526" s="21" t="s">
        <v>833</v>
      </c>
      <c r="D1526" s="21" t="s">
        <v>51</v>
      </c>
      <c r="E1526" s="21">
        <v>10.0</v>
      </c>
      <c r="F1526" s="21" t="s">
        <v>2289</v>
      </c>
      <c r="G1526" s="19"/>
      <c r="H1526" s="19"/>
      <c r="I1526" s="19"/>
    </row>
    <row r="1527" ht="56.25" customHeight="1">
      <c r="A1527" s="21" t="s">
        <v>4070</v>
      </c>
      <c r="B1527" s="19" t="str">
        <f>image("https://storage.googleapis.com/acdb/photos/BromideNpcNmlCbr13_Remake_5_0.png")</f>
        <v/>
      </c>
      <c r="C1527" s="21" t="s">
        <v>258</v>
      </c>
      <c r="D1527" s="21" t="s">
        <v>51</v>
      </c>
      <c r="E1527" s="21">
        <v>10.0</v>
      </c>
      <c r="F1527" s="21" t="s">
        <v>2289</v>
      </c>
      <c r="G1527" s="19"/>
      <c r="H1527" s="19"/>
      <c r="I1527" s="19"/>
    </row>
    <row r="1528" ht="56.25" customHeight="1">
      <c r="A1528" s="21" t="s">
        <v>4070</v>
      </c>
      <c r="B1528" s="19" t="str">
        <f>image("https://storage.googleapis.com/acdb/photos/BromideNpcNmlCbr13_Remake_6_0.png")</f>
        <v/>
      </c>
      <c r="C1528" s="21" t="s">
        <v>182</v>
      </c>
      <c r="D1528" s="21" t="s">
        <v>51</v>
      </c>
      <c r="E1528" s="21">
        <v>10.0</v>
      </c>
      <c r="F1528" s="21" t="s">
        <v>2289</v>
      </c>
      <c r="G1528" s="19"/>
      <c r="H1528" s="19"/>
      <c r="I1528" s="19"/>
    </row>
    <row r="1529" ht="56.25" customHeight="1">
      <c r="A1529" s="21" t="s">
        <v>4070</v>
      </c>
      <c r="B1529" s="19" t="str">
        <f>image("https://storage.googleapis.com/acdb/photos/BromideNpcNmlCbr13_Remake_7_0.png")</f>
        <v/>
      </c>
      <c r="C1529" s="21" t="s">
        <v>187</v>
      </c>
      <c r="D1529" s="21" t="s">
        <v>51</v>
      </c>
      <c r="E1529" s="21">
        <v>10.0</v>
      </c>
      <c r="F1529" s="21" t="s">
        <v>2289</v>
      </c>
      <c r="G1529" s="19"/>
      <c r="H1529" s="19"/>
      <c r="I1529" s="19"/>
    </row>
    <row r="1530" ht="56.25" customHeight="1">
      <c r="A1530" s="21" t="s">
        <v>4076</v>
      </c>
      <c r="B1530" s="19" t="str">
        <f>image("https://storage.googleapis.com/acdb/photos/BromideNpcNmlCat09_Remake_0_0.png")</f>
        <v/>
      </c>
      <c r="C1530" s="21" t="s">
        <v>219</v>
      </c>
      <c r="D1530" s="21" t="s">
        <v>51</v>
      </c>
      <c r="E1530" s="21">
        <v>10.0</v>
      </c>
      <c r="F1530" s="21" t="s">
        <v>2289</v>
      </c>
      <c r="G1530" s="19"/>
      <c r="H1530" s="19"/>
      <c r="I1530" s="19"/>
    </row>
    <row r="1531" ht="56.25" customHeight="1">
      <c r="A1531" s="21" t="s">
        <v>4076</v>
      </c>
      <c r="B1531" s="19" t="str">
        <f>image("https://storage.googleapis.com/acdb/photos/BromideNpcNmlCat09_Remake_1_0.png")</f>
        <v/>
      </c>
      <c r="C1531" s="21" t="s">
        <v>795</v>
      </c>
      <c r="D1531" s="21" t="s">
        <v>51</v>
      </c>
      <c r="E1531" s="21">
        <v>10.0</v>
      </c>
      <c r="F1531" s="21" t="s">
        <v>2289</v>
      </c>
      <c r="G1531" s="19"/>
      <c r="H1531" s="19"/>
      <c r="I1531" s="19"/>
    </row>
    <row r="1532" ht="56.25" customHeight="1">
      <c r="A1532" s="21" t="s">
        <v>4076</v>
      </c>
      <c r="B1532" s="19" t="str">
        <f>image("https://storage.googleapis.com/acdb/photos/BromideNpcNmlCat09_Remake_2_0.png")</f>
        <v/>
      </c>
      <c r="C1532" s="21" t="s">
        <v>954</v>
      </c>
      <c r="D1532" s="21" t="s">
        <v>51</v>
      </c>
      <c r="E1532" s="21">
        <v>10.0</v>
      </c>
      <c r="F1532" s="21" t="s">
        <v>2289</v>
      </c>
      <c r="G1532" s="19"/>
      <c r="H1532" s="19"/>
      <c r="I1532" s="19"/>
    </row>
    <row r="1533" ht="56.25" customHeight="1">
      <c r="A1533" s="21" t="s">
        <v>4076</v>
      </c>
      <c r="B1533" s="19" t="str">
        <f>image("https://storage.googleapis.com/acdb/photos/BromideNpcNmlCat09_Remake_3_0.png")</f>
        <v/>
      </c>
      <c r="C1533" s="21" t="s">
        <v>82</v>
      </c>
      <c r="D1533" s="21" t="s">
        <v>51</v>
      </c>
      <c r="E1533" s="21">
        <v>10.0</v>
      </c>
      <c r="F1533" s="21" t="s">
        <v>2289</v>
      </c>
      <c r="G1533" s="19"/>
      <c r="H1533" s="19"/>
      <c r="I1533" s="19"/>
    </row>
    <row r="1534" ht="56.25" customHeight="1">
      <c r="A1534" s="21" t="s">
        <v>4076</v>
      </c>
      <c r="B1534" s="19" t="str">
        <f>image("https://storage.googleapis.com/acdb/photos/BromideNpcNmlCat09_Remake_4_0.png")</f>
        <v/>
      </c>
      <c r="C1534" s="21" t="s">
        <v>833</v>
      </c>
      <c r="D1534" s="21" t="s">
        <v>51</v>
      </c>
      <c r="E1534" s="21">
        <v>10.0</v>
      </c>
      <c r="F1534" s="21" t="s">
        <v>2289</v>
      </c>
      <c r="G1534" s="19"/>
      <c r="H1534" s="19"/>
      <c r="I1534" s="19"/>
    </row>
    <row r="1535" ht="56.25" customHeight="1">
      <c r="A1535" s="21" t="s">
        <v>4076</v>
      </c>
      <c r="B1535" s="19" t="str">
        <f>image("https://storage.googleapis.com/acdb/photos/BromideNpcNmlCat09_Remake_5_0.png")</f>
        <v/>
      </c>
      <c r="C1535" s="21" t="s">
        <v>258</v>
      </c>
      <c r="D1535" s="21" t="s">
        <v>51</v>
      </c>
      <c r="E1535" s="21">
        <v>10.0</v>
      </c>
      <c r="F1535" s="21" t="s">
        <v>2289</v>
      </c>
      <c r="G1535" s="19"/>
      <c r="H1535" s="19"/>
      <c r="I1535" s="19"/>
    </row>
    <row r="1536" ht="56.25" customHeight="1">
      <c r="A1536" s="21" t="s">
        <v>4076</v>
      </c>
      <c r="B1536" s="19" t="str">
        <f>image("https://storage.googleapis.com/acdb/photos/BromideNpcNmlCat09_Remake_6_0.png")</f>
        <v/>
      </c>
      <c r="C1536" s="21" t="s">
        <v>182</v>
      </c>
      <c r="D1536" s="21" t="s">
        <v>51</v>
      </c>
      <c r="E1536" s="21">
        <v>10.0</v>
      </c>
      <c r="F1536" s="21" t="s">
        <v>2289</v>
      </c>
      <c r="G1536" s="19"/>
      <c r="H1536" s="19"/>
      <c r="I1536" s="19"/>
    </row>
    <row r="1537" ht="56.25" customHeight="1">
      <c r="A1537" s="21" t="s">
        <v>4076</v>
      </c>
      <c r="B1537" s="19" t="str">
        <f>image("https://storage.googleapis.com/acdb/photos/BromideNpcNmlCat09_Remake_7_0.png")</f>
        <v/>
      </c>
      <c r="C1537" s="21" t="s">
        <v>187</v>
      </c>
      <c r="D1537" s="21" t="s">
        <v>51</v>
      </c>
      <c r="E1537" s="21">
        <v>10.0</v>
      </c>
      <c r="F1537" s="21" t="s">
        <v>2289</v>
      </c>
      <c r="G1537" s="19"/>
      <c r="H1537" s="19"/>
      <c r="I1537" s="19"/>
    </row>
    <row r="1538" ht="56.25" customHeight="1">
      <c r="A1538" s="21" t="s">
        <v>4085</v>
      </c>
      <c r="B1538" s="19" t="str">
        <f>image("https://storage.googleapis.com/acdb/photos/BromideNpcNmlCat21_Remake_0_0.png")</f>
        <v/>
      </c>
      <c r="C1538" s="21" t="s">
        <v>219</v>
      </c>
      <c r="D1538" s="21" t="s">
        <v>51</v>
      </c>
      <c r="E1538" s="21">
        <v>10.0</v>
      </c>
      <c r="F1538" s="21" t="s">
        <v>2289</v>
      </c>
      <c r="G1538" s="19"/>
      <c r="H1538" s="19"/>
      <c r="I1538" s="19"/>
    </row>
    <row r="1539" ht="56.25" customHeight="1">
      <c r="A1539" s="21" t="s">
        <v>4085</v>
      </c>
      <c r="B1539" s="19" t="str">
        <f>image("https://storage.googleapis.com/acdb/photos/BromideNpcNmlCat21_Remake_1_0.png")</f>
        <v/>
      </c>
      <c r="C1539" s="21" t="s">
        <v>795</v>
      </c>
      <c r="D1539" s="21" t="s">
        <v>51</v>
      </c>
      <c r="E1539" s="21">
        <v>10.0</v>
      </c>
      <c r="F1539" s="21" t="s">
        <v>2289</v>
      </c>
      <c r="G1539" s="19"/>
      <c r="H1539" s="19"/>
      <c r="I1539" s="19"/>
    </row>
    <row r="1540" ht="56.25" customHeight="1">
      <c r="A1540" s="21" t="s">
        <v>4085</v>
      </c>
      <c r="B1540" s="19" t="str">
        <f>image("https://storage.googleapis.com/acdb/photos/BromideNpcNmlCat21_Remake_2_0.png")</f>
        <v/>
      </c>
      <c r="C1540" s="21" t="s">
        <v>954</v>
      </c>
      <c r="D1540" s="21" t="s">
        <v>51</v>
      </c>
      <c r="E1540" s="21">
        <v>10.0</v>
      </c>
      <c r="F1540" s="21" t="s">
        <v>2289</v>
      </c>
      <c r="G1540" s="19"/>
      <c r="H1540" s="19"/>
      <c r="I1540" s="19"/>
    </row>
    <row r="1541" ht="56.25" customHeight="1">
      <c r="A1541" s="21" t="s">
        <v>4085</v>
      </c>
      <c r="B1541" s="19" t="str">
        <f>image("https://storage.googleapis.com/acdb/photos/BromideNpcNmlCat21_Remake_3_0.png")</f>
        <v/>
      </c>
      <c r="C1541" s="21" t="s">
        <v>82</v>
      </c>
      <c r="D1541" s="21" t="s">
        <v>51</v>
      </c>
      <c r="E1541" s="21">
        <v>10.0</v>
      </c>
      <c r="F1541" s="21" t="s">
        <v>2289</v>
      </c>
      <c r="G1541" s="19"/>
      <c r="H1541" s="19"/>
      <c r="I1541" s="19"/>
    </row>
    <row r="1542" ht="56.25" customHeight="1">
      <c r="A1542" s="21" t="s">
        <v>4085</v>
      </c>
      <c r="B1542" s="19" t="str">
        <f>image("https://storage.googleapis.com/acdb/photos/BromideNpcNmlCat21_Remake_4_0.png")</f>
        <v/>
      </c>
      <c r="C1542" s="21" t="s">
        <v>833</v>
      </c>
      <c r="D1542" s="21" t="s">
        <v>51</v>
      </c>
      <c r="E1542" s="21">
        <v>10.0</v>
      </c>
      <c r="F1542" s="21" t="s">
        <v>2289</v>
      </c>
      <c r="G1542" s="19"/>
      <c r="H1542" s="19"/>
      <c r="I1542" s="19"/>
    </row>
    <row r="1543" ht="56.25" customHeight="1">
      <c r="A1543" s="21" t="s">
        <v>4085</v>
      </c>
      <c r="B1543" s="19" t="str">
        <f>image("https://storage.googleapis.com/acdb/photos/BromideNpcNmlCat21_Remake_5_0.png")</f>
        <v/>
      </c>
      <c r="C1543" s="21" t="s">
        <v>258</v>
      </c>
      <c r="D1543" s="21" t="s">
        <v>51</v>
      </c>
      <c r="E1543" s="21">
        <v>10.0</v>
      </c>
      <c r="F1543" s="21" t="s">
        <v>2289</v>
      </c>
      <c r="G1543" s="19"/>
      <c r="H1543" s="19"/>
      <c r="I1543" s="19"/>
    </row>
    <row r="1544" ht="56.25" customHeight="1">
      <c r="A1544" s="21" t="s">
        <v>4085</v>
      </c>
      <c r="B1544" s="19" t="str">
        <f>image("https://storage.googleapis.com/acdb/photos/BromideNpcNmlCat21_Remake_6_0.png")</f>
        <v/>
      </c>
      <c r="C1544" s="21" t="s">
        <v>182</v>
      </c>
      <c r="D1544" s="21" t="s">
        <v>51</v>
      </c>
      <c r="E1544" s="21">
        <v>10.0</v>
      </c>
      <c r="F1544" s="21" t="s">
        <v>2289</v>
      </c>
      <c r="G1544" s="19"/>
      <c r="H1544" s="19"/>
      <c r="I1544" s="19"/>
    </row>
    <row r="1545" ht="56.25" customHeight="1">
      <c r="A1545" s="21" t="s">
        <v>4085</v>
      </c>
      <c r="B1545" s="19" t="str">
        <f>image("https://storage.googleapis.com/acdb/photos/BromideNpcNmlCat21_Remake_7_0.png")</f>
        <v/>
      </c>
      <c r="C1545" s="21" t="s">
        <v>187</v>
      </c>
      <c r="D1545" s="21" t="s">
        <v>51</v>
      </c>
      <c r="E1545" s="21">
        <v>10.0</v>
      </c>
      <c r="F1545" s="21" t="s">
        <v>2289</v>
      </c>
      <c r="G1545" s="19"/>
      <c r="H1545" s="19"/>
      <c r="I1545" s="19"/>
    </row>
    <row r="1546" ht="56.25" customHeight="1">
      <c r="A1546" s="21" t="s">
        <v>4094</v>
      </c>
      <c r="B1546" s="19" t="str">
        <f>image("https://storage.googleapis.com/acdb/photos/BromideNpcNmlPbr08_Remake_0_0.png")</f>
        <v/>
      </c>
      <c r="C1546" s="21" t="s">
        <v>219</v>
      </c>
      <c r="D1546" s="21" t="s">
        <v>51</v>
      </c>
      <c r="E1546" s="21">
        <v>10.0</v>
      </c>
      <c r="F1546" s="21" t="s">
        <v>2289</v>
      </c>
      <c r="G1546" s="19"/>
      <c r="H1546" s="19"/>
      <c r="I1546" s="19"/>
    </row>
    <row r="1547" ht="56.25" customHeight="1">
      <c r="A1547" s="21" t="s">
        <v>4094</v>
      </c>
      <c r="B1547" s="19" t="str">
        <f>image("https://storage.googleapis.com/acdb/photos/BromideNpcNmlPbr08_Remake_1_0.png")</f>
        <v/>
      </c>
      <c r="C1547" s="21" t="s">
        <v>795</v>
      </c>
      <c r="D1547" s="21" t="s">
        <v>51</v>
      </c>
      <c r="E1547" s="21">
        <v>10.0</v>
      </c>
      <c r="F1547" s="21" t="s">
        <v>2289</v>
      </c>
      <c r="G1547" s="19"/>
      <c r="H1547" s="19"/>
      <c r="I1547" s="19"/>
    </row>
    <row r="1548" ht="56.25" customHeight="1">
      <c r="A1548" s="21" t="s">
        <v>4094</v>
      </c>
      <c r="B1548" s="19" t="str">
        <f>image("https://storage.googleapis.com/acdb/photos/BromideNpcNmlPbr08_Remake_2_0.png")</f>
        <v/>
      </c>
      <c r="C1548" s="21" t="s">
        <v>954</v>
      </c>
      <c r="D1548" s="21" t="s">
        <v>51</v>
      </c>
      <c r="E1548" s="21">
        <v>10.0</v>
      </c>
      <c r="F1548" s="21" t="s">
        <v>2289</v>
      </c>
      <c r="G1548" s="19"/>
      <c r="H1548" s="19"/>
      <c r="I1548" s="19"/>
    </row>
    <row r="1549" ht="56.25" customHeight="1">
      <c r="A1549" s="21" t="s">
        <v>4094</v>
      </c>
      <c r="B1549" s="19" t="str">
        <f>image("https://storage.googleapis.com/acdb/photos/BromideNpcNmlPbr08_Remake_3_0.png")</f>
        <v/>
      </c>
      <c r="C1549" s="21" t="s">
        <v>82</v>
      </c>
      <c r="D1549" s="21" t="s">
        <v>51</v>
      </c>
      <c r="E1549" s="21">
        <v>10.0</v>
      </c>
      <c r="F1549" s="21" t="s">
        <v>2289</v>
      </c>
      <c r="G1549" s="19"/>
      <c r="H1549" s="19"/>
      <c r="I1549" s="19"/>
    </row>
    <row r="1550" ht="56.25" customHeight="1">
      <c r="A1550" s="21" t="s">
        <v>4094</v>
      </c>
      <c r="B1550" s="19" t="str">
        <f>image("https://storage.googleapis.com/acdb/photos/BromideNpcNmlPbr08_Remake_4_0.png")</f>
        <v/>
      </c>
      <c r="C1550" s="21" t="s">
        <v>833</v>
      </c>
      <c r="D1550" s="21" t="s">
        <v>51</v>
      </c>
      <c r="E1550" s="21">
        <v>10.0</v>
      </c>
      <c r="F1550" s="21" t="s">
        <v>2289</v>
      </c>
      <c r="G1550" s="19"/>
      <c r="H1550" s="19"/>
      <c r="I1550" s="19"/>
    </row>
    <row r="1551" ht="56.25" customHeight="1">
      <c r="A1551" s="21" t="s">
        <v>4094</v>
      </c>
      <c r="B1551" s="19" t="str">
        <f>image("https://storage.googleapis.com/acdb/photos/BromideNpcNmlPbr08_Remake_5_0.png")</f>
        <v/>
      </c>
      <c r="C1551" s="21" t="s">
        <v>258</v>
      </c>
      <c r="D1551" s="21" t="s">
        <v>51</v>
      </c>
      <c r="E1551" s="21">
        <v>10.0</v>
      </c>
      <c r="F1551" s="21" t="s">
        <v>2289</v>
      </c>
      <c r="G1551" s="19"/>
      <c r="H1551" s="19"/>
      <c r="I1551" s="19"/>
    </row>
    <row r="1552" ht="56.25" customHeight="1">
      <c r="A1552" s="21" t="s">
        <v>4094</v>
      </c>
      <c r="B1552" s="19" t="str">
        <f>image("https://storage.googleapis.com/acdb/photos/BromideNpcNmlPbr08_Remake_6_0.png")</f>
        <v/>
      </c>
      <c r="C1552" s="21" t="s">
        <v>182</v>
      </c>
      <c r="D1552" s="21" t="s">
        <v>51</v>
      </c>
      <c r="E1552" s="21">
        <v>10.0</v>
      </c>
      <c r="F1552" s="21" t="s">
        <v>2289</v>
      </c>
      <c r="G1552" s="19"/>
      <c r="H1552" s="19"/>
      <c r="I1552" s="19"/>
    </row>
    <row r="1553" ht="56.25" customHeight="1">
      <c r="A1553" s="21" t="s">
        <v>4094</v>
      </c>
      <c r="B1553" s="19" t="str">
        <f>image("https://storage.googleapis.com/acdb/photos/BromideNpcNmlPbr08_Remake_7_0.png")</f>
        <v/>
      </c>
      <c r="C1553" s="21" t="s">
        <v>187</v>
      </c>
      <c r="D1553" s="21" t="s">
        <v>51</v>
      </c>
      <c r="E1553" s="21">
        <v>10.0</v>
      </c>
      <c r="F1553" s="21" t="s">
        <v>2289</v>
      </c>
      <c r="G1553" s="19"/>
      <c r="H1553" s="19"/>
      <c r="I1553" s="19"/>
    </row>
    <row r="1554" ht="56.25" customHeight="1">
      <c r="A1554" s="21" t="s">
        <v>4099</v>
      </c>
      <c r="B1554" s="19" t="str">
        <f>image("https://storage.googleapis.com/acdb/photos/BromideNpcNmlChn13_Remake_0_0.png")</f>
        <v/>
      </c>
      <c r="C1554" s="21" t="s">
        <v>219</v>
      </c>
      <c r="D1554" s="21" t="s">
        <v>51</v>
      </c>
      <c r="E1554" s="21">
        <v>10.0</v>
      </c>
      <c r="F1554" s="21" t="s">
        <v>2289</v>
      </c>
      <c r="G1554" s="19"/>
      <c r="H1554" s="19"/>
      <c r="I1554" s="19"/>
    </row>
    <row r="1555" ht="56.25" customHeight="1">
      <c r="A1555" s="21" t="s">
        <v>4099</v>
      </c>
      <c r="B1555" s="19" t="str">
        <f>image("https://storage.googleapis.com/acdb/photos/BromideNpcNmlChn13_Remake_1_0.png")</f>
        <v/>
      </c>
      <c r="C1555" s="21" t="s">
        <v>795</v>
      </c>
      <c r="D1555" s="21" t="s">
        <v>51</v>
      </c>
      <c r="E1555" s="21">
        <v>10.0</v>
      </c>
      <c r="F1555" s="21" t="s">
        <v>2289</v>
      </c>
      <c r="G1555" s="19"/>
      <c r="H1555" s="19"/>
      <c r="I1555" s="19"/>
    </row>
    <row r="1556" ht="56.25" customHeight="1">
      <c r="A1556" s="21" t="s">
        <v>4099</v>
      </c>
      <c r="B1556" s="19" t="str">
        <f>image("https://storage.googleapis.com/acdb/photos/BromideNpcNmlChn13_Remake_2_0.png")</f>
        <v/>
      </c>
      <c r="C1556" s="21" t="s">
        <v>954</v>
      </c>
      <c r="D1556" s="21" t="s">
        <v>51</v>
      </c>
      <c r="E1556" s="21">
        <v>10.0</v>
      </c>
      <c r="F1556" s="21" t="s">
        <v>2289</v>
      </c>
      <c r="G1556" s="19"/>
      <c r="H1556" s="19"/>
      <c r="I1556" s="19"/>
    </row>
    <row r="1557" ht="56.25" customHeight="1">
      <c r="A1557" s="21" t="s">
        <v>4099</v>
      </c>
      <c r="B1557" s="19" t="str">
        <f>image("https://storage.googleapis.com/acdb/photos/BromideNpcNmlChn13_Remake_3_0.png")</f>
        <v/>
      </c>
      <c r="C1557" s="21" t="s">
        <v>82</v>
      </c>
      <c r="D1557" s="21" t="s">
        <v>51</v>
      </c>
      <c r="E1557" s="21">
        <v>10.0</v>
      </c>
      <c r="F1557" s="21" t="s">
        <v>2289</v>
      </c>
      <c r="G1557" s="19"/>
      <c r="H1557" s="19"/>
      <c r="I1557" s="19"/>
    </row>
    <row r="1558" ht="56.25" customHeight="1">
      <c r="A1558" s="21" t="s">
        <v>4099</v>
      </c>
      <c r="B1558" s="19" t="str">
        <f>image("https://storage.googleapis.com/acdb/photos/BromideNpcNmlChn13_Remake_4_0.png")</f>
        <v/>
      </c>
      <c r="C1558" s="21" t="s">
        <v>833</v>
      </c>
      <c r="D1558" s="21" t="s">
        <v>51</v>
      </c>
      <c r="E1558" s="21">
        <v>10.0</v>
      </c>
      <c r="F1558" s="21" t="s">
        <v>2289</v>
      </c>
      <c r="G1558" s="19"/>
      <c r="H1558" s="19"/>
      <c r="I1558" s="19"/>
    </row>
    <row r="1559" ht="56.25" customHeight="1">
      <c r="A1559" s="21" t="s">
        <v>4099</v>
      </c>
      <c r="B1559" s="19" t="str">
        <f>image("https://storage.googleapis.com/acdb/photos/BromideNpcNmlChn13_Remake_5_0.png")</f>
        <v/>
      </c>
      <c r="C1559" s="21" t="s">
        <v>258</v>
      </c>
      <c r="D1559" s="21" t="s">
        <v>51</v>
      </c>
      <c r="E1559" s="21">
        <v>10.0</v>
      </c>
      <c r="F1559" s="21" t="s">
        <v>2289</v>
      </c>
      <c r="G1559" s="19"/>
      <c r="H1559" s="19"/>
      <c r="I1559" s="19"/>
    </row>
    <row r="1560" ht="56.25" customHeight="1">
      <c r="A1560" s="21" t="s">
        <v>4099</v>
      </c>
      <c r="B1560" s="19" t="str">
        <f>image("https://storage.googleapis.com/acdb/photos/BromideNpcNmlChn13_Remake_6_0.png")</f>
        <v/>
      </c>
      <c r="C1560" s="21" t="s">
        <v>182</v>
      </c>
      <c r="D1560" s="21" t="s">
        <v>51</v>
      </c>
      <c r="E1560" s="21">
        <v>10.0</v>
      </c>
      <c r="F1560" s="21" t="s">
        <v>2289</v>
      </c>
      <c r="G1560" s="19"/>
      <c r="H1560" s="19"/>
      <c r="I1560" s="19"/>
    </row>
    <row r="1561" ht="56.25" customHeight="1">
      <c r="A1561" s="21" t="s">
        <v>4099</v>
      </c>
      <c r="B1561" s="19" t="str">
        <f>image("https://storage.googleapis.com/acdb/photos/BromideNpcNmlChn13_Remake_7_0.png")</f>
        <v/>
      </c>
      <c r="C1561" s="21" t="s">
        <v>187</v>
      </c>
      <c r="D1561" s="21" t="s">
        <v>51</v>
      </c>
      <c r="E1561" s="21">
        <v>10.0</v>
      </c>
      <c r="F1561" s="21" t="s">
        <v>2289</v>
      </c>
      <c r="G1561" s="19"/>
      <c r="H1561" s="19"/>
      <c r="I1561" s="19"/>
    </row>
    <row r="1562" ht="56.25" customHeight="1">
      <c r="A1562" s="21" t="s">
        <v>4105</v>
      </c>
      <c r="B1562" s="19" t="str">
        <f>image("https://storage.googleapis.com/acdb/photos/BromideNpcNmlDuk13_Remake_0_0.png")</f>
        <v/>
      </c>
      <c r="C1562" s="21" t="s">
        <v>219</v>
      </c>
      <c r="D1562" s="21" t="s">
        <v>51</v>
      </c>
      <c r="E1562" s="21">
        <v>10.0</v>
      </c>
      <c r="F1562" s="21" t="s">
        <v>2289</v>
      </c>
      <c r="G1562" s="19"/>
      <c r="H1562" s="19"/>
      <c r="I1562" s="19"/>
    </row>
    <row r="1563" ht="56.25" customHeight="1">
      <c r="A1563" s="21" t="s">
        <v>4105</v>
      </c>
      <c r="B1563" s="19" t="str">
        <f>image("https://storage.googleapis.com/acdb/photos/BromideNpcNmlDuk13_Remake_1_0.png")</f>
        <v/>
      </c>
      <c r="C1563" s="21" t="s">
        <v>795</v>
      </c>
      <c r="D1563" s="21" t="s">
        <v>51</v>
      </c>
      <c r="E1563" s="21">
        <v>10.0</v>
      </c>
      <c r="F1563" s="21" t="s">
        <v>2289</v>
      </c>
      <c r="G1563" s="19"/>
      <c r="H1563" s="19"/>
      <c r="I1563" s="19"/>
    </row>
    <row r="1564" ht="56.25" customHeight="1">
      <c r="A1564" s="21" t="s">
        <v>4105</v>
      </c>
      <c r="B1564" s="19" t="str">
        <f>image("https://storage.googleapis.com/acdb/photos/BromideNpcNmlDuk13_Remake_2_0.png")</f>
        <v/>
      </c>
      <c r="C1564" s="21" t="s">
        <v>954</v>
      </c>
      <c r="D1564" s="21" t="s">
        <v>51</v>
      </c>
      <c r="E1564" s="21">
        <v>10.0</v>
      </c>
      <c r="F1564" s="21" t="s">
        <v>2289</v>
      </c>
      <c r="G1564" s="19"/>
      <c r="H1564" s="19"/>
      <c r="I1564" s="19"/>
    </row>
    <row r="1565" ht="56.25" customHeight="1">
      <c r="A1565" s="21" t="s">
        <v>4105</v>
      </c>
      <c r="B1565" s="19" t="str">
        <f>image("https://storage.googleapis.com/acdb/photos/BromideNpcNmlDuk13_Remake_3_0.png")</f>
        <v/>
      </c>
      <c r="C1565" s="21" t="s">
        <v>82</v>
      </c>
      <c r="D1565" s="21" t="s">
        <v>51</v>
      </c>
      <c r="E1565" s="21">
        <v>10.0</v>
      </c>
      <c r="F1565" s="21" t="s">
        <v>2289</v>
      </c>
      <c r="G1565" s="19"/>
      <c r="H1565" s="19"/>
      <c r="I1565" s="19"/>
    </row>
    <row r="1566" ht="56.25" customHeight="1">
      <c r="A1566" s="21" t="s">
        <v>4105</v>
      </c>
      <c r="B1566" s="19" t="str">
        <f>image("https://storage.googleapis.com/acdb/photos/BromideNpcNmlDuk13_Remake_4_0.png")</f>
        <v/>
      </c>
      <c r="C1566" s="21" t="s">
        <v>833</v>
      </c>
      <c r="D1566" s="21" t="s">
        <v>51</v>
      </c>
      <c r="E1566" s="21">
        <v>10.0</v>
      </c>
      <c r="F1566" s="21" t="s">
        <v>2289</v>
      </c>
      <c r="G1566" s="19"/>
      <c r="H1566" s="19"/>
      <c r="I1566" s="19"/>
    </row>
    <row r="1567" ht="56.25" customHeight="1">
      <c r="A1567" s="21" t="s">
        <v>4105</v>
      </c>
      <c r="B1567" s="19" t="str">
        <f>image("https://storage.googleapis.com/acdb/photos/BromideNpcNmlDuk13_Remake_5_0.png")</f>
        <v/>
      </c>
      <c r="C1567" s="21" t="s">
        <v>258</v>
      </c>
      <c r="D1567" s="21" t="s">
        <v>51</v>
      </c>
      <c r="E1567" s="21">
        <v>10.0</v>
      </c>
      <c r="F1567" s="21" t="s">
        <v>2289</v>
      </c>
      <c r="G1567" s="19"/>
      <c r="H1567" s="19"/>
      <c r="I1567" s="19"/>
    </row>
    <row r="1568" ht="56.25" customHeight="1">
      <c r="A1568" s="21" t="s">
        <v>4105</v>
      </c>
      <c r="B1568" s="19" t="str">
        <f>image("https://storage.googleapis.com/acdb/photos/BromideNpcNmlDuk13_Remake_6_0.png")</f>
        <v/>
      </c>
      <c r="C1568" s="21" t="s">
        <v>182</v>
      </c>
      <c r="D1568" s="21" t="s">
        <v>51</v>
      </c>
      <c r="E1568" s="21">
        <v>10.0</v>
      </c>
      <c r="F1568" s="21" t="s">
        <v>2289</v>
      </c>
      <c r="G1568" s="19"/>
      <c r="H1568" s="19"/>
      <c r="I1568" s="19"/>
    </row>
    <row r="1569" ht="56.25" customHeight="1">
      <c r="A1569" s="21" t="s">
        <v>4105</v>
      </c>
      <c r="B1569" s="19" t="str">
        <f>image("https://storage.googleapis.com/acdb/photos/BromideNpcNmlDuk13_Remake_7_0.png")</f>
        <v/>
      </c>
      <c r="C1569" s="21" t="s">
        <v>187</v>
      </c>
      <c r="D1569" s="21" t="s">
        <v>51</v>
      </c>
      <c r="E1569" s="21">
        <v>10.0</v>
      </c>
      <c r="F1569" s="21" t="s">
        <v>2289</v>
      </c>
      <c r="G1569" s="19"/>
      <c r="H1569" s="19"/>
      <c r="I1569" s="19"/>
    </row>
    <row r="1570" ht="56.25" customHeight="1">
      <c r="A1570" s="21" t="s">
        <v>4114</v>
      </c>
      <c r="B1570" s="19" t="str">
        <f>image("https://storage.googleapis.com/acdb/photos/BromideNpcNmlPig15_Remake_0_0.png")</f>
        <v/>
      </c>
      <c r="C1570" s="21" t="s">
        <v>219</v>
      </c>
      <c r="D1570" s="21" t="s">
        <v>51</v>
      </c>
      <c r="E1570" s="21">
        <v>10.0</v>
      </c>
      <c r="F1570" s="21" t="s">
        <v>2289</v>
      </c>
      <c r="G1570" s="19"/>
      <c r="H1570" s="19"/>
      <c r="I1570" s="19"/>
    </row>
    <row r="1571" ht="56.25" customHeight="1">
      <c r="A1571" s="21" t="s">
        <v>4114</v>
      </c>
      <c r="B1571" s="19" t="str">
        <f>image("https://storage.googleapis.com/acdb/photos/BromideNpcNmlPig15_Remake_1_0.png")</f>
        <v/>
      </c>
      <c r="C1571" s="21" t="s">
        <v>795</v>
      </c>
      <c r="D1571" s="21" t="s">
        <v>51</v>
      </c>
      <c r="E1571" s="21">
        <v>10.0</v>
      </c>
      <c r="F1571" s="21" t="s">
        <v>2289</v>
      </c>
      <c r="G1571" s="19"/>
      <c r="H1571" s="19"/>
      <c r="I1571" s="19"/>
    </row>
    <row r="1572" ht="56.25" customHeight="1">
      <c r="A1572" s="21" t="s">
        <v>4114</v>
      </c>
      <c r="B1572" s="19" t="str">
        <f>image("https://storage.googleapis.com/acdb/photos/BromideNpcNmlPig15_Remake_2_0.png")</f>
        <v/>
      </c>
      <c r="C1572" s="21" t="s">
        <v>954</v>
      </c>
      <c r="D1572" s="21" t="s">
        <v>51</v>
      </c>
      <c r="E1572" s="21">
        <v>10.0</v>
      </c>
      <c r="F1572" s="21" t="s">
        <v>2289</v>
      </c>
      <c r="G1572" s="19"/>
      <c r="H1572" s="19"/>
      <c r="I1572" s="19"/>
    </row>
    <row r="1573" ht="56.25" customHeight="1">
      <c r="A1573" s="21" t="s">
        <v>4114</v>
      </c>
      <c r="B1573" s="19" t="str">
        <f>image("https://storage.googleapis.com/acdb/photos/BromideNpcNmlPig15_Remake_3_0.png")</f>
        <v/>
      </c>
      <c r="C1573" s="21" t="s">
        <v>82</v>
      </c>
      <c r="D1573" s="21" t="s">
        <v>51</v>
      </c>
      <c r="E1573" s="21">
        <v>10.0</v>
      </c>
      <c r="F1573" s="21" t="s">
        <v>2289</v>
      </c>
      <c r="G1573" s="19"/>
      <c r="H1573" s="19"/>
      <c r="I1573" s="19"/>
    </row>
    <row r="1574" ht="56.25" customHeight="1">
      <c r="A1574" s="21" t="s">
        <v>4114</v>
      </c>
      <c r="B1574" s="19" t="str">
        <f>image("https://storage.googleapis.com/acdb/photos/BromideNpcNmlPig15_Remake_4_0.png")</f>
        <v/>
      </c>
      <c r="C1574" s="21" t="s">
        <v>833</v>
      </c>
      <c r="D1574" s="21" t="s">
        <v>51</v>
      </c>
      <c r="E1574" s="21">
        <v>10.0</v>
      </c>
      <c r="F1574" s="21" t="s">
        <v>2289</v>
      </c>
      <c r="G1574" s="19"/>
      <c r="H1574" s="19"/>
      <c r="I1574" s="19"/>
    </row>
    <row r="1575" ht="56.25" customHeight="1">
      <c r="A1575" s="21" t="s">
        <v>4114</v>
      </c>
      <c r="B1575" s="19" t="str">
        <f>image("https://storage.googleapis.com/acdb/photos/BromideNpcNmlPig15_Remake_5_0.png")</f>
        <v/>
      </c>
      <c r="C1575" s="21" t="s">
        <v>258</v>
      </c>
      <c r="D1575" s="21" t="s">
        <v>51</v>
      </c>
      <c r="E1575" s="21">
        <v>10.0</v>
      </c>
      <c r="F1575" s="21" t="s">
        <v>2289</v>
      </c>
      <c r="G1575" s="19"/>
      <c r="H1575" s="19"/>
      <c r="I1575" s="19"/>
    </row>
    <row r="1576" ht="56.25" customHeight="1">
      <c r="A1576" s="21" t="s">
        <v>4114</v>
      </c>
      <c r="B1576" s="19" t="str">
        <f>image("https://storage.googleapis.com/acdb/photos/BromideNpcNmlPig15_Remake_6_0.png")</f>
        <v/>
      </c>
      <c r="C1576" s="21" t="s">
        <v>182</v>
      </c>
      <c r="D1576" s="21" t="s">
        <v>51</v>
      </c>
      <c r="E1576" s="21">
        <v>10.0</v>
      </c>
      <c r="F1576" s="21" t="s">
        <v>2289</v>
      </c>
      <c r="G1576" s="19"/>
      <c r="H1576" s="19"/>
      <c r="I1576" s="19"/>
    </row>
    <row r="1577" ht="56.25" customHeight="1">
      <c r="A1577" s="21" t="s">
        <v>4114</v>
      </c>
      <c r="B1577" s="19" t="str">
        <f>image("https://storage.googleapis.com/acdb/photos/BromideNpcNmlPig15_Remake_7_0.png")</f>
        <v/>
      </c>
      <c r="C1577" s="21" t="s">
        <v>187</v>
      </c>
      <c r="D1577" s="21" t="s">
        <v>51</v>
      </c>
      <c r="E1577" s="21">
        <v>10.0</v>
      </c>
      <c r="F1577" s="21" t="s">
        <v>2289</v>
      </c>
      <c r="G1577" s="19"/>
      <c r="H1577" s="19"/>
      <c r="I1577" s="19"/>
    </row>
    <row r="1578" ht="56.25" customHeight="1">
      <c r="A1578" s="21" t="s">
        <v>4116</v>
      </c>
      <c r="B1578" s="19" t="str">
        <f>image("https://storage.googleapis.com/acdb/photos/BromideNpcNmlCat10_Remake_0_0.png")</f>
        <v/>
      </c>
      <c r="C1578" s="21" t="s">
        <v>219</v>
      </c>
      <c r="D1578" s="21" t="s">
        <v>51</v>
      </c>
      <c r="E1578" s="21">
        <v>10.0</v>
      </c>
      <c r="F1578" s="21" t="s">
        <v>2289</v>
      </c>
      <c r="G1578" s="19"/>
      <c r="H1578" s="19"/>
      <c r="I1578" s="19"/>
    </row>
    <row r="1579" ht="56.25" customHeight="1">
      <c r="A1579" s="21" t="s">
        <v>4116</v>
      </c>
      <c r="B1579" s="19" t="str">
        <f>image("https://storage.googleapis.com/acdb/photos/BromideNpcNmlCat10_Remake_1_0.png")</f>
        <v/>
      </c>
      <c r="C1579" s="21" t="s">
        <v>795</v>
      </c>
      <c r="D1579" s="21" t="s">
        <v>51</v>
      </c>
      <c r="E1579" s="21">
        <v>10.0</v>
      </c>
      <c r="F1579" s="21" t="s">
        <v>2289</v>
      </c>
      <c r="G1579" s="19"/>
      <c r="H1579" s="19"/>
      <c r="I1579" s="19"/>
    </row>
    <row r="1580" ht="56.25" customHeight="1">
      <c r="A1580" s="21" t="s">
        <v>4116</v>
      </c>
      <c r="B1580" s="19" t="str">
        <f>image("https://storage.googleapis.com/acdb/photos/BromideNpcNmlCat10_Remake_2_0.png")</f>
        <v/>
      </c>
      <c r="C1580" s="21" t="s">
        <v>954</v>
      </c>
      <c r="D1580" s="21" t="s">
        <v>51</v>
      </c>
      <c r="E1580" s="21">
        <v>10.0</v>
      </c>
      <c r="F1580" s="21" t="s">
        <v>2289</v>
      </c>
      <c r="G1580" s="19"/>
      <c r="H1580" s="19"/>
      <c r="I1580" s="19"/>
    </row>
    <row r="1581" ht="56.25" customHeight="1">
      <c r="A1581" s="21" t="s">
        <v>4116</v>
      </c>
      <c r="B1581" s="19" t="str">
        <f>image("https://storage.googleapis.com/acdb/photos/BromideNpcNmlCat10_Remake_3_0.png")</f>
        <v/>
      </c>
      <c r="C1581" s="21" t="s">
        <v>82</v>
      </c>
      <c r="D1581" s="21" t="s">
        <v>51</v>
      </c>
      <c r="E1581" s="21">
        <v>10.0</v>
      </c>
      <c r="F1581" s="21" t="s">
        <v>2289</v>
      </c>
      <c r="G1581" s="19"/>
      <c r="H1581" s="19"/>
      <c r="I1581" s="19"/>
    </row>
    <row r="1582" ht="56.25" customHeight="1">
      <c r="A1582" s="21" t="s">
        <v>4116</v>
      </c>
      <c r="B1582" s="19" t="str">
        <f>image("https://storage.googleapis.com/acdb/photos/BromideNpcNmlCat10_Remake_4_0.png")</f>
        <v/>
      </c>
      <c r="C1582" s="21" t="s">
        <v>833</v>
      </c>
      <c r="D1582" s="21" t="s">
        <v>51</v>
      </c>
      <c r="E1582" s="21">
        <v>10.0</v>
      </c>
      <c r="F1582" s="21" t="s">
        <v>2289</v>
      </c>
      <c r="G1582" s="19"/>
      <c r="H1582" s="19"/>
      <c r="I1582" s="19"/>
    </row>
    <row r="1583" ht="56.25" customHeight="1">
      <c r="A1583" s="21" t="s">
        <v>4116</v>
      </c>
      <c r="B1583" s="19" t="str">
        <f>image("https://storage.googleapis.com/acdb/photos/BromideNpcNmlCat10_Remake_5_0.png")</f>
        <v/>
      </c>
      <c r="C1583" s="21" t="s">
        <v>258</v>
      </c>
      <c r="D1583" s="21" t="s">
        <v>51</v>
      </c>
      <c r="E1583" s="21">
        <v>10.0</v>
      </c>
      <c r="F1583" s="21" t="s">
        <v>2289</v>
      </c>
      <c r="G1583" s="19"/>
      <c r="H1583" s="19"/>
      <c r="I1583" s="19"/>
    </row>
    <row r="1584" ht="56.25" customHeight="1">
      <c r="A1584" s="21" t="s">
        <v>4116</v>
      </c>
      <c r="B1584" s="19" t="str">
        <f>image("https://storage.googleapis.com/acdb/photos/BromideNpcNmlCat10_Remake_6_0.png")</f>
        <v/>
      </c>
      <c r="C1584" s="21" t="s">
        <v>182</v>
      </c>
      <c r="D1584" s="21" t="s">
        <v>51</v>
      </c>
      <c r="E1584" s="21">
        <v>10.0</v>
      </c>
      <c r="F1584" s="21" t="s">
        <v>2289</v>
      </c>
      <c r="G1584" s="19"/>
      <c r="H1584" s="19"/>
      <c r="I1584" s="19"/>
    </row>
    <row r="1585" ht="56.25" customHeight="1">
      <c r="A1585" s="21" t="s">
        <v>4116</v>
      </c>
      <c r="B1585" s="19" t="str">
        <f>image("https://storage.googleapis.com/acdb/photos/BromideNpcNmlCat10_Remake_7_0.png")</f>
        <v/>
      </c>
      <c r="C1585" s="21" t="s">
        <v>187</v>
      </c>
      <c r="D1585" s="21" t="s">
        <v>51</v>
      </c>
      <c r="E1585" s="21">
        <v>10.0</v>
      </c>
      <c r="F1585" s="21" t="s">
        <v>2289</v>
      </c>
      <c r="G1585" s="19"/>
      <c r="H1585" s="19"/>
      <c r="I1585" s="19"/>
    </row>
    <row r="1586" ht="56.25" customHeight="1">
      <c r="A1586" s="21" t="s">
        <v>4119</v>
      </c>
      <c r="B1586" s="19" t="str">
        <f>image("https://storage.googleapis.com/acdb/photos/BromideNpcNmlGoa07_Remake_0_0.png")</f>
        <v/>
      </c>
      <c r="C1586" s="21" t="s">
        <v>219</v>
      </c>
      <c r="D1586" s="21" t="s">
        <v>51</v>
      </c>
      <c r="E1586" s="21">
        <v>10.0</v>
      </c>
      <c r="F1586" s="21" t="s">
        <v>2289</v>
      </c>
      <c r="G1586" s="19"/>
      <c r="H1586" s="19"/>
      <c r="I1586" s="19"/>
    </row>
    <row r="1587" ht="56.25" customHeight="1">
      <c r="A1587" s="21" t="s">
        <v>4119</v>
      </c>
      <c r="B1587" s="19" t="str">
        <f>image("https://storage.googleapis.com/acdb/photos/BromideNpcNmlGoa07_Remake_1_0.png")</f>
        <v/>
      </c>
      <c r="C1587" s="21" t="s">
        <v>795</v>
      </c>
      <c r="D1587" s="21" t="s">
        <v>51</v>
      </c>
      <c r="E1587" s="21">
        <v>10.0</v>
      </c>
      <c r="F1587" s="21" t="s">
        <v>2289</v>
      </c>
      <c r="G1587" s="19"/>
      <c r="H1587" s="19"/>
      <c r="I1587" s="19"/>
    </row>
    <row r="1588" ht="56.25" customHeight="1">
      <c r="A1588" s="21" t="s">
        <v>4119</v>
      </c>
      <c r="B1588" s="19" t="str">
        <f>image("https://storage.googleapis.com/acdb/photos/BromideNpcNmlGoa07_Remake_2_0.png")</f>
        <v/>
      </c>
      <c r="C1588" s="21" t="s">
        <v>954</v>
      </c>
      <c r="D1588" s="21" t="s">
        <v>51</v>
      </c>
      <c r="E1588" s="21">
        <v>10.0</v>
      </c>
      <c r="F1588" s="21" t="s">
        <v>2289</v>
      </c>
      <c r="G1588" s="19"/>
      <c r="H1588" s="19"/>
      <c r="I1588" s="19"/>
    </row>
    <row r="1589" ht="56.25" customHeight="1">
      <c r="A1589" s="21" t="s">
        <v>4119</v>
      </c>
      <c r="B1589" s="19" t="str">
        <f>image("https://storage.googleapis.com/acdb/photos/BromideNpcNmlGoa07_Remake_3_0.png")</f>
        <v/>
      </c>
      <c r="C1589" s="21" t="s">
        <v>82</v>
      </c>
      <c r="D1589" s="21" t="s">
        <v>51</v>
      </c>
      <c r="E1589" s="21">
        <v>10.0</v>
      </c>
      <c r="F1589" s="21" t="s">
        <v>2289</v>
      </c>
      <c r="G1589" s="19"/>
      <c r="H1589" s="19"/>
      <c r="I1589" s="19"/>
    </row>
    <row r="1590" ht="56.25" customHeight="1">
      <c r="A1590" s="21" t="s">
        <v>4119</v>
      </c>
      <c r="B1590" s="19" t="str">
        <f>image("https://storage.googleapis.com/acdb/photos/BromideNpcNmlGoa07_Remake_4_0.png")</f>
        <v/>
      </c>
      <c r="C1590" s="21" t="s">
        <v>833</v>
      </c>
      <c r="D1590" s="21" t="s">
        <v>51</v>
      </c>
      <c r="E1590" s="21">
        <v>10.0</v>
      </c>
      <c r="F1590" s="21" t="s">
        <v>2289</v>
      </c>
      <c r="G1590" s="19"/>
      <c r="H1590" s="19"/>
      <c r="I1590" s="19"/>
    </row>
    <row r="1591" ht="56.25" customHeight="1">
      <c r="A1591" s="21" t="s">
        <v>4119</v>
      </c>
      <c r="B1591" s="19" t="str">
        <f>image("https://storage.googleapis.com/acdb/photos/BromideNpcNmlGoa07_Remake_5_0.png")</f>
        <v/>
      </c>
      <c r="C1591" s="21" t="s">
        <v>258</v>
      </c>
      <c r="D1591" s="21" t="s">
        <v>51</v>
      </c>
      <c r="E1591" s="21">
        <v>10.0</v>
      </c>
      <c r="F1591" s="21" t="s">
        <v>2289</v>
      </c>
      <c r="G1591" s="19"/>
      <c r="H1591" s="19"/>
      <c r="I1591" s="19"/>
    </row>
    <row r="1592" ht="56.25" customHeight="1">
      <c r="A1592" s="21" t="s">
        <v>4119</v>
      </c>
      <c r="B1592" s="19" t="str">
        <f>image("https://storage.googleapis.com/acdb/photos/BromideNpcNmlGoa07_Remake_6_0.png")</f>
        <v/>
      </c>
      <c r="C1592" s="21" t="s">
        <v>182</v>
      </c>
      <c r="D1592" s="21" t="s">
        <v>51</v>
      </c>
      <c r="E1592" s="21">
        <v>10.0</v>
      </c>
      <c r="F1592" s="21" t="s">
        <v>2289</v>
      </c>
      <c r="G1592" s="19"/>
      <c r="H1592" s="19"/>
      <c r="I1592" s="19"/>
    </row>
    <row r="1593" ht="56.25" customHeight="1">
      <c r="A1593" s="21" t="s">
        <v>4119</v>
      </c>
      <c r="B1593" s="19" t="str">
        <f>image("https://storage.googleapis.com/acdb/photos/BromideNpcNmlGoa07_Remake_7_0.png")</f>
        <v/>
      </c>
      <c r="C1593" s="21" t="s">
        <v>187</v>
      </c>
      <c r="D1593" s="21" t="s">
        <v>51</v>
      </c>
      <c r="E1593" s="21">
        <v>10.0</v>
      </c>
      <c r="F1593" s="21" t="s">
        <v>2289</v>
      </c>
      <c r="G1593" s="19"/>
      <c r="H1593" s="19"/>
      <c r="I1593" s="19"/>
    </row>
    <row r="1594" ht="56.25" customHeight="1">
      <c r="A1594" s="21" t="s">
        <v>4124</v>
      </c>
      <c r="B1594" s="19" t="str">
        <f>image("https://storage.googleapis.com/acdb/photos/BromideNpcNmlCat04_Remake_0_0.png")</f>
        <v/>
      </c>
      <c r="C1594" s="21" t="s">
        <v>219</v>
      </c>
      <c r="D1594" s="21" t="s">
        <v>51</v>
      </c>
      <c r="E1594" s="21">
        <v>10.0</v>
      </c>
      <c r="F1594" s="21" t="s">
        <v>2289</v>
      </c>
      <c r="G1594" s="19"/>
      <c r="H1594" s="19"/>
      <c r="I1594" s="19"/>
    </row>
    <row r="1595" ht="56.25" customHeight="1">
      <c r="A1595" s="21" t="s">
        <v>4124</v>
      </c>
      <c r="B1595" s="19" t="str">
        <f>image("https://storage.googleapis.com/acdb/photos/BromideNpcNmlCat04_Remake_1_0.png")</f>
        <v/>
      </c>
      <c r="C1595" s="21" t="s">
        <v>795</v>
      </c>
      <c r="D1595" s="21" t="s">
        <v>51</v>
      </c>
      <c r="E1595" s="21">
        <v>10.0</v>
      </c>
      <c r="F1595" s="21" t="s">
        <v>2289</v>
      </c>
      <c r="G1595" s="19"/>
      <c r="H1595" s="19"/>
      <c r="I1595" s="19"/>
    </row>
    <row r="1596" ht="56.25" customHeight="1">
      <c r="A1596" s="21" t="s">
        <v>4124</v>
      </c>
      <c r="B1596" s="19" t="str">
        <f>image("https://storage.googleapis.com/acdb/photos/BromideNpcNmlCat04_Remake_2_0.png")</f>
        <v/>
      </c>
      <c r="C1596" s="21" t="s">
        <v>954</v>
      </c>
      <c r="D1596" s="21" t="s">
        <v>51</v>
      </c>
      <c r="E1596" s="21">
        <v>10.0</v>
      </c>
      <c r="F1596" s="21" t="s">
        <v>2289</v>
      </c>
      <c r="G1596" s="19"/>
      <c r="H1596" s="19"/>
      <c r="I1596" s="19"/>
    </row>
    <row r="1597" ht="56.25" customHeight="1">
      <c r="A1597" s="21" t="s">
        <v>4124</v>
      </c>
      <c r="B1597" s="19" t="str">
        <f>image("https://storage.googleapis.com/acdb/photos/BromideNpcNmlCat04_Remake_3_0.png")</f>
        <v/>
      </c>
      <c r="C1597" s="21" t="s">
        <v>82</v>
      </c>
      <c r="D1597" s="21" t="s">
        <v>51</v>
      </c>
      <c r="E1597" s="21">
        <v>10.0</v>
      </c>
      <c r="F1597" s="21" t="s">
        <v>2289</v>
      </c>
      <c r="G1597" s="19"/>
      <c r="H1597" s="19"/>
      <c r="I1597" s="19"/>
    </row>
    <row r="1598" ht="56.25" customHeight="1">
      <c r="A1598" s="21" t="s">
        <v>4124</v>
      </c>
      <c r="B1598" s="19" t="str">
        <f>image("https://storage.googleapis.com/acdb/photos/BromideNpcNmlCat04_Remake_4_0.png")</f>
        <v/>
      </c>
      <c r="C1598" s="21" t="s">
        <v>833</v>
      </c>
      <c r="D1598" s="21" t="s">
        <v>51</v>
      </c>
      <c r="E1598" s="21">
        <v>10.0</v>
      </c>
      <c r="F1598" s="21" t="s">
        <v>2289</v>
      </c>
      <c r="G1598" s="19"/>
      <c r="H1598" s="19"/>
      <c r="I1598" s="19"/>
    </row>
    <row r="1599" ht="56.25" customHeight="1">
      <c r="A1599" s="21" t="s">
        <v>4124</v>
      </c>
      <c r="B1599" s="19" t="str">
        <f>image("https://storage.googleapis.com/acdb/photos/BromideNpcNmlCat04_Remake_5_0.png")</f>
        <v/>
      </c>
      <c r="C1599" s="21" t="s">
        <v>258</v>
      </c>
      <c r="D1599" s="21" t="s">
        <v>51</v>
      </c>
      <c r="E1599" s="21">
        <v>10.0</v>
      </c>
      <c r="F1599" s="21" t="s">
        <v>2289</v>
      </c>
      <c r="G1599" s="19"/>
      <c r="H1599" s="19"/>
      <c r="I1599" s="19"/>
    </row>
    <row r="1600" ht="56.25" customHeight="1">
      <c r="A1600" s="21" t="s">
        <v>4124</v>
      </c>
      <c r="B1600" s="19" t="str">
        <f>image("https://storage.googleapis.com/acdb/photos/BromideNpcNmlCat04_Remake_6_0.png")</f>
        <v/>
      </c>
      <c r="C1600" s="21" t="s">
        <v>182</v>
      </c>
      <c r="D1600" s="21" t="s">
        <v>51</v>
      </c>
      <c r="E1600" s="21">
        <v>10.0</v>
      </c>
      <c r="F1600" s="21" t="s">
        <v>2289</v>
      </c>
      <c r="G1600" s="19"/>
      <c r="H1600" s="19"/>
      <c r="I1600" s="19"/>
    </row>
    <row r="1601" ht="56.25" customHeight="1">
      <c r="A1601" s="21" t="s">
        <v>4124</v>
      </c>
      <c r="B1601" s="19" t="str">
        <f>image("https://storage.googleapis.com/acdb/photos/BromideNpcNmlCat04_Remake_7_0.png")</f>
        <v/>
      </c>
      <c r="C1601" s="21" t="s">
        <v>187</v>
      </c>
      <c r="D1601" s="21" t="s">
        <v>51</v>
      </c>
      <c r="E1601" s="21">
        <v>10.0</v>
      </c>
      <c r="F1601" s="21" t="s">
        <v>2289</v>
      </c>
      <c r="G1601" s="19"/>
      <c r="H1601" s="19"/>
      <c r="I1601" s="19"/>
    </row>
    <row r="1602" ht="56.25" customHeight="1">
      <c r="A1602" s="21" t="s">
        <v>4130</v>
      </c>
      <c r="B1602" s="19" t="str">
        <f>image("https://storage.googleapis.com/acdb/photos/BromideNpcNmlKgr00_Remake_0_0.png")</f>
        <v/>
      </c>
      <c r="C1602" s="21" t="s">
        <v>219</v>
      </c>
      <c r="D1602" s="21" t="s">
        <v>51</v>
      </c>
      <c r="E1602" s="21">
        <v>10.0</v>
      </c>
      <c r="F1602" s="21" t="s">
        <v>2289</v>
      </c>
      <c r="G1602" s="19"/>
      <c r="H1602" s="19"/>
      <c r="I1602" s="19"/>
    </row>
    <row r="1603" ht="56.25" customHeight="1">
      <c r="A1603" s="21" t="s">
        <v>4130</v>
      </c>
      <c r="B1603" s="19" t="str">
        <f>image("https://storage.googleapis.com/acdb/photos/BromideNpcNmlKgr00_Remake_1_0.png")</f>
        <v/>
      </c>
      <c r="C1603" s="21" t="s">
        <v>795</v>
      </c>
      <c r="D1603" s="21" t="s">
        <v>51</v>
      </c>
      <c r="E1603" s="21">
        <v>10.0</v>
      </c>
      <c r="F1603" s="21" t="s">
        <v>2289</v>
      </c>
      <c r="G1603" s="19"/>
      <c r="H1603" s="19"/>
      <c r="I1603" s="19"/>
    </row>
    <row r="1604" ht="56.25" customHeight="1">
      <c r="A1604" s="21" t="s">
        <v>4130</v>
      </c>
      <c r="B1604" s="19" t="str">
        <f>image("https://storage.googleapis.com/acdb/photos/BromideNpcNmlKgr00_Remake_2_0.png")</f>
        <v/>
      </c>
      <c r="C1604" s="21" t="s">
        <v>954</v>
      </c>
      <c r="D1604" s="21" t="s">
        <v>51</v>
      </c>
      <c r="E1604" s="21">
        <v>10.0</v>
      </c>
      <c r="F1604" s="21" t="s">
        <v>2289</v>
      </c>
      <c r="G1604" s="19"/>
      <c r="H1604" s="19"/>
      <c r="I1604" s="19"/>
    </row>
    <row r="1605" ht="56.25" customHeight="1">
      <c r="A1605" s="21" t="s">
        <v>4130</v>
      </c>
      <c r="B1605" s="19" t="str">
        <f>image("https://storage.googleapis.com/acdb/photos/BromideNpcNmlKgr00_Remake_3_0.png")</f>
        <v/>
      </c>
      <c r="C1605" s="21" t="s">
        <v>82</v>
      </c>
      <c r="D1605" s="21" t="s">
        <v>51</v>
      </c>
      <c r="E1605" s="21">
        <v>10.0</v>
      </c>
      <c r="F1605" s="21" t="s">
        <v>2289</v>
      </c>
      <c r="G1605" s="19"/>
      <c r="H1605" s="19"/>
      <c r="I1605" s="19"/>
    </row>
    <row r="1606" ht="56.25" customHeight="1">
      <c r="A1606" s="21" t="s">
        <v>4130</v>
      </c>
      <c r="B1606" s="19" t="str">
        <f>image("https://storage.googleapis.com/acdb/photos/BromideNpcNmlKgr00_Remake_4_0.png")</f>
        <v/>
      </c>
      <c r="C1606" s="21" t="s">
        <v>833</v>
      </c>
      <c r="D1606" s="21" t="s">
        <v>51</v>
      </c>
      <c r="E1606" s="21">
        <v>10.0</v>
      </c>
      <c r="F1606" s="21" t="s">
        <v>2289</v>
      </c>
      <c r="G1606" s="19"/>
      <c r="H1606" s="19"/>
      <c r="I1606" s="19"/>
    </row>
    <row r="1607" ht="56.25" customHeight="1">
      <c r="A1607" s="21" t="s">
        <v>4130</v>
      </c>
      <c r="B1607" s="19" t="str">
        <f>image("https://storage.googleapis.com/acdb/photos/BromideNpcNmlKgr00_Remake_5_0.png")</f>
        <v/>
      </c>
      <c r="C1607" s="21" t="s">
        <v>258</v>
      </c>
      <c r="D1607" s="21" t="s">
        <v>51</v>
      </c>
      <c r="E1607" s="21">
        <v>10.0</v>
      </c>
      <c r="F1607" s="21" t="s">
        <v>2289</v>
      </c>
      <c r="G1607" s="19"/>
      <c r="H1607" s="19"/>
      <c r="I1607" s="19"/>
    </row>
    <row r="1608" ht="56.25" customHeight="1">
      <c r="A1608" s="21" t="s">
        <v>4130</v>
      </c>
      <c r="B1608" s="19" t="str">
        <f>image("https://storage.googleapis.com/acdb/photos/BromideNpcNmlKgr00_Remake_6_0.png")</f>
        <v/>
      </c>
      <c r="C1608" s="21" t="s">
        <v>182</v>
      </c>
      <c r="D1608" s="21" t="s">
        <v>51</v>
      </c>
      <c r="E1608" s="21">
        <v>10.0</v>
      </c>
      <c r="F1608" s="21" t="s">
        <v>2289</v>
      </c>
      <c r="G1608" s="19"/>
      <c r="H1608" s="19"/>
      <c r="I1608" s="19"/>
    </row>
    <row r="1609" ht="56.25" customHeight="1">
      <c r="A1609" s="21" t="s">
        <v>4130</v>
      </c>
      <c r="B1609" s="19" t="str">
        <f>image("https://storage.googleapis.com/acdb/photos/BromideNpcNmlKgr00_Remake_7_0.png")</f>
        <v/>
      </c>
      <c r="C1609" s="21" t="s">
        <v>187</v>
      </c>
      <c r="D1609" s="21" t="s">
        <v>51</v>
      </c>
      <c r="E1609" s="21">
        <v>10.0</v>
      </c>
      <c r="F1609" s="21" t="s">
        <v>2289</v>
      </c>
      <c r="G1609" s="19"/>
      <c r="H1609" s="19"/>
      <c r="I1609" s="19"/>
    </row>
    <row r="1610" ht="56.25" customHeight="1">
      <c r="A1610" s="21" t="s">
        <v>4137</v>
      </c>
      <c r="B1610" s="19" t="str">
        <f>image("https://storage.googleapis.com/acdb/photos/BromideNpcNmlCat14_Remake_0_0.png")</f>
        <v/>
      </c>
      <c r="C1610" s="21" t="s">
        <v>219</v>
      </c>
      <c r="D1610" s="21" t="s">
        <v>51</v>
      </c>
      <c r="E1610" s="21">
        <v>10.0</v>
      </c>
      <c r="F1610" s="21" t="s">
        <v>2289</v>
      </c>
      <c r="G1610" s="19"/>
      <c r="H1610" s="19"/>
      <c r="I1610" s="19"/>
    </row>
    <row r="1611" ht="56.25" customHeight="1">
      <c r="A1611" s="21" t="s">
        <v>4137</v>
      </c>
      <c r="B1611" s="19" t="str">
        <f>image("https://storage.googleapis.com/acdb/photos/BromideNpcNmlCat14_Remake_1_0.png")</f>
        <v/>
      </c>
      <c r="C1611" s="21" t="s">
        <v>795</v>
      </c>
      <c r="D1611" s="21" t="s">
        <v>51</v>
      </c>
      <c r="E1611" s="21">
        <v>10.0</v>
      </c>
      <c r="F1611" s="21" t="s">
        <v>2289</v>
      </c>
      <c r="G1611" s="19"/>
      <c r="H1611" s="19"/>
      <c r="I1611" s="19"/>
    </row>
    <row r="1612" ht="56.25" customHeight="1">
      <c r="A1612" s="21" t="s">
        <v>4137</v>
      </c>
      <c r="B1612" s="19" t="str">
        <f>image("https://storage.googleapis.com/acdb/photos/BromideNpcNmlCat14_Remake_2_0.png")</f>
        <v/>
      </c>
      <c r="C1612" s="21" t="s">
        <v>954</v>
      </c>
      <c r="D1612" s="21" t="s">
        <v>51</v>
      </c>
      <c r="E1612" s="21">
        <v>10.0</v>
      </c>
      <c r="F1612" s="21" t="s">
        <v>2289</v>
      </c>
      <c r="G1612" s="19"/>
      <c r="H1612" s="19"/>
      <c r="I1612" s="19"/>
    </row>
    <row r="1613" ht="56.25" customHeight="1">
      <c r="A1613" s="21" t="s">
        <v>4137</v>
      </c>
      <c r="B1613" s="19" t="str">
        <f>image("https://storage.googleapis.com/acdb/photos/BromideNpcNmlCat14_Remake_3_0.png")</f>
        <v/>
      </c>
      <c r="C1613" s="21" t="s">
        <v>82</v>
      </c>
      <c r="D1613" s="21" t="s">
        <v>51</v>
      </c>
      <c r="E1613" s="21">
        <v>10.0</v>
      </c>
      <c r="F1613" s="21" t="s">
        <v>2289</v>
      </c>
      <c r="G1613" s="19"/>
      <c r="H1613" s="19"/>
      <c r="I1613" s="19"/>
    </row>
    <row r="1614" ht="56.25" customHeight="1">
      <c r="A1614" s="21" t="s">
        <v>4137</v>
      </c>
      <c r="B1614" s="19" t="str">
        <f>image("https://storage.googleapis.com/acdb/photos/BromideNpcNmlCat14_Remake_4_0.png")</f>
        <v/>
      </c>
      <c r="C1614" s="21" t="s">
        <v>833</v>
      </c>
      <c r="D1614" s="21" t="s">
        <v>51</v>
      </c>
      <c r="E1614" s="21">
        <v>10.0</v>
      </c>
      <c r="F1614" s="21" t="s">
        <v>2289</v>
      </c>
      <c r="G1614" s="19"/>
      <c r="H1614" s="19"/>
      <c r="I1614" s="19"/>
    </row>
    <row r="1615" ht="56.25" customHeight="1">
      <c r="A1615" s="21" t="s">
        <v>4137</v>
      </c>
      <c r="B1615" s="19" t="str">
        <f>image("https://storage.googleapis.com/acdb/photos/BromideNpcNmlCat14_Remake_5_0.png")</f>
        <v/>
      </c>
      <c r="C1615" s="21" t="s">
        <v>258</v>
      </c>
      <c r="D1615" s="21" t="s">
        <v>51</v>
      </c>
      <c r="E1615" s="21">
        <v>10.0</v>
      </c>
      <c r="F1615" s="21" t="s">
        <v>2289</v>
      </c>
      <c r="G1615" s="19"/>
      <c r="H1615" s="19"/>
      <c r="I1615" s="19"/>
    </row>
    <row r="1616" ht="56.25" customHeight="1">
      <c r="A1616" s="21" t="s">
        <v>4137</v>
      </c>
      <c r="B1616" s="19" t="str">
        <f>image("https://storage.googleapis.com/acdb/photos/BromideNpcNmlCat14_Remake_6_0.png")</f>
        <v/>
      </c>
      <c r="C1616" s="21" t="s">
        <v>182</v>
      </c>
      <c r="D1616" s="21" t="s">
        <v>51</v>
      </c>
      <c r="E1616" s="21">
        <v>10.0</v>
      </c>
      <c r="F1616" s="21" t="s">
        <v>2289</v>
      </c>
      <c r="G1616" s="19"/>
      <c r="H1616" s="19"/>
      <c r="I1616" s="19"/>
    </row>
    <row r="1617" ht="56.25" customHeight="1">
      <c r="A1617" s="21" t="s">
        <v>4137</v>
      </c>
      <c r="B1617" s="19" t="str">
        <f>image("https://storage.googleapis.com/acdb/photos/BromideNpcNmlCat14_Remake_7_0.png")</f>
        <v/>
      </c>
      <c r="C1617" s="21" t="s">
        <v>187</v>
      </c>
      <c r="D1617" s="21" t="s">
        <v>51</v>
      </c>
      <c r="E1617" s="21">
        <v>10.0</v>
      </c>
      <c r="F1617" s="21" t="s">
        <v>2289</v>
      </c>
      <c r="G1617" s="19"/>
      <c r="H1617" s="19"/>
      <c r="I1617" s="19"/>
    </row>
    <row r="1618" ht="56.25" customHeight="1">
      <c r="A1618" s="21" t="s">
        <v>4142</v>
      </c>
      <c r="B1618" s="19" t="str">
        <f>image("https://storage.googleapis.com/acdb/photos/BromideNpcNmlBea14_Remake_0_0.png")</f>
        <v/>
      </c>
      <c r="C1618" s="21" t="s">
        <v>219</v>
      </c>
      <c r="D1618" s="21" t="s">
        <v>51</v>
      </c>
      <c r="E1618" s="21">
        <v>10.0</v>
      </c>
      <c r="F1618" s="21" t="s">
        <v>2289</v>
      </c>
      <c r="G1618" s="19"/>
      <c r="H1618" s="19"/>
      <c r="I1618" s="19"/>
    </row>
    <row r="1619" ht="56.25" customHeight="1">
      <c r="A1619" s="21" t="s">
        <v>4142</v>
      </c>
      <c r="B1619" s="19" t="str">
        <f>image("https://storage.googleapis.com/acdb/photos/BromideNpcNmlBea14_Remake_1_0.png")</f>
        <v/>
      </c>
      <c r="C1619" s="21" t="s">
        <v>795</v>
      </c>
      <c r="D1619" s="21" t="s">
        <v>51</v>
      </c>
      <c r="E1619" s="21">
        <v>10.0</v>
      </c>
      <c r="F1619" s="21" t="s">
        <v>2289</v>
      </c>
      <c r="G1619" s="19"/>
      <c r="H1619" s="19"/>
      <c r="I1619" s="19"/>
    </row>
    <row r="1620" ht="56.25" customHeight="1">
      <c r="A1620" s="21" t="s">
        <v>4142</v>
      </c>
      <c r="B1620" s="19" t="str">
        <f>image("https://storage.googleapis.com/acdb/photos/BromideNpcNmlBea14_Remake_2_0.png")</f>
        <v/>
      </c>
      <c r="C1620" s="21" t="s">
        <v>954</v>
      </c>
      <c r="D1620" s="21" t="s">
        <v>51</v>
      </c>
      <c r="E1620" s="21">
        <v>10.0</v>
      </c>
      <c r="F1620" s="21" t="s">
        <v>2289</v>
      </c>
      <c r="G1620" s="19"/>
      <c r="H1620" s="19"/>
      <c r="I1620" s="19"/>
    </row>
    <row r="1621" ht="56.25" customHeight="1">
      <c r="A1621" s="21" t="s">
        <v>4142</v>
      </c>
      <c r="B1621" s="19" t="str">
        <f>image("https://storage.googleapis.com/acdb/photos/BromideNpcNmlBea14_Remake_3_0.png")</f>
        <v/>
      </c>
      <c r="C1621" s="21" t="s">
        <v>82</v>
      </c>
      <c r="D1621" s="21" t="s">
        <v>51</v>
      </c>
      <c r="E1621" s="21">
        <v>10.0</v>
      </c>
      <c r="F1621" s="21" t="s">
        <v>2289</v>
      </c>
      <c r="G1621" s="19"/>
      <c r="H1621" s="19"/>
      <c r="I1621" s="19"/>
    </row>
    <row r="1622" ht="56.25" customHeight="1">
      <c r="A1622" s="21" t="s">
        <v>4142</v>
      </c>
      <c r="B1622" s="19" t="str">
        <f>image("https://storage.googleapis.com/acdb/photos/BromideNpcNmlBea14_Remake_4_0.png")</f>
        <v/>
      </c>
      <c r="C1622" s="21" t="s">
        <v>833</v>
      </c>
      <c r="D1622" s="21" t="s">
        <v>51</v>
      </c>
      <c r="E1622" s="21">
        <v>10.0</v>
      </c>
      <c r="F1622" s="21" t="s">
        <v>2289</v>
      </c>
      <c r="G1622" s="19"/>
      <c r="H1622" s="19"/>
      <c r="I1622" s="19"/>
    </row>
    <row r="1623" ht="56.25" customHeight="1">
      <c r="A1623" s="21" t="s">
        <v>4142</v>
      </c>
      <c r="B1623" s="19" t="str">
        <f>image("https://storage.googleapis.com/acdb/photos/BromideNpcNmlBea14_Remake_5_0.png")</f>
        <v/>
      </c>
      <c r="C1623" s="21" t="s">
        <v>258</v>
      </c>
      <c r="D1623" s="21" t="s">
        <v>51</v>
      </c>
      <c r="E1623" s="21">
        <v>10.0</v>
      </c>
      <c r="F1623" s="21" t="s">
        <v>2289</v>
      </c>
      <c r="G1623" s="19"/>
      <c r="H1623" s="19"/>
      <c r="I1623" s="19"/>
    </row>
    <row r="1624" ht="56.25" customHeight="1">
      <c r="A1624" s="21" t="s">
        <v>4142</v>
      </c>
      <c r="B1624" s="19" t="str">
        <f>image("https://storage.googleapis.com/acdb/photos/BromideNpcNmlBea14_Remake_6_0.png")</f>
        <v/>
      </c>
      <c r="C1624" s="21" t="s">
        <v>182</v>
      </c>
      <c r="D1624" s="21" t="s">
        <v>51</v>
      </c>
      <c r="E1624" s="21">
        <v>10.0</v>
      </c>
      <c r="F1624" s="21" t="s">
        <v>2289</v>
      </c>
      <c r="G1624" s="19"/>
      <c r="H1624" s="19"/>
      <c r="I1624" s="19"/>
    </row>
    <row r="1625" ht="56.25" customHeight="1">
      <c r="A1625" s="21" t="s">
        <v>4142</v>
      </c>
      <c r="B1625" s="19" t="str">
        <f>image("https://storage.googleapis.com/acdb/photos/BromideNpcNmlBea14_Remake_7_0.png")</f>
        <v/>
      </c>
      <c r="C1625" s="21" t="s">
        <v>187</v>
      </c>
      <c r="D1625" s="21" t="s">
        <v>51</v>
      </c>
      <c r="E1625" s="21">
        <v>10.0</v>
      </c>
      <c r="F1625" s="21" t="s">
        <v>2289</v>
      </c>
      <c r="G1625" s="19"/>
      <c r="H1625" s="19"/>
      <c r="I1625" s="19"/>
    </row>
    <row r="1626" ht="56.25" customHeight="1">
      <c r="A1626" s="21" t="s">
        <v>4146</v>
      </c>
      <c r="B1626" s="19" t="str">
        <f>image("https://storage.googleapis.com/acdb/photos/BromideNpcNmlChn11_Remake_0_0.png")</f>
        <v/>
      </c>
      <c r="C1626" s="21" t="s">
        <v>219</v>
      </c>
      <c r="D1626" s="21" t="s">
        <v>51</v>
      </c>
      <c r="E1626" s="21">
        <v>10.0</v>
      </c>
      <c r="F1626" s="21" t="s">
        <v>2289</v>
      </c>
      <c r="G1626" s="19"/>
      <c r="H1626" s="19"/>
      <c r="I1626" s="19"/>
    </row>
    <row r="1627" ht="56.25" customHeight="1">
      <c r="A1627" s="21" t="s">
        <v>4146</v>
      </c>
      <c r="B1627" s="19" t="str">
        <f>image("https://storage.googleapis.com/acdb/photos/BromideNpcNmlChn11_Remake_1_0.png")</f>
        <v/>
      </c>
      <c r="C1627" s="21" t="s">
        <v>795</v>
      </c>
      <c r="D1627" s="21" t="s">
        <v>51</v>
      </c>
      <c r="E1627" s="21">
        <v>10.0</v>
      </c>
      <c r="F1627" s="21" t="s">
        <v>2289</v>
      </c>
      <c r="G1627" s="19"/>
      <c r="H1627" s="19"/>
      <c r="I1627" s="19"/>
    </row>
    <row r="1628" ht="56.25" customHeight="1">
      <c r="A1628" s="21" t="s">
        <v>4146</v>
      </c>
      <c r="B1628" s="19" t="str">
        <f>image("https://storage.googleapis.com/acdb/photos/BromideNpcNmlChn11_Remake_2_0.png")</f>
        <v/>
      </c>
      <c r="C1628" s="21" t="s">
        <v>954</v>
      </c>
      <c r="D1628" s="21" t="s">
        <v>51</v>
      </c>
      <c r="E1628" s="21">
        <v>10.0</v>
      </c>
      <c r="F1628" s="21" t="s">
        <v>2289</v>
      </c>
      <c r="G1628" s="19"/>
      <c r="H1628" s="19"/>
      <c r="I1628" s="19"/>
    </row>
    <row r="1629" ht="56.25" customHeight="1">
      <c r="A1629" s="21" t="s">
        <v>4146</v>
      </c>
      <c r="B1629" s="19" t="str">
        <f>image("https://storage.googleapis.com/acdb/photos/BromideNpcNmlChn11_Remake_3_0.png")</f>
        <v/>
      </c>
      <c r="C1629" s="21" t="s">
        <v>82</v>
      </c>
      <c r="D1629" s="21" t="s">
        <v>51</v>
      </c>
      <c r="E1629" s="21">
        <v>10.0</v>
      </c>
      <c r="F1629" s="21" t="s">
        <v>2289</v>
      </c>
      <c r="G1629" s="19"/>
      <c r="H1629" s="19"/>
      <c r="I1629" s="19"/>
    </row>
    <row r="1630" ht="56.25" customHeight="1">
      <c r="A1630" s="21" t="s">
        <v>4146</v>
      </c>
      <c r="B1630" s="19" t="str">
        <f>image("https://storage.googleapis.com/acdb/photos/BromideNpcNmlChn11_Remake_4_0.png")</f>
        <v/>
      </c>
      <c r="C1630" s="21" t="s">
        <v>833</v>
      </c>
      <c r="D1630" s="21" t="s">
        <v>51</v>
      </c>
      <c r="E1630" s="21">
        <v>10.0</v>
      </c>
      <c r="F1630" s="21" t="s">
        <v>2289</v>
      </c>
      <c r="G1630" s="19"/>
      <c r="H1630" s="19"/>
      <c r="I1630" s="19"/>
    </row>
    <row r="1631" ht="56.25" customHeight="1">
      <c r="A1631" s="21" t="s">
        <v>4146</v>
      </c>
      <c r="B1631" s="19" t="str">
        <f>image("https://storage.googleapis.com/acdb/photos/BromideNpcNmlChn11_Remake_5_0.png")</f>
        <v/>
      </c>
      <c r="C1631" s="21" t="s">
        <v>258</v>
      </c>
      <c r="D1631" s="21" t="s">
        <v>51</v>
      </c>
      <c r="E1631" s="21">
        <v>10.0</v>
      </c>
      <c r="F1631" s="21" t="s">
        <v>2289</v>
      </c>
      <c r="G1631" s="19"/>
      <c r="H1631" s="19"/>
      <c r="I1631" s="19"/>
    </row>
    <row r="1632" ht="56.25" customHeight="1">
      <c r="A1632" s="21" t="s">
        <v>4146</v>
      </c>
      <c r="B1632" s="19" t="str">
        <f>image("https://storage.googleapis.com/acdb/photos/BromideNpcNmlChn11_Remake_6_0.png")</f>
        <v/>
      </c>
      <c r="C1632" s="21" t="s">
        <v>182</v>
      </c>
      <c r="D1632" s="21" t="s">
        <v>51</v>
      </c>
      <c r="E1632" s="21">
        <v>10.0</v>
      </c>
      <c r="F1632" s="21" t="s">
        <v>2289</v>
      </c>
      <c r="G1632" s="19"/>
      <c r="H1632" s="19"/>
      <c r="I1632" s="19"/>
    </row>
    <row r="1633" ht="56.25" customHeight="1">
      <c r="A1633" s="21" t="s">
        <v>4146</v>
      </c>
      <c r="B1633" s="19" t="str">
        <f>image("https://storage.googleapis.com/acdb/photos/BromideNpcNmlChn11_Remake_7_0.png")</f>
        <v/>
      </c>
      <c r="C1633" s="21" t="s">
        <v>187</v>
      </c>
      <c r="D1633" s="21" t="s">
        <v>51</v>
      </c>
      <c r="E1633" s="21">
        <v>10.0</v>
      </c>
      <c r="F1633" s="21" t="s">
        <v>2289</v>
      </c>
      <c r="G1633" s="19"/>
      <c r="H1633" s="19"/>
      <c r="I1633" s="19"/>
    </row>
    <row r="1634" ht="56.25" customHeight="1">
      <c r="A1634" s="21" t="s">
        <v>4150</v>
      </c>
      <c r="B1634" s="19" t="str">
        <f>image("https://storage.googleapis.com/acdb/photos/BromideNpcNmlCbr04_Remake_0_0.png")</f>
        <v/>
      </c>
      <c r="C1634" s="21" t="s">
        <v>219</v>
      </c>
      <c r="D1634" s="21" t="s">
        <v>51</v>
      </c>
      <c r="E1634" s="21">
        <v>10.0</v>
      </c>
      <c r="F1634" s="21" t="s">
        <v>2289</v>
      </c>
      <c r="G1634" s="19"/>
      <c r="H1634" s="19"/>
      <c r="I1634" s="19"/>
    </row>
    <row r="1635" ht="56.25" customHeight="1">
      <c r="A1635" s="21" t="s">
        <v>4150</v>
      </c>
      <c r="B1635" s="19" t="str">
        <f>image("https://storage.googleapis.com/acdb/photos/BromideNpcNmlCbr04_Remake_1_0.png")</f>
        <v/>
      </c>
      <c r="C1635" s="21" t="s">
        <v>795</v>
      </c>
      <c r="D1635" s="21" t="s">
        <v>51</v>
      </c>
      <c r="E1635" s="21">
        <v>10.0</v>
      </c>
      <c r="F1635" s="21" t="s">
        <v>2289</v>
      </c>
      <c r="G1635" s="19"/>
      <c r="H1635" s="19"/>
      <c r="I1635" s="19"/>
    </row>
    <row r="1636" ht="56.25" customHeight="1">
      <c r="A1636" s="21" t="s">
        <v>4150</v>
      </c>
      <c r="B1636" s="19" t="str">
        <f>image("https://storage.googleapis.com/acdb/photos/BromideNpcNmlCbr04_Remake_2_0.png")</f>
        <v/>
      </c>
      <c r="C1636" s="21" t="s">
        <v>954</v>
      </c>
      <c r="D1636" s="21" t="s">
        <v>51</v>
      </c>
      <c r="E1636" s="21">
        <v>10.0</v>
      </c>
      <c r="F1636" s="21" t="s">
        <v>2289</v>
      </c>
      <c r="G1636" s="19"/>
      <c r="H1636" s="19"/>
      <c r="I1636" s="19"/>
    </row>
    <row r="1637" ht="56.25" customHeight="1">
      <c r="A1637" s="21" t="s">
        <v>4150</v>
      </c>
      <c r="B1637" s="19" t="str">
        <f>image("https://storage.googleapis.com/acdb/photos/BromideNpcNmlCbr04_Remake_3_0.png")</f>
        <v/>
      </c>
      <c r="C1637" s="21" t="s">
        <v>82</v>
      </c>
      <c r="D1637" s="21" t="s">
        <v>51</v>
      </c>
      <c r="E1637" s="21">
        <v>10.0</v>
      </c>
      <c r="F1637" s="21" t="s">
        <v>2289</v>
      </c>
      <c r="G1637" s="19"/>
      <c r="H1637" s="19"/>
      <c r="I1637" s="19"/>
    </row>
    <row r="1638" ht="56.25" customHeight="1">
      <c r="A1638" s="21" t="s">
        <v>4150</v>
      </c>
      <c r="B1638" s="19" t="str">
        <f>image("https://storage.googleapis.com/acdb/photos/BromideNpcNmlCbr04_Remake_4_0.png")</f>
        <v/>
      </c>
      <c r="C1638" s="21" t="s">
        <v>833</v>
      </c>
      <c r="D1638" s="21" t="s">
        <v>51</v>
      </c>
      <c r="E1638" s="21">
        <v>10.0</v>
      </c>
      <c r="F1638" s="21" t="s">
        <v>2289</v>
      </c>
      <c r="G1638" s="19"/>
      <c r="H1638" s="19"/>
      <c r="I1638" s="19"/>
    </row>
    <row r="1639" ht="56.25" customHeight="1">
      <c r="A1639" s="21" t="s">
        <v>4150</v>
      </c>
      <c r="B1639" s="19" t="str">
        <f>image("https://storage.googleapis.com/acdb/photos/BromideNpcNmlCbr04_Remake_5_0.png")</f>
        <v/>
      </c>
      <c r="C1639" s="21" t="s">
        <v>258</v>
      </c>
      <c r="D1639" s="21" t="s">
        <v>51</v>
      </c>
      <c r="E1639" s="21">
        <v>10.0</v>
      </c>
      <c r="F1639" s="21" t="s">
        <v>2289</v>
      </c>
      <c r="G1639" s="19"/>
      <c r="H1639" s="19"/>
      <c r="I1639" s="19"/>
    </row>
    <row r="1640" ht="56.25" customHeight="1">
      <c r="A1640" s="21" t="s">
        <v>4150</v>
      </c>
      <c r="B1640" s="19" t="str">
        <f>image("https://storage.googleapis.com/acdb/photos/BromideNpcNmlCbr04_Remake_6_0.png")</f>
        <v/>
      </c>
      <c r="C1640" s="21" t="s">
        <v>182</v>
      </c>
      <c r="D1640" s="21" t="s">
        <v>51</v>
      </c>
      <c r="E1640" s="21">
        <v>10.0</v>
      </c>
      <c r="F1640" s="21" t="s">
        <v>2289</v>
      </c>
      <c r="G1640" s="19"/>
      <c r="H1640" s="19"/>
      <c r="I1640" s="19"/>
    </row>
    <row r="1641" ht="56.25" customHeight="1">
      <c r="A1641" s="21" t="s">
        <v>4150</v>
      </c>
      <c r="B1641" s="19" t="str">
        <f>image("https://storage.googleapis.com/acdb/photos/BromideNpcNmlCbr04_Remake_7_0.png")</f>
        <v/>
      </c>
      <c r="C1641" s="21" t="s">
        <v>187</v>
      </c>
      <c r="D1641" s="21" t="s">
        <v>51</v>
      </c>
      <c r="E1641" s="21">
        <v>10.0</v>
      </c>
      <c r="F1641" s="21" t="s">
        <v>2289</v>
      </c>
      <c r="G1641" s="19"/>
      <c r="H1641" s="19"/>
      <c r="I1641" s="19"/>
    </row>
    <row r="1642" ht="56.25" customHeight="1">
      <c r="A1642" s="21" t="s">
        <v>4156</v>
      </c>
      <c r="B1642" s="19" t="str">
        <f>image("https://storage.googleapis.com/acdb/photos/BromideNpcNmlWol10_Remake_0_0.png")</f>
        <v/>
      </c>
      <c r="C1642" s="21" t="s">
        <v>219</v>
      </c>
      <c r="D1642" s="21" t="s">
        <v>51</v>
      </c>
      <c r="E1642" s="21">
        <v>10.0</v>
      </c>
      <c r="F1642" s="21" t="s">
        <v>2289</v>
      </c>
      <c r="G1642" s="19"/>
      <c r="H1642" s="19"/>
      <c r="I1642" s="19"/>
    </row>
    <row r="1643" ht="56.25" customHeight="1">
      <c r="A1643" s="21" t="s">
        <v>4156</v>
      </c>
      <c r="B1643" s="19" t="str">
        <f>image("https://storage.googleapis.com/acdb/photos/BromideNpcNmlWol10_Remake_1_0.png")</f>
        <v/>
      </c>
      <c r="C1643" s="21" t="s">
        <v>795</v>
      </c>
      <c r="D1643" s="21" t="s">
        <v>51</v>
      </c>
      <c r="E1643" s="21">
        <v>10.0</v>
      </c>
      <c r="F1643" s="21" t="s">
        <v>2289</v>
      </c>
      <c r="G1643" s="19"/>
      <c r="H1643" s="19"/>
      <c r="I1643" s="19"/>
    </row>
    <row r="1644" ht="56.25" customHeight="1">
      <c r="A1644" s="21" t="s">
        <v>4156</v>
      </c>
      <c r="B1644" s="19" t="str">
        <f>image("https://storage.googleapis.com/acdb/photos/BromideNpcNmlWol10_Remake_2_0.png")</f>
        <v/>
      </c>
      <c r="C1644" s="21" t="s">
        <v>954</v>
      </c>
      <c r="D1644" s="21" t="s">
        <v>51</v>
      </c>
      <c r="E1644" s="21">
        <v>10.0</v>
      </c>
      <c r="F1644" s="21" t="s">
        <v>2289</v>
      </c>
      <c r="G1644" s="19"/>
      <c r="H1644" s="19"/>
      <c r="I1644" s="19"/>
    </row>
    <row r="1645" ht="56.25" customHeight="1">
      <c r="A1645" s="21" t="s">
        <v>4156</v>
      </c>
      <c r="B1645" s="19" t="str">
        <f>image("https://storage.googleapis.com/acdb/photos/BromideNpcNmlWol10_Remake_3_0.png")</f>
        <v/>
      </c>
      <c r="C1645" s="21" t="s">
        <v>82</v>
      </c>
      <c r="D1645" s="21" t="s">
        <v>51</v>
      </c>
      <c r="E1645" s="21">
        <v>10.0</v>
      </c>
      <c r="F1645" s="21" t="s">
        <v>2289</v>
      </c>
      <c r="G1645" s="19"/>
      <c r="H1645" s="19"/>
      <c r="I1645" s="19"/>
    </row>
    <row r="1646" ht="56.25" customHeight="1">
      <c r="A1646" s="21" t="s">
        <v>4156</v>
      </c>
      <c r="B1646" s="19" t="str">
        <f>image("https://storage.googleapis.com/acdb/photos/BromideNpcNmlWol10_Remake_4_0.png")</f>
        <v/>
      </c>
      <c r="C1646" s="21" t="s">
        <v>833</v>
      </c>
      <c r="D1646" s="21" t="s">
        <v>51</v>
      </c>
      <c r="E1646" s="21">
        <v>10.0</v>
      </c>
      <c r="F1646" s="21" t="s">
        <v>2289</v>
      </c>
      <c r="G1646" s="19"/>
      <c r="H1646" s="19"/>
      <c r="I1646" s="19"/>
    </row>
    <row r="1647" ht="56.25" customHeight="1">
      <c r="A1647" s="21" t="s">
        <v>4156</v>
      </c>
      <c r="B1647" s="19" t="str">
        <f>image("https://storage.googleapis.com/acdb/photos/BromideNpcNmlWol10_Remake_5_0.png")</f>
        <v/>
      </c>
      <c r="C1647" s="21" t="s">
        <v>258</v>
      </c>
      <c r="D1647" s="21" t="s">
        <v>51</v>
      </c>
      <c r="E1647" s="21">
        <v>10.0</v>
      </c>
      <c r="F1647" s="21" t="s">
        <v>2289</v>
      </c>
      <c r="G1647" s="19"/>
      <c r="H1647" s="19"/>
      <c r="I1647" s="19"/>
    </row>
    <row r="1648" ht="56.25" customHeight="1">
      <c r="A1648" s="21" t="s">
        <v>4156</v>
      </c>
      <c r="B1648" s="19" t="str">
        <f>image("https://storage.googleapis.com/acdb/photos/BromideNpcNmlWol10_Remake_6_0.png")</f>
        <v/>
      </c>
      <c r="C1648" s="21" t="s">
        <v>182</v>
      </c>
      <c r="D1648" s="21" t="s">
        <v>51</v>
      </c>
      <c r="E1648" s="21">
        <v>10.0</v>
      </c>
      <c r="F1648" s="21" t="s">
        <v>2289</v>
      </c>
      <c r="G1648" s="19"/>
      <c r="H1648" s="19"/>
      <c r="I1648" s="19"/>
    </row>
    <row r="1649" ht="56.25" customHeight="1">
      <c r="A1649" s="21" t="s">
        <v>4156</v>
      </c>
      <c r="B1649" s="19" t="str">
        <f>image("https://storage.googleapis.com/acdb/photos/BromideNpcNmlWol10_Remake_7_0.png")</f>
        <v/>
      </c>
      <c r="C1649" s="21" t="s">
        <v>187</v>
      </c>
      <c r="D1649" s="21" t="s">
        <v>51</v>
      </c>
      <c r="E1649" s="21">
        <v>10.0</v>
      </c>
      <c r="F1649" s="21" t="s">
        <v>2289</v>
      </c>
      <c r="G1649" s="19"/>
      <c r="H1649" s="19"/>
      <c r="I1649" s="19"/>
    </row>
    <row r="1650" ht="56.25" customHeight="1">
      <c r="A1650" s="21" t="s">
        <v>4159</v>
      </c>
      <c r="B1650" s="19" t="str">
        <f>image("https://storage.googleapis.com/acdb/photos/BromideNpcNmlTig04_Remake_0_0.png")</f>
        <v/>
      </c>
      <c r="C1650" s="21" t="s">
        <v>219</v>
      </c>
      <c r="D1650" s="21" t="s">
        <v>51</v>
      </c>
      <c r="E1650" s="21">
        <v>10.0</v>
      </c>
      <c r="F1650" s="21" t="s">
        <v>2289</v>
      </c>
      <c r="G1650" s="19"/>
      <c r="H1650" s="19"/>
      <c r="I1650" s="19"/>
    </row>
    <row r="1651" ht="56.25" customHeight="1">
      <c r="A1651" s="21" t="s">
        <v>4159</v>
      </c>
      <c r="B1651" s="19" t="str">
        <f>image("https://storage.googleapis.com/acdb/photos/BromideNpcNmlTig04_Remake_1_0.png")</f>
        <v/>
      </c>
      <c r="C1651" s="21" t="s">
        <v>795</v>
      </c>
      <c r="D1651" s="21" t="s">
        <v>51</v>
      </c>
      <c r="E1651" s="21">
        <v>10.0</v>
      </c>
      <c r="F1651" s="21" t="s">
        <v>2289</v>
      </c>
      <c r="G1651" s="19"/>
      <c r="H1651" s="19"/>
      <c r="I1651" s="19"/>
    </row>
    <row r="1652" ht="56.25" customHeight="1">
      <c r="A1652" s="21" t="s">
        <v>4159</v>
      </c>
      <c r="B1652" s="19" t="str">
        <f>image("https://storage.googleapis.com/acdb/photos/BromideNpcNmlTig04_Remake_2_0.png")</f>
        <v/>
      </c>
      <c r="C1652" s="21" t="s">
        <v>954</v>
      </c>
      <c r="D1652" s="21" t="s">
        <v>51</v>
      </c>
      <c r="E1652" s="21">
        <v>10.0</v>
      </c>
      <c r="F1652" s="21" t="s">
        <v>2289</v>
      </c>
      <c r="G1652" s="19"/>
      <c r="H1652" s="19"/>
      <c r="I1652" s="19"/>
    </row>
    <row r="1653" ht="56.25" customHeight="1">
      <c r="A1653" s="21" t="s">
        <v>4159</v>
      </c>
      <c r="B1653" s="19" t="str">
        <f>image("https://storage.googleapis.com/acdb/photos/BromideNpcNmlTig04_Remake_3_0.png")</f>
        <v/>
      </c>
      <c r="C1653" s="21" t="s">
        <v>82</v>
      </c>
      <c r="D1653" s="21" t="s">
        <v>51</v>
      </c>
      <c r="E1653" s="21">
        <v>10.0</v>
      </c>
      <c r="F1653" s="21" t="s">
        <v>2289</v>
      </c>
      <c r="G1653" s="19"/>
      <c r="H1653" s="19"/>
      <c r="I1653" s="19"/>
    </row>
    <row r="1654" ht="56.25" customHeight="1">
      <c r="A1654" s="21" t="s">
        <v>4159</v>
      </c>
      <c r="B1654" s="19" t="str">
        <f>image("https://storage.googleapis.com/acdb/photos/BromideNpcNmlTig04_Remake_4_0.png")</f>
        <v/>
      </c>
      <c r="C1654" s="21" t="s">
        <v>833</v>
      </c>
      <c r="D1654" s="21" t="s">
        <v>51</v>
      </c>
      <c r="E1654" s="21">
        <v>10.0</v>
      </c>
      <c r="F1654" s="21" t="s">
        <v>2289</v>
      </c>
      <c r="G1654" s="19"/>
      <c r="H1654" s="19"/>
      <c r="I1654" s="19"/>
    </row>
    <row r="1655" ht="56.25" customHeight="1">
      <c r="A1655" s="21" t="s">
        <v>4159</v>
      </c>
      <c r="B1655" s="19" t="str">
        <f>image("https://storage.googleapis.com/acdb/photos/BromideNpcNmlTig04_Remake_5_0.png")</f>
        <v/>
      </c>
      <c r="C1655" s="21" t="s">
        <v>258</v>
      </c>
      <c r="D1655" s="21" t="s">
        <v>51</v>
      </c>
      <c r="E1655" s="21">
        <v>10.0</v>
      </c>
      <c r="F1655" s="21" t="s">
        <v>2289</v>
      </c>
      <c r="G1655" s="19"/>
      <c r="H1655" s="19"/>
      <c r="I1655" s="19"/>
    </row>
    <row r="1656" ht="56.25" customHeight="1">
      <c r="A1656" s="21" t="s">
        <v>4159</v>
      </c>
      <c r="B1656" s="19" t="str">
        <f>image("https://storage.googleapis.com/acdb/photos/BromideNpcNmlTig04_Remake_6_0.png")</f>
        <v/>
      </c>
      <c r="C1656" s="21" t="s">
        <v>182</v>
      </c>
      <c r="D1656" s="21" t="s">
        <v>51</v>
      </c>
      <c r="E1656" s="21">
        <v>10.0</v>
      </c>
      <c r="F1656" s="21" t="s">
        <v>2289</v>
      </c>
      <c r="G1656" s="19"/>
      <c r="H1656" s="19"/>
      <c r="I1656" s="19"/>
    </row>
    <row r="1657" ht="56.25" customHeight="1">
      <c r="A1657" s="21" t="s">
        <v>4159</v>
      </c>
      <c r="B1657" s="19" t="str">
        <f>image("https://storage.googleapis.com/acdb/photos/BromideNpcNmlTig04_Remake_7_0.png")</f>
        <v/>
      </c>
      <c r="C1657" s="21" t="s">
        <v>187</v>
      </c>
      <c r="D1657" s="21" t="s">
        <v>51</v>
      </c>
      <c r="E1657" s="21">
        <v>10.0</v>
      </c>
      <c r="F1657" s="21" t="s">
        <v>2289</v>
      </c>
      <c r="G1657" s="19"/>
      <c r="H1657" s="19"/>
      <c r="I1657" s="19"/>
    </row>
    <row r="1658" ht="56.25" customHeight="1">
      <c r="A1658" s="21" t="s">
        <v>4166</v>
      </c>
      <c r="B1658" s="19" t="str">
        <f>image("https://storage.googleapis.com/acdb/photos/BromideNpcNmlLon04_Remake_0_0.png")</f>
        <v/>
      </c>
      <c r="C1658" s="21" t="s">
        <v>219</v>
      </c>
      <c r="D1658" s="21" t="s">
        <v>51</v>
      </c>
      <c r="E1658" s="21">
        <v>10.0</v>
      </c>
      <c r="F1658" s="21" t="s">
        <v>2289</v>
      </c>
      <c r="G1658" s="19"/>
      <c r="H1658" s="19"/>
      <c r="I1658" s="19"/>
    </row>
    <row r="1659" ht="56.25" customHeight="1">
      <c r="A1659" s="21" t="s">
        <v>4166</v>
      </c>
      <c r="B1659" s="19" t="str">
        <f>image("https://storage.googleapis.com/acdb/photos/BromideNpcNmlLon04_Remake_1_0.png")</f>
        <v/>
      </c>
      <c r="C1659" s="21" t="s">
        <v>795</v>
      </c>
      <c r="D1659" s="21" t="s">
        <v>51</v>
      </c>
      <c r="E1659" s="21">
        <v>10.0</v>
      </c>
      <c r="F1659" s="21" t="s">
        <v>2289</v>
      </c>
      <c r="G1659" s="19"/>
      <c r="H1659" s="19"/>
      <c r="I1659" s="19"/>
    </row>
    <row r="1660" ht="56.25" customHeight="1">
      <c r="A1660" s="21" t="s">
        <v>4166</v>
      </c>
      <c r="B1660" s="19" t="str">
        <f>image("https://storage.googleapis.com/acdb/photos/BromideNpcNmlLon04_Remake_2_0.png")</f>
        <v/>
      </c>
      <c r="C1660" s="21" t="s">
        <v>954</v>
      </c>
      <c r="D1660" s="21" t="s">
        <v>51</v>
      </c>
      <c r="E1660" s="21">
        <v>10.0</v>
      </c>
      <c r="F1660" s="21" t="s">
        <v>2289</v>
      </c>
      <c r="G1660" s="19"/>
      <c r="H1660" s="19"/>
      <c r="I1660" s="19"/>
    </row>
    <row r="1661" ht="56.25" customHeight="1">
      <c r="A1661" s="21" t="s">
        <v>4166</v>
      </c>
      <c r="B1661" s="19" t="str">
        <f>image("https://storage.googleapis.com/acdb/photos/BromideNpcNmlLon04_Remake_3_0.png")</f>
        <v/>
      </c>
      <c r="C1661" s="21" t="s">
        <v>82</v>
      </c>
      <c r="D1661" s="21" t="s">
        <v>51</v>
      </c>
      <c r="E1661" s="21">
        <v>10.0</v>
      </c>
      <c r="F1661" s="21" t="s">
        <v>2289</v>
      </c>
      <c r="G1661" s="19"/>
      <c r="H1661" s="19"/>
      <c r="I1661" s="19"/>
    </row>
    <row r="1662" ht="56.25" customHeight="1">
      <c r="A1662" s="21" t="s">
        <v>4166</v>
      </c>
      <c r="B1662" s="19" t="str">
        <f>image("https://storage.googleapis.com/acdb/photos/BromideNpcNmlLon04_Remake_4_0.png")</f>
        <v/>
      </c>
      <c r="C1662" s="21" t="s">
        <v>833</v>
      </c>
      <c r="D1662" s="21" t="s">
        <v>51</v>
      </c>
      <c r="E1662" s="21">
        <v>10.0</v>
      </c>
      <c r="F1662" s="21" t="s">
        <v>2289</v>
      </c>
      <c r="G1662" s="19"/>
      <c r="H1662" s="19"/>
      <c r="I1662" s="19"/>
    </row>
    <row r="1663" ht="56.25" customHeight="1">
      <c r="A1663" s="21" t="s">
        <v>4166</v>
      </c>
      <c r="B1663" s="19" t="str">
        <f>image("https://storage.googleapis.com/acdb/photos/BromideNpcNmlLon04_Remake_5_0.png")</f>
        <v/>
      </c>
      <c r="C1663" s="21" t="s">
        <v>258</v>
      </c>
      <c r="D1663" s="21" t="s">
        <v>51</v>
      </c>
      <c r="E1663" s="21">
        <v>10.0</v>
      </c>
      <c r="F1663" s="21" t="s">
        <v>2289</v>
      </c>
      <c r="G1663" s="19"/>
      <c r="H1663" s="19"/>
      <c r="I1663" s="19"/>
    </row>
    <row r="1664" ht="56.25" customHeight="1">
      <c r="A1664" s="21" t="s">
        <v>4166</v>
      </c>
      <c r="B1664" s="19" t="str">
        <f>image("https://storage.googleapis.com/acdb/photos/BromideNpcNmlLon04_Remake_6_0.png")</f>
        <v/>
      </c>
      <c r="C1664" s="21" t="s">
        <v>182</v>
      </c>
      <c r="D1664" s="21" t="s">
        <v>51</v>
      </c>
      <c r="E1664" s="21">
        <v>10.0</v>
      </c>
      <c r="F1664" s="21" t="s">
        <v>2289</v>
      </c>
      <c r="G1664" s="19"/>
      <c r="H1664" s="19"/>
      <c r="I1664" s="19"/>
    </row>
    <row r="1665" ht="56.25" customHeight="1">
      <c r="A1665" s="21" t="s">
        <v>4166</v>
      </c>
      <c r="B1665" s="19" t="str">
        <f>image("https://storage.googleapis.com/acdb/photos/BromideNpcNmlLon04_Remake_7_0.png")</f>
        <v/>
      </c>
      <c r="C1665" s="21" t="s">
        <v>187</v>
      </c>
      <c r="D1665" s="21" t="s">
        <v>51</v>
      </c>
      <c r="E1665" s="21">
        <v>10.0</v>
      </c>
      <c r="F1665" s="21" t="s">
        <v>2289</v>
      </c>
      <c r="G1665" s="19"/>
      <c r="H1665" s="19"/>
      <c r="I1665" s="19"/>
    </row>
    <row r="1666" ht="56.25" customHeight="1">
      <c r="A1666" s="21" t="s">
        <v>4170</v>
      </c>
      <c r="B1666" s="19" t="str">
        <f>image("https://storage.googleapis.com/acdb/photos/BromideNpcNmlFlg00_Remake_0_0.png")</f>
        <v/>
      </c>
      <c r="C1666" s="21" t="s">
        <v>219</v>
      </c>
      <c r="D1666" s="21" t="s">
        <v>51</v>
      </c>
      <c r="E1666" s="21">
        <v>10.0</v>
      </c>
      <c r="F1666" s="21" t="s">
        <v>2289</v>
      </c>
      <c r="G1666" s="19"/>
      <c r="H1666" s="19"/>
      <c r="I1666" s="19"/>
    </row>
    <row r="1667" ht="56.25" customHeight="1">
      <c r="A1667" s="21" t="s">
        <v>4170</v>
      </c>
      <c r="B1667" s="19" t="str">
        <f>image("https://storage.googleapis.com/acdb/photos/BromideNpcNmlFlg00_Remake_1_0.png")</f>
        <v/>
      </c>
      <c r="C1667" s="21" t="s">
        <v>795</v>
      </c>
      <c r="D1667" s="21" t="s">
        <v>51</v>
      </c>
      <c r="E1667" s="21">
        <v>10.0</v>
      </c>
      <c r="F1667" s="21" t="s">
        <v>2289</v>
      </c>
      <c r="G1667" s="19"/>
      <c r="H1667" s="19"/>
      <c r="I1667" s="19"/>
    </row>
    <row r="1668" ht="56.25" customHeight="1">
      <c r="A1668" s="21" t="s">
        <v>4170</v>
      </c>
      <c r="B1668" s="19" t="str">
        <f>image("https://storage.googleapis.com/acdb/photos/BromideNpcNmlFlg00_Remake_2_0.png")</f>
        <v/>
      </c>
      <c r="C1668" s="21" t="s">
        <v>954</v>
      </c>
      <c r="D1668" s="21" t="s">
        <v>51</v>
      </c>
      <c r="E1668" s="21">
        <v>10.0</v>
      </c>
      <c r="F1668" s="21" t="s">
        <v>2289</v>
      </c>
      <c r="G1668" s="19"/>
      <c r="H1668" s="19"/>
      <c r="I1668" s="19"/>
    </row>
    <row r="1669" ht="56.25" customHeight="1">
      <c r="A1669" s="21" t="s">
        <v>4170</v>
      </c>
      <c r="B1669" s="19" t="str">
        <f>image("https://storage.googleapis.com/acdb/photos/BromideNpcNmlFlg00_Remake_3_0.png")</f>
        <v/>
      </c>
      <c r="C1669" s="21" t="s">
        <v>82</v>
      </c>
      <c r="D1669" s="21" t="s">
        <v>51</v>
      </c>
      <c r="E1669" s="21">
        <v>10.0</v>
      </c>
      <c r="F1669" s="21" t="s">
        <v>2289</v>
      </c>
      <c r="G1669" s="19"/>
      <c r="H1669" s="19"/>
      <c r="I1669" s="19"/>
    </row>
    <row r="1670" ht="56.25" customHeight="1">
      <c r="A1670" s="21" t="s">
        <v>4170</v>
      </c>
      <c r="B1670" s="19" t="str">
        <f>image("https://storage.googleapis.com/acdb/photos/BromideNpcNmlFlg00_Remake_4_0.png")</f>
        <v/>
      </c>
      <c r="C1670" s="21" t="s">
        <v>833</v>
      </c>
      <c r="D1670" s="21" t="s">
        <v>51</v>
      </c>
      <c r="E1670" s="21">
        <v>10.0</v>
      </c>
      <c r="F1670" s="21" t="s">
        <v>2289</v>
      </c>
      <c r="G1670" s="19"/>
      <c r="H1670" s="19"/>
      <c r="I1670" s="19"/>
    </row>
    <row r="1671" ht="56.25" customHeight="1">
      <c r="A1671" s="21" t="s">
        <v>4170</v>
      </c>
      <c r="B1671" s="19" t="str">
        <f>image("https://storage.googleapis.com/acdb/photos/BromideNpcNmlFlg00_Remake_5_0.png")</f>
        <v/>
      </c>
      <c r="C1671" s="21" t="s">
        <v>258</v>
      </c>
      <c r="D1671" s="21" t="s">
        <v>51</v>
      </c>
      <c r="E1671" s="21">
        <v>10.0</v>
      </c>
      <c r="F1671" s="21" t="s">
        <v>2289</v>
      </c>
      <c r="G1671" s="19"/>
      <c r="H1671" s="19"/>
      <c r="I1671" s="19"/>
    </row>
    <row r="1672" ht="56.25" customHeight="1">
      <c r="A1672" s="21" t="s">
        <v>4170</v>
      </c>
      <c r="B1672" s="19" t="str">
        <f>image("https://storage.googleapis.com/acdb/photos/BromideNpcNmlFlg00_Remake_6_0.png")</f>
        <v/>
      </c>
      <c r="C1672" s="21" t="s">
        <v>182</v>
      </c>
      <c r="D1672" s="21" t="s">
        <v>51</v>
      </c>
      <c r="E1672" s="21">
        <v>10.0</v>
      </c>
      <c r="F1672" s="21" t="s">
        <v>2289</v>
      </c>
      <c r="G1672" s="19"/>
      <c r="H1672" s="19"/>
      <c r="I1672" s="19"/>
    </row>
    <row r="1673" ht="56.25" customHeight="1">
      <c r="A1673" s="21" t="s">
        <v>4170</v>
      </c>
      <c r="B1673" s="19" t="str">
        <f>image("https://storage.googleapis.com/acdb/photos/BromideNpcNmlFlg00_Remake_7_0.png")</f>
        <v/>
      </c>
      <c r="C1673" s="21" t="s">
        <v>187</v>
      </c>
      <c r="D1673" s="21" t="s">
        <v>51</v>
      </c>
      <c r="E1673" s="21">
        <v>10.0</v>
      </c>
      <c r="F1673" s="21" t="s">
        <v>2289</v>
      </c>
      <c r="G1673" s="19"/>
      <c r="H1673" s="19"/>
      <c r="I1673" s="19"/>
    </row>
    <row r="1674" ht="56.25" customHeight="1">
      <c r="A1674" s="21" t="s">
        <v>4173</v>
      </c>
      <c r="B1674" s="19" t="str">
        <f>image("https://storage.googleapis.com/acdb/photos/BromideNpcNmlMus01_Remake_0_0.png")</f>
        <v/>
      </c>
      <c r="C1674" s="21" t="s">
        <v>219</v>
      </c>
      <c r="D1674" s="21" t="s">
        <v>51</v>
      </c>
      <c r="E1674" s="21">
        <v>10.0</v>
      </c>
      <c r="F1674" s="21" t="s">
        <v>2289</v>
      </c>
      <c r="G1674" s="19"/>
      <c r="H1674" s="19"/>
      <c r="I1674" s="19"/>
    </row>
    <row r="1675" ht="56.25" customHeight="1">
      <c r="A1675" s="21" t="s">
        <v>4173</v>
      </c>
      <c r="B1675" s="19" t="str">
        <f>image("https://storage.googleapis.com/acdb/photos/BromideNpcNmlMus01_Remake_1_0.png")</f>
        <v/>
      </c>
      <c r="C1675" s="21" t="s">
        <v>795</v>
      </c>
      <c r="D1675" s="21" t="s">
        <v>51</v>
      </c>
      <c r="E1675" s="21">
        <v>10.0</v>
      </c>
      <c r="F1675" s="21" t="s">
        <v>2289</v>
      </c>
      <c r="G1675" s="19"/>
      <c r="H1675" s="19"/>
      <c r="I1675" s="19"/>
    </row>
    <row r="1676" ht="56.25" customHeight="1">
      <c r="A1676" s="21" t="s">
        <v>4173</v>
      </c>
      <c r="B1676" s="19" t="str">
        <f>image("https://storage.googleapis.com/acdb/photos/BromideNpcNmlMus01_Remake_2_0.png")</f>
        <v/>
      </c>
      <c r="C1676" s="21" t="s">
        <v>954</v>
      </c>
      <c r="D1676" s="21" t="s">
        <v>51</v>
      </c>
      <c r="E1676" s="21">
        <v>10.0</v>
      </c>
      <c r="F1676" s="21" t="s">
        <v>2289</v>
      </c>
      <c r="G1676" s="19"/>
      <c r="H1676" s="19"/>
      <c r="I1676" s="19"/>
    </row>
    <row r="1677" ht="56.25" customHeight="1">
      <c r="A1677" s="21" t="s">
        <v>4173</v>
      </c>
      <c r="B1677" s="19" t="str">
        <f>image("https://storage.googleapis.com/acdb/photos/BromideNpcNmlMus01_Remake_3_0.png")</f>
        <v/>
      </c>
      <c r="C1677" s="21" t="s">
        <v>82</v>
      </c>
      <c r="D1677" s="21" t="s">
        <v>51</v>
      </c>
      <c r="E1677" s="21">
        <v>10.0</v>
      </c>
      <c r="F1677" s="21" t="s">
        <v>2289</v>
      </c>
      <c r="G1677" s="19"/>
      <c r="H1677" s="19"/>
      <c r="I1677" s="19"/>
    </row>
    <row r="1678" ht="56.25" customHeight="1">
      <c r="A1678" s="21" t="s">
        <v>4173</v>
      </c>
      <c r="B1678" s="19" t="str">
        <f>image("https://storage.googleapis.com/acdb/photos/BromideNpcNmlMus01_Remake_4_0.png")</f>
        <v/>
      </c>
      <c r="C1678" s="21" t="s">
        <v>833</v>
      </c>
      <c r="D1678" s="21" t="s">
        <v>51</v>
      </c>
      <c r="E1678" s="21">
        <v>10.0</v>
      </c>
      <c r="F1678" s="21" t="s">
        <v>2289</v>
      </c>
      <c r="G1678" s="19"/>
      <c r="H1678" s="19"/>
      <c r="I1678" s="19"/>
    </row>
    <row r="1679" ht="56.25" customHeight="1">
      <c r="A1679" s="21" t="s">
        <v>4173</v>
      </c>
      <c r="B1679" s="19" t="str">
        <f>image("https://storage.googleapis.com/acdb/photos/BromideNpcNmlMus01_Remake_5_0.png")</f>
        <v/>
      </c>
      <c r="C1679" s="21" t="s">
        <v>258</v>
      </c>
      <c r="D1679" s="21" t="s">
        <v>51</v>
      </c>
      <c r="E1679" s="21">
        <v>10.0</v>
      </c>
      <c r="F1679" s="21" t="s">
        <v>2289</v>
      </c>
      <c r="G1679" s="19"/>
      <c r="H1679" s="19"/>
      <c r="I1679" s="19"/>
    </row>
    <row r="1680" ht="56.25" customHeight="1">
      <c r="A1680" s="21" t="s">
        <v>4173</v>
      </c>
      <c r="B1680" s="19" t="str">
        <f>image("https://storage.googleapis.com/acdb/photos/BromideNpcNmlMus01_Remake_6_0.png")</f>
        <v/>
      </c>
      <c r="C1680" s="21" t="s">
        <v>182</v>
      </c>
      <c r="D1680" s="21" t="s">
        <v>51</v>
      </c>
      <c r="E1680" s="21">
        <v>10.0</v>
      </c>
      <c r="F1680" s="21" t="s">
        <v>2289</v>
      </c>
      <c r="G1680" s="19"/>
      <c r="H1680" s="19"/>
      <c r="I1680" s="19"/>
    </row>
    <row r="1681" ht="56.25" customHeight="1">
      <c r="A1681" s="21" t="s">
        <v>4173</v>
      </c>
      <c r="B1681" s="19" t="str">
        <f>image("https://storage.googleapis.com/acdb/photos/BromideNpcNmlMus01_Remake_7_0.png")</f>
        <v/>
      </c>
      <c r="C1681" s="21" t="s">
        <v>187</v>
      </c>
      <c r="D1681" s="21" t="s">
        <v>51</v>
      </c>
      <c r="E1681" s="21">
        <v>10.0</v>
      </c>
      <c r="F1681" s="21" t="s">
        <v>2289</v>
      </c>
      <c r="G1681" s="19"/>
      <c r="H1681" s="19"/>
      <c r="I1681" s="19"/>
    </row>
    <row r="1682" ht="56.25" customHeight="1">
      <c r="A1682" s="21" t="s">
        <v>4178</v>
      </c>
      <c r="B1682" s="19" t="str">
        <f>image("https://storage.googleapis.com/acdb/photos/BromideNpcNmlLon08_Remake_0_0.png")</f>
        <v/>
      </c>
      <c r="C1682" s="21" t="s">
        <v>219</v>
      </c>
      <c r="D1682" s="21" t="s">
        <v>51</v>
      </c>
      <c r="E1682" s="21">
        <v>10.0</v>
      </c>
      <c r="F1682" s="21" t="s">
        <v>2289</v>
      </c>
      <c r="G1682" s="19"/>
      <c r="H1682" s="19"/>
      <c r="I1682" s="19"/>
    </row>
    <row r="1683" ht="56.25" customHeight="1">
      <c r="A1683" s="21" t="s">
        <v>4178</v>
      </c>
      <c r="B1683" s="19" t="str">
        <f>image("https://storage.googleapis.com/acdb/photos/BromideNpcNmlLon08_Remake_1_0.png")</f>
        <v/>
      </c>
      <c r="C1683" s="21" t="s">
        <v>795</v>
      </c>
      <c r="D1683" s="21" t="s">
        <v>51</v>
      </c>
      <c r="E1683" s="21">
        <v>10.0</v>
      </c>
      <c r="F1683" s="21" t="s">
        <v>2289</v>
      </c>
      <c r="G1683" s="19"/>
      <c r="H1683" s="19"/>
      <c r="I1683" s="19"/>
    </row>
    <row r="1684" ht="56.25" customHeight="1">
      <c r="A1684" s="21" t="s">
        <v>4178</v>
      </c>
      <c r="B1684" s="19" t="str">
        <f>image("https://storage.googleapis.com/acdb/photos/BromideNpcNmlLon08_Remake_2_0.png")</f>
        <v/>
      </c>
      <c r="C1684" s="21" t="s">
        <v>954</v>
      </c>
      <c r="D1684" s="21" t="s">
        <v>51</v>
      </c>
      <c r="E1684" s="21">
        <v>10.0</v>
      </c>
      <c r="F1684" s="21" t="s">
        <v>2289</v>
      </c>
      <c r="G1684" s="19"/>
      <c r="H1684" s="19"/>
      <c r="I1684" s="19"/>
    </row>
    <row r="1685" ht="56.25" customHeight="1">
      <c r="A1685" s="21" t="s">
        <v>4178</v>
      </c>
      <c r="B1685" s="19" t="str">
        <f>image("https://storage.googleapis.com/acdb/photos/BromideNpcNmlLon08_Remake_3_0.png")</f>
        <v/>
      </c>
      <c r="C1685" s="21" t="s">
        <v>82</v>
      </c>
      <c r="D1685" s="21" t="s">
        <v>51</v>
      </c>
      <c r="E1685" s="21">
        <v>10.0</v>
      </c>
      <c r="F1685" s="21" t="s">
        <v>2289</v>
      </c>
      <c r="G1685" s="19"/>
      <c r="H1685" s="19"/>
      <c r="I1685" s="19"/>
    </row>
    <row r="1686" ht="56.25" customHeight="1">
      <c r="A1686" s="21" t="s">
        <v>4178</v>
      </c>
      <c r="B1686" s="19" t="str">
        <f>image("https://storage.googleapis.com/acdb/photos/BromideNpcNmlLon08_Remake_4_0.png")</f>
        <v/>
      </c>
      <c r="C1686" s="21" t="s">
        <v>833</v>
      </c>
      <c r="D1686" s="21" t="s">
        <v>51</v>
      </c>
      <c r="E1686" s="21">
        <v>10.0</v>
      </c>
      <c r="F1686" s="21" t="s">
        <v>2289</v>
      </c>
      <c r="G1686" s="19"/>
      <c r="H1686" s="19"/>
      <c r="I1686" s="19"/>
    </row>
    <row r="1687" ht="56.25" customHeight="1">
      <c r="A1687" s="21" t="s">
        <v>4178</v>
      </c>
      <c r="B1687" s="19" t="str">
        <f>image("https://storage.googleapis.com/acdb/photos/BromideNpcNmlLon08_Remake_5_0.png")</f>
        <v/>
      </c>
      <c r="C1687" s="21" t="s">
        <v>258</v>
      </c>
      <c r="D1687" s="21" t="s">
        <v>51</v>
      </c>
      <c r="E1687" s="21">
        <v>10.0</v>
      </c>
      <c r="F1687" s="21" t="s">
        <v>2289</v>
      </c>
      <c r="G1687" s="19"/>
      <c r="H1687" s="19"/>
      <c r="I1687" s="19"/>
    </row>
    <row r="1688" ht="56.25" customHeight="1">
      <c r="A1688" s="21" t="s">
        <v>4178</v>
      </c>
      <c r="B1688" s="19" t="str">
        <f>image("https://storage.googleapis.com/acdb/photos/BromideNpcNmlLon08_Remake_6_0.png")</f>
        <v/>
      </c>
      <c r="C1688" s="21" t="s">
        <v>182</v>
      </c>
      <c r="D1688" s="21" t="s">
        <v>51</v>
      </c>
      <c r="E1688" s="21">
        <v>10.0</v>
      </c>
      <c r="F1688" s="21" t="s">
        <v>2289</v>
      </c>
      <c r="G1688" s="19"/>
      <c r="H1688" s="19"/>
      <c r="I1688" s="19"/>
    </row>
    <row r="1689" ht="56.25" customHeight="1">
      <c r="A1689" s="21" t="s">
        <v>4178</v>
      </c>
      <c r="B1689" s="19" t="str">
        <f>image("https://storage.googleapis.com/acdb/photos/BromideNpcNmlLon08_Remake_7_0.png")</f>
        <v/>
      </c>
      <c r="C1689" s="21" t="s">
        <v>187</v>
      </c>
      <c r="D1689" s="21" t="s">
        <v>51</v>
      </c>
      <c r="E1689" s="21">
        <v>10.0</v>
      </c>
      <c r="F1689" s="21" t="s">
        <v>2289</v>
      </c>
      <c r="G1689" s="19"/>
      <c r="H1689" s="19"/>
      <c r="I1689" s="19"/>
    </row>
    <row r="1690" ht="56.25" customHeight="1">
      <c r="A1690" s="21" t="s">
        <v>4184</v>
      </c>
      <c r="B1690" s="19" t="str">
        <f>image("https://storage.googleapis.com/acdb/photos/BromideNpcNmlWol01_Remake_0_0.png")</f>
        <v/>
      </c>
      <c r="C1690" s="21" t="s">
        <v>219</v>
      </c>
      <c r="D1690" s="21" t="s">
        <v>51</v>
      </c>
      <c r="E1690" s="21">
        <v>10.0</v>
      </c>
      <c r="F1690" s="21" t="s">
        <v>2289</v>
      </c>
      <c r="G1690" s="19"/>
      <c r="H1690" s="19"/>
      <c r="I1690" s="19"/>
    </row>
    <row r="1691" ht="56.25" customHeight="1">
      <c r="A1691" s="21" t="s">
        <v>4184</v>
      </c>
      <c r="B1691" s="19" t="str">
        <f>image("https://storage.googleapis.com/acdb/photos/BromideNpcNmlWol01_Remake_1_0.png")</f>
        <v/>
      </c>
      <c r="C1691" s="21" t="s">
        <v>795</v>
      </c>
      <c r="D1691" s="21" t="s">
        <v>51</v>
      </c>
      <c r="E1691" s="21">
        <v>10.0</v>
      </c>
      <c r="F1691" s="21" t="s">
        <v>2289</v>
      </c>
      <c r="G1691" s="19"/>
      <c r="H1691" s="19"/>
      <c r="I1691" s="19"/>
    </row>
    <row r="1692" ht="56.25" customHeight="1">
      <c r="A1692" s="21" t="s">
        <v>4184</v>
      </c>
      <c r="B1692" s="19" t="str">
        <f>image("https://storage.googleapis.com/acdb/photos/BromideNpcNmlWol01_Remake_2_0.png")</f>
        <v/>
      </c>
      <c r="C1692" s="21" t="s">
        <v>954</v>
      </c>
      <c r="D1692" s="21" t="s">
        <v>51</v>
      </c>
      <c r="E1692" s="21">
        <v>10.0</v>
      </c>
      <c r="F1692" s="21" t="s">
        <v>2289</v>
      </c>
      <c r="G1692" s="19"/>
      <c r="H1692" s="19"/>
      <c r="I1692" s="19"/>
    </row>
    <row r="1693" ht="56.25" customHeight="1">
      <c r="A1693" s="21" t="s">
        <v>4184</v>
      </c>
      <c r="B1693" s="19" t="str">
        <f>image("https://storage.googleapis.com/acdb/photos/BromideNpcNmlWol01_Remake_3_0.png")</f>
        <v/>
      </c>
      <c r="C1693" s="21" t="s">
        <v>82</v>
      </c>
      <c r="D1693" s="21" t="s">
        <v>51</v>
      </c>
      <c r="E1693" s="21">
        <v>10.0</v>
      </c>
      <c r="F1693" s="21" t="s">
        <v>2289</v>
      </c>
      <c r="G1693" s="19"/>
      <c r="H1693" s="19"/>
      <c r="I1693" s="19"/>
    </row>
    <row r="1694" ht="56.25" customHeight="1">
      <c r="A1694" s="21" t="s">
        <v>4184</v>
      </c>
      <c r="B1694" s="19" t="str">
        <f>image("https://storage.googleapis.com/acdb/photos/BromideNpcNmlWol01_Remake_4_0.png")</f>
        <v/>
      </c>
      <c r="C1694" s="21" t="s">
        <v>833</v>
      </c>
      <c r="D1694" s="21" t="s">
        <v>51</v>
      </c>
      <c r="E1694" s="21">
        <v>10.0</v>
      </c>
      <c r="F1694" s="21" t="s">
        <v>2289</v>
      </c>
      <c r="G1694" s="19"/>
      <c r="H1694" s="19"/>
      <c r="I1694" s="19"/>
    </row>
    <row r="1695" ht="56.25" customHeight="1">
      <c r="A1695" s="21" t="s">
        <v>4184</v>
      </c>
      <c r="B1695" s="19" t="str">
        <f>image("https://storage.googleapis.com/acdb/photos/BromideNpcNmlWol01_Remake_5_0.png")</f>
        <v/>
      </c>
      <c r="C1695" s="21" t="s">
        <v>258</v>
      </c>
      <c r="D1695" s="21" t="s">
        <v>51</v>
      </c>
      <c r="E1695" s="21">
        <v>10.0</v>
      </c>
      <c r="F1695" s="21" t="s">
        <v>2289</v>
      </c>
      <c r="G1695" s="19"/>
      <c r="H1695" s="19"/>
      <c r="I1695" s="19"/>
    </row>
    <row r="1696" ht="56.25" customHeight="1">
      <c r="A1696" s="21" t="s">
        <v>4184</v>
      </c>
      <c r="B1696" s="19" t="str">
        <f>image("https://storage.googleapis.com/acdb/photos/BromideNpcNmlWol01_Remake_6_0.png")</f>
        <v/>
      </c>
      <c r="C1696" s="21" t="s">
        <v>182</v>
      </c>
      <c r="D1696" s="21" t="s">
        <v>51</v>
      </c>
      <c r="E1696" s="21">
        <v>10.0</v>
      </c>
      <c r="F1696" s="21" t="s">
        <v>2289</v>
      </c>
      <c r="G1696" s="19"/>
      <c r="H1696" s="19"/>
      <c r="I1696" s="19"/>
    </row>
    <row r="1697" ht="56.25" customHeight="1">
      <c r="A1697" s="21" t="s">
        <v>4184</v>
      </c>
      <c r="B1697" s="19" t="str">
        <f>image("https://storage.googleapis.com/acdb/photos/BromideNpcNmlWol01_Remake_7_0.png")</f>
        <v/>
      </c>
      <c r="C1697" s="21" t="s">
        <v>187</v>
      </c>
      <c r="D1697" s="21" t="s">
        <v>51</v>
      </c>
      <c r="E1697" s="21">
        <v>10.0</v>
      </c>
      <c r="F1697" s="21" t="s">
        <v>2289</v>
      </c>
      <c r="G1697" s="19"/>
      <c r="H1697" s="19"/>
      <c r="I1697" s="19"/>
    </row>
    <row r="1698" ht="56.25" customHeight="1">
      <c r="A1698" s="21" t="s">
        <v>4191</v>
      </c>
      <c r="B1698" s="19" t="str">
        <f>image("https://storage.googleapis.com/acdb/photos/BromideNpcNmlCat18_Remake_0_0.png")</f>
        <v/>
      </c>
      <c r="C1698" s="21" t="s">
        <v>219</v>
      </c>
      <c r="D1698" s="21" t="s">
        <v>51</v>
      </c>
      <c r="E1698" s="21">
        <v>10.0</v>
      </c>
      <c r="F1698" s="21" t="s">
        <v>2289</v>
      </c>
      <c r="G1698" s="19"/>
      <c r="H1698" s="19"/>
      <c r="I1698" s="19"/>
    </row>
    <row r="1699" ht="56.25" customHeight="1">
      <c r="A1699" s="21" t="s">
        <v>4191</v>
      </c>
      <c r="B1699" s="19" t="str">
        <f>image("https://storage.googleapis.com/acdb/photos/BromideNpcNmlCat18_Remake_1_0.png")</f>
        <v/>
      </c>
      <c r="C1699" s="21" t="s">
        <v>795</v>
      </c>
      <c r="D1699" s="21" t="s">
        <v>51</v>
      </c>
      <c r="E1699" s="21">
        <v>10.0</v>
      </c>
      <c r="F1699" s="21" t="s">
        <v>2289</v>
      </c>
      <c r="G1699" s="19"/>
      <c r="H1699" s="19"/>
      <c r="I1699" s="19"/>
    </row>
    <row r="1700" ht="56.25" customHeight="1">
      <c r="A1700" s="21" t="s">
        <v>4191</v>
      </c>
      <c r="B1700" s="19" t="str">
        <f>image("https://storage.googleapis.com/acdb/photos/BromideNpcNmlCat18_Remake_2_0.png")</f>
        <v/>
      </c>
      <c r="C1700" s="21" t="s">
        <v>954</v>
      </c>
      <c r="D1700" s="21" t="s">
        <v>51</v>
      </c>
      <c r="E1700" s="21">
        <v>10.0</v>
      </c>
      <c r="F1700" s="21" t="s">
        <v>2289</v>
      </c>
      <c r="G1700" s="19"/>
      <c r="H1700" s="19"/>
      <c r="I1700" s="19"/>
    </row>
    <row r="1701" ht="56.25" customHeight="1">
      <c r="A1701" s="21" t="s">
        <v>4191</v>
      </c>
      <c r="B1701" s="19" t="str">
        <f>image("https://storage.googleapis.com/acdb/photos/BromideNpcNmlCat18_Remake_3_0.png")</f>
        <v/>
      </c>
      <c r="C1701" s="21" t="s">
        <v>82</v>
      </c>
      <c r="D1701" s="21" t="s">
        <v>51</v>
      </c>
      <c r="E1701" s="21">
        <v>10.0</v>
      </c>
      <c r="F1701" s="21" t="s">
        <v>2289</v>
      </c>
      <c r="G1701" s="19"/>
      <c r="H1701" s="19"/>
      <c r="I1701" s="19"/>
    </row>
    <row r="1702" ht="56.25" customHeight="1">
      <c r="A1702" s="21" t="s">
        <v>4191</v>
      </c>
      <c r="B1702" s="19" t="str">
        <f>image("https://storage.googleapis.com/acdb/photos/BromideNpcNmlCat18_Remake_4_0.png")</f>
        <v/>
      </c>
      <c r="C1702" s="21" t="s">
        <v>833</v>
      </c>
      <c r="D1702" s="21" t="s">
        <v>51</v>
      </c>
      <c r="E1702" s="21">
        <v>10.0</v>
      </c>
      <c r="F1702" s="21" t="s">
        <v>2289</v>
      </c>
      <c r="G1702" s="19"/>
      <c r="H1702" s="19"/>
      <c r="I1702" s="19"/>
    </row>
    <row r="1703" ht="56.25" customHeight="1">
      <c r="A1703" s="21" t="s">
        <v>4191</v>
      </c>
      <c r="B1703" s="19" t="str">
        <f>image("https://storage.googleapis.com/acdb/photos/BromideNpcNmlCat18_Remake_5_0.png")</f>
        <v/>
      </c>
      <c r="C1703" s="21" t="s">
        <v>258</v>
      </c>
      <c r="D1703" s="21" t="s">
        <v>51</v>
      </c>
      <c r="E1703" s="21">
        <v>10.0</v>
      </c>
      <c r="F1703" s="21" t="s">
        <v>2289</v>
      </c>
      <c r="G1703" s="19"/>
      <c r="H1703" s="19"/>
      <c r="I1703" s="19"/>
    </row>
    <row r="1704" ht="56.25" customHeight="1">
      <c r="A1704" s="21" t="s">
        <v>4191</v>
      </c>
      <c r="B1704" s="19" t="str">
        <f>image("https://storage.googleapis.com/acdb/photos/BromideNpcNmlCat18_Remake_6_0.png")</f>
        <v/>
      </c>
      <c r="C1704" s="21" t="s">
        <v>182</v>
      </c>
      <c r="D1704" s="21" t="s">
        <v>51</v>
      </c>
      <c r="E1704" s="21">
        <v>10.0</v>
      </c>
      <c r="F1704" s="21" t="s">
        <v>2289</v>
      </c>
      <c r="G1704" s="19"/>
      <c r="H1704" s="19"/>
      <c r="I1704" s="19"/>
    </row>
    <row r="1705" ht="56.25" customHeight="1">
      <c r="A1705" s="21" t="s">
        <v>4191</v>
      </c>
      <c r="B1705" s="19" t="str">
        <f>image("https://storage.googleapis.com/acdb/photos/BromideNpcNmlCat18_Remake_7_0.png")</f>
        <v/>
      </c>
      <c r="C1705" s="21" t="s">
        <v>187</v>
      </c>
      <c r="D1705" s="21" t="s">
        <v>51</v>
      </c>
      <c r="E1705" s="21">
        <v>10.0</v>
      </c>
      <c r="F1705" s="21" t="s">
        <v>2289</v>
      </c>
      <c r="G1705" s="19"/>
      <c r="H1705" s="19"/>
      <c r="I1705" s="19"/>
    </row>
    <row r="1706" ht="56.25" customHeight="1">
      <c r="A1706" s="21" t="s">
        <v>4200</v>
      </c>
      <c r="B1706" s="19" t="str">
        <f>image("https://storage.googleapis.com/acdb/photos/BromideNpcNmlDer05_Remake_0_0.png")</f>
        <v/>
      </c>
      <c r="C1706" s="21" t="s">
        <v>219</v>
      </c>
      <c r="D1706" s="21" t="s">
        <v>51</v>
      </c>
      <c r="E1706" s="21">
        <v>10.0</v>
      </c>
      <c r="F1706" s="21" t="s">
        <v>2289</v>
      </c>
      <c r="G1706" s="19"/>
      <c r="H1706" s="19"/>
      <c r="I1706" s="19"/>
    </row>
    <row r="1707" ht="56.25" customHeight="1">
      <c r="A1707" s="21" t="s">
        <v>4200</v>
      </c>
      <c r="B1707" s="19" t="str">
        <f>image("https://storage.googleapis.com/acdb/photos/BromideNpcNmlDer05_Remake_1_0.png")</f>
        <v/>
      </c>
      <c r="C1707" s="21" t="s">
        <v>795</v>
      </c>
      <c r="D1707" s="21" t="s">
        <v>51</v>
      </c>
      <c r="E1707" s="21">
        <v>10.0</v>
      </c>
      <c r="F1707" s="21" t="s">
        <v>2289</v>
      </c>
      <c r="G1707" s="19"/>
      <c r="H1707" s="19"/>
      <c r="I1707" s="19"/>
    </row>
    <row r="1708" ht="56.25" customHeight="1">
      <c r="A1708" s="21" t="s">
        <v>4200</v>
      </c>
      <c r="B1708" s="19" t="str">
        <f>image("https://storage.googleapis.com/acdb/photos/BromideNpcNmlDer05_Remake_2_0.png")</f>
        <v/>
      </c>
      <c r="C1708" s="21" t="s">
        <v>954</v>
      </c>
      <c r="D1708" s="21" t="s">
        <v>51</v>
      </c>
      <c r="E1708" s="21">
        <v>10.0</v>
      </c>
      <c r="F1708" s="21" t="s">
        <v>2289</v>
      </c>
      <c r="G1708" s="19"/>
      <c r="H1708" s="19"/>
      <c r="I1708" s="19"/>
    </row>
    <row r="1709" ht="56.25" customHeight="1">
      <c r="A1709" s="21" t="s">
        <v>4200</v>
      </c>
      <c r="B1709" s="19" t="str">
        <f>image("https://storage.googleapis.com/acdb/photos/BromideNpcNmlDer05_Remake_3_0.png")</f>
        <v/>
      </c>
      <c r="C1709" s="21" t="s">
        <v>82</v>
      </c>
      <c r="D1709" s="21" t="s">
        <v>51</v>
      </c>
      <c r="E1709" s="21">
        <v>10.0</v>
      </c>
      <c r="F1709" s="21" t="s">
        <v>2289</v>
      </c>
      <c r="G1709" s="19"/>
      <c r="H1709" s="19"/>
      <c r="I1709" s="19"/>
    </row>
    <row r="1710" ht="56.25" customHeight="1">
      <c r="A1710" s="21" t="s">
        <v>4200</v>
      </c>
      <c r="B1710" s="19" t="str">
        <f>image("https://storage.googleapis.com/acdb/photos/BromideNpcNmlDer05_Remake_4_0.png")</f>
        <v/>
      </c>
      <c r="C1710" s="21" t="s">
        <v>833</v>
      </c>
      <c r="D1710" s="21" t="s">
        <v>51</v>
      </c>
      <c r="E1710" s="21">
        <v>10.0</v>
      </c>
      <c r="F1710" s="21" t="s">
        <v>2289</v>
      </c>
      <c r="G1710" s="19"/>
      <c r="H1710" s="19"/>
      <c r="I1710" s="19"/>
    </row>
    <row r="1711" ht="56.25" customHeight="1">
      <c r="A1711" s="21" t="s">
        <v>4200</v>
      </c>
      <c r="B1711" s="19" t="str">
        <f>image("https://storage.googleapis.com/acdb/photos/BromideNpcNmlDer05_Remake_5_0.png")</f>
        <v/>
      </c>
      <c r="C1711" s="21" t="s">
        <v>258</v>
      </c>
      <c r="D1711" s="21" t="s">
        <v>51</v>
      </c>
      <c r="E1711" s="21">
        <v>10.0</v>
      </c>
      <c r="F1711" s="21" t="s">
        <v>2289</v>
      </c>
      <c r="G1711" s="19"/>
      <c r="H1711" s="19"/>
      <c r="I1711" s="19"/>
    </row>
    <row r="1712" ht="56.25" customHeight="1">
      <c r="A1712" s="21" t="s">
        <v>4200</v>
      </c>
      <c r="B1712" s="19" t="str">
        <f>image("https://storage.googleapis.com/acdb/photos/BromideNpcNmlDer05_Remake_6_0.png")</f>
        <v/>
      </c>
      <c r="C1712" s="21" t="s">
        <v>182</v>
      </c>
      <c r="D1712" s="21" t="s">
        <v>51</v>
      </c>
      <c r="E1712" s="21">
        <v>10.0</v>
      </c>
      <c r="F1712" s="21" t="s">
        <v>2289</v>
      </c>
      <c r="G1712" s="19"/>
      <c r="H1712" s="19"/>
      <c r="I1712" s="19"/>
    </row>
    <row r="1713" ht="56.25" customHeight="1">
      <c r="A1713" s="21" t="s">
        <v>4200</v>
      </c>
      <c r="B1713" s="19" t="str">
        <f>image("https://storage.googleapis.com/acdb/photos/BromideNpcNmlDer05_Remake_7_0.png")</f>
        <v/>
      </c>
      <c r="C1713" s="21" t="s">
        <v>187</v>
      </c>
      <c r="D1713" s="21" t="s">
        <v>51</v>
      </c>
      <c r="E1713" s="21">
        <v>10.0</v>
      </c>
      <c r="F1713" s="21" t="s">
        <v>2289</v>
      </c>
      <c r="G1713" s="19"/>
      <c r="H1713" s="19"/>
      <c r="I1713" s="19"/>
    </row>
    <row r="1714" ht="56.25" customHeight="1">
      <c r="A1714" s="21" t="s">
        <v>4203</v>
      </c>
      <c r="B1714" s="19" t="str">
        <f>image("https://storage.googleapis.com/acdb/photos/BromideNpcNmlGor04_Remake_0_0.png")</f>
        <v/>
      </c>
      <c r="C1714" s="21" t="s">
        <v>219</v>
      </c>
      <c r="D1714" s="21" t="s">
        <v>51</v>
      </c>
      <c r="E1714" s="21">
        <v>10.0</v>
      </c>
      <c r="F1714" s="21" t="s">
        <v>2289</v>
      </c>
      <c r="G1714" s="19"/>
      <c r="H1714" s="19"/>
      <c r="I1714" s="19"/>
    </row>
    <row r="1715" ht="56.25" customHeight="1">
      <c r="A1715" s="21" t="s">
        <v>4203</v>
      </c>
      <c r="B1715" s="19" t="str">
        <f>image("https://storage.googleapis.com/acdb/photos/BromideNpcNmlGor04_Remake_1_0.png")</f>
        <v/>
      </c>
      <c r="C1715" s="21" t="s">
        <v>795</v>
      </c>
      <c r="D1715" s="21" t="s">
        <v>51</v>
      </c>
      <c r="E1715" s="21">
        <v>10.0</v>
      </c>
      <c r="F1715" s="21" t="s">
        <v>2289</v>
      </c>
      <c r="G1715" s="19"/>
      <c r="H1715" s="19"/>
      <c r="I1715" s="19"/>
    </row>
    <row r="1716" ht="56.25" customHeight="1">
      <c r="A1716" s="21" t="s">
        <v>4203</v>
      </c>
      <c r="B1716" s="19" t="str">
        <f>image("https://storage.googleapis.com/acdb/photos/BromideNpcNmlGor04_Remake_2_0.png")</f>
        <v/>
      </c>
      <c r="C1716" s="21" t="s">
        <v>954</v>
      </c>
      <c r="D1716" s="21" t="s">
        <v>51</v>
      </c>
      <c r="E1716" s="21">
        <v>10.0</v>
      </c>
      <c r="F1716" s="21" t="s">
        <v>2289</v>
      </c>
      <c r="G1716" s="19"/>
      <c r="H1716" s="19"/>
      <c r="I1716" s="19"/>
    </row>
    <row r="1717" ht="56.25" customHeight="1">
      <c r="A1717" s="21" t="s">
        <v>4203</v>
      </c>
      <c r="B1717" s="19" t="str">
        <f>image("https://storage.googleapis.com/acdb/photos/BromideNpcNmlGor04_Remake_3_0.png")</f>
        <v/>
      </c>
      <c r="C1717" s="21" t="s">
        <v>82</v>
      </c>
      <c r="D1717" s="21" t="s">
        <v>51</v>
      </c>
      <c r="E1717" s="21">
        <v>10.0</v>
      </c>
      <c r="F1717" s="21" t="s">
        <v>2289</v>
      </c>
      <c r="G1717" s="19"/>
      <c r="H1717" s="19"/>
      <c r="I1717" s="19"/>
    </row>
    <row r="1718" ht="56.25" customHeight="1">
      <c r="A1718" s="21" t="s">
        <v>4203</v>
      </c>
      <c r="B1718" s="19" t="str">
        <f>image("https://storage.googleapis.com/acdb/photos/BromideNpcNmlGor04_Remake_4_0.png")</f>
        <v/>
      </c>
      <c r="C1718" s="21" t="s">
        <v>833</v>
      </c>
      <c r="D1718" s="21" t="s">
        <v>51</v>
      </c>
      <c r="E1718" s="21">
        <v>10.0</v>
      </c>
      <c r="F1718" s="21" t="s">
        <v>2289</v>
      </c>
      <c r="G1718" s="19"/>
      <c r="H1718" s="19"/>
      <c r="I1718" s="19"/>
    </row>
    <row r="1719" ht="56.25" customHeight="1">
      <c r="A1719" s="21" t="s">
        <v>4203</v>
      </c>
      <c r="B1719" s="19" t="str">
        <f>image("https://storage.googleapis.com/acdb/photos/BromideNpcNmlGor04_Remake_5_0.png")</f>
        <v/>
      </c>
      <c r="C1719" s="21" t="s">
        <v>258</v>
      </c>
      <c r="D1719" s="21" t="s">
        <v>51</v>
      </c>
      <c r="E1719" s="21">
        <v>10.0</v>
      </c>
      <c r="F1719" s="21" t="s">
        <v>2289</v>
      </c>
      <c r="G1719" s="19"/>
      <c r="H1719" s="19"/>
      <c r="I1719" s="19"/>
    </row>
    <row r="1720" ht="56.25" customHeight="1">
      <c r="A1720" s="21" t="s">
        <v>4203</v>
      </c>
      <c r="B1720" s="19" t="str">
        <f>image("https://storage.googleapis.com/acdb/photos/BromideNpcNmlGor04_Remake_6_0.png")</f>
        <v/>
      </c>
      <c r="C1720" s="21" t="s">
        <v>182</v>
      </c>
      <c r="D1720" s="21" t="s">
        <v>51</v>
      </c>
      <c r="E1720" s="21">
        <v>10.0</v>
      </c>
      <c r="F1720" s="21" t="s">
        <v>2289</v>
      </c>
      <c r="G1720" s="19"/>
      <c r="H1720" s="19"/>
      <c r="I1720" s="19"/>
    </row>
    <row r="1721" ht="56.25" customHeight="1">
      <c r="A1721" s="21" t="s">
        <v>4203</v>
      </c>
      <c r="B1721" s="19" t="str">
        <f>image("https://storage.googleapis.com/acdb/photos/BromideNpcNmlGor04_Remake_7_0.png")</f>
        <v/>
      </c>
      <c r="C1721" s="21" t="s">
        <v>187</v>
      </c>
      <c r="D1721" s="21" t="s">
        <v>51</v>
      </c>
      <c r="E1721" s="21">
        <v>10.0</v>
      </c>
      <c r="F1721" s="21" t="s">
        <v>2289</v>
      </c>
      <c r="G1721" s="19"/>
      <c r="H1721" s="19"/>
      <c r="I1721" s="19"/>
    </row>
    <row r="1722" ht="56.25" customHeight="1">
      <c r="A1722" s="21" t="s">
        <v>4207</v>
      </c>
      <c r="B1722" s="19" t="str">
        <f>image("https://storage.googleapis.com/acdb/photos/BromideNpcNmlBrd15_Remake_0_0.png")</f>
        <v/>
      </c>
      <c r="C1722" s="21" t="s">
        <v>219</v>
      </c>
      <c r="D1722" s="21" t="s">
        <v>51</v>
      </c>
      <c r="E1722" s="21">
        <v>10.0</v>
      </c>
      <c r="F1722" s="21" t="s">
        <v>2289</v>
      </c>
      <c r="G1722" s="19"/>
      <c r="H1722" s="19"/>
      <c r="I1722" s="19"/>
    </row>
    <row r="1723" ht="56.25" customHeight="1">
      <c r="A1723" s="21" t="s">
        <v>4207</v>
      </c>
      <c r="B1723" s="19" t="str">
        <f>image("https://storage.googleapis.com/acdb/photos/BromideNpcNmlBrd15_Remake_1_0.png")</f>
        <v/>
      </c>
      <c r="C1723" s="21" t="s">
        <v>795</v>
      </c>
      <c r="D1723" s="21" t="s">
        <v>51</v>
      </c>
      <c r="E1723" s="21">
        <v>10.0</v>
      </c>
      <c r="F1723" s="21" t="s">
        <v>2289</v>
      </c>
      <c r="G1723" s="19"/>
      <c r="H1723" s="19"/>
      <c r="I1723" s="19"/>
    </row>
    <row r="1724" ht="56.25" customHeight="1">
      <c r="A1724" s="21" t="s">
        <v>4207</v>
      </c>
      <c r="B1724" s="19" t="str">
        <f>image("https://storage.googleapis.com/acdb/photos/BromideNpcNmlBrd15_Remake_2_0.png")</f>
        <v/>
      </c>
      <c r="C1724" s="21" t="s">
        <v>954</v>
      </c>
      <c r="D1724" s="21" t="s">
        <v>51</v>
      </c>
      <c r="E1724" s="21">
        <v>10.0</v>
      </c>
      <c r="F1724" s="21" t="s">
        <v>2289</v>
      </c>
      <c r="G1724" s="19"/>
      <c r="H1724" s="19"/>
      <c r="I1724" s="19"/>
    </row>
    <row r="1725" ht="56.25" customHeight="1">
      <c r="A1725" s="21" t="s">
        <v>4207</v>
      </c>
      <c r="B1725" s="19" t="str">
        <f>image("https://storage.googleapis.com/acdb/photos/BromideNpcNmlBrd15_Remake_3_0.png")</f>
        <v/>
      </c>
      <c r="C1725" s="21" t="s">
        <v>82</v>
      </c>
      <c r="D1725" s="21" t="s">
        <v>51</v>
      </c>
      <c r="E1725" s="21">
        <v>10.0</v>
      </c>
      <c r="F1725" s="21" t="s">
        <v>2289</v>
      </c>
      <c r="G1725" s="19"/>
      <c r="H1725" s="19"/>
      <c r="I1725" s="19"/>
    </row>
    <row r="1726" ht="56.25" customHeight="1">
      <c r="A1726" s="21" t="s">
        <v>4207</v>
      </c>
      <c r="B1726" s="19" t="str">
        <f>image("https://storage.googleapis.com/acdb/photos/BromideNpcNmlBrd15_Remake_4_0.png")</f>
        <v/>
      </c>
      <c r="C1726" s="21" t="s">
        <v>833</v>
      </c>
      <c r="D1726" s="21" t="s">
        <v>51</v>
      </c>
      <c r="E1726" s="21">
        <v>10.0</v>
      </c>
      <c r="F1726" s="21" t="s">
        <v>2289</v>
      </c>
      <c r="G1726" s="19"/>
      <c r="H1726" s="19"/>
      <c r="I1726" s="19"/>
    </row>
    <row r="1727" ht="56.25" customHeight="1">
      <c r="A1727" s="21" t="s">
        <v>4207</v>
      </c>
      <c r="B1727" s="19" t="str">
        <f>image("https://storage.googleapis.com/acdb/photos/BromideNpcNmlBrd15_Remake_5_0.png")</f>
        <v/>
      </c>
      <c r="C1727" s="21" t="s">
        <v>258</v>
      </c>
      <c r="D1727" s="21" t="s">
        <v>51</v>
      </c>
      <c r="E1727" s="21">
        <v>10.0</v>
      </c>
      <c r="F1727" s="21" t="s">
        <v>2289</v>
      </c>
      <c r="G1727" s="19"/>
      <c r="H1727" s="19"/>
      <c r="I1727" s="19"/>
    </row>
    <row r="1728" ht="56.25" customHeight="1">
      <c r="A1728" s="21" t="s">
        <v>4207</v>
      </c>
      <c r="B1728" s="19" t="str">
        <f>image("https://storage.googleapis.com/acdb/photos/BromideNpcNmlBrd15_Remake_6_0.png")</f>
        <v/>
      </c>
      <c r="C1728" s="21" t="s">
        <v>182</v>
      </c>
      <c r="D1728" s="21" t="s">
        <v>51</v>
      </c>
      <c r="E1728" s="21">
        <v>10.0</v>
      </c>
      <c r="F1728" s="21" t="s">
        <v>2289</v>
      </c>
      <c r="G1728" s="19"/>
      <c r="H1728" s="19"/>
      <c r="I1728" s="19"/>
    </row>
    <row r="1729" ht="56.25" customHeight="1">
      <c r="A1729" s="21" t="s">
        <v>4207</v>
      </c>
      <c r="B1729" s="19" t="str">
        <f>image("https://storage.googleapis.com/acdb/photos/BromideNpcNmlBrd15_Remake_7_0.png")</f>
        <v/>
      </c>
      <c r="C1729" s="21" t="s">
        <v>187</v>
      </c>
      <c r="D1729" s="21" t="s">
        <v>51</v>
      </c>
      <c r="E1729" s="21">
        <v>10.0</v>
      </c>
      <c r="F1729" s="21" t="s">
        <v>2289</v>
      </c>
      <c r="G1729" s="19"/>
      <c r="H1729" s="19"/>
      <c r="I1729" s="19"/>
    </row>
    <row r="1730" ht="56.25" customHeight="1">
      <c r="A1730" s="21" t="s">
        <v>4209</v>
      </c>
      <c r="B1730" s="19" t="str">
        <f>image("https://storage.googleapis.com/acdb/photos/BromideNpcNmlDog02_Remake_0_0.png")</f>
        <v/>
      </c>
      <c r="C1730" s="21" t="s">
        <v>219</v>
      </c>
      <c r="D1730" s="21" t="s">
        <v>51</v>
      </c>
      <c r="E1730" s="21">
        <v>10.0</v>
      </c>
      <c r="F1730" s="21" t="s">
        <v>2289</v>
      </c>
      <c r="G1730" s="19"/>
      <c r="H1730" s="19"/>
      <c r="I1730" s="19"/>
    </row>
    <row r="1731" ht="56.25" customHeight="1">
      <c r="A1731" s="21" t="s">
        <v>4209</v>
      </c>
      <c r="B1731" s="19" t="str">
        <f>image("https://storage.googleapis.com/acdb/photos/BromideNpcNmlDog02_Remake_1_0.png")</f>
        <v/>
      </c>
      <c r="C1731" s="21" t="s">
        <v>795</v>
      </c>
      <c r="D1731" s="21" t="s">
        <v>51</v>
      </c>
      <c r="E1731" s="21">
        <v>10.0</v>
      </c>
      <c r="F1731" s="21" t="s">
        <v>2289</v>
      </c>
      <c r="G1731" s="19"/>
      <c r="H1731" s="19"/>
      <c r="I1731" s="19"/>
    </row>
    <row r="1732" ht="56.25" customHeight="1">
      <c r="A1732" s="21" t="s">
        <v>4209</v>
      </c>
      <c r="B1732" s="19" t="str">
        <f>image("https://storage.googleapis.com/acdb/photos/BromideNpcNmlDog02_Remake_2_0.png")</f>
        <v/>
      </c>
      <c r="C1732" s="21" t="s">
        <v>954</v>
      </c>
      <c r="D1732" s="21" t="s">
        <v>51</v>
      </c>
      <c r="E1732" s="21">
        <v>10.0</v>
      </c>
      <c r="F1732" s="21" t="s">
        <v>2289</v>
      </c>
      <c r="G1732" s="19"/>
      <c r="H1732" s="19"/>
      <c r="I1732" s="19"/>
    </row>
    <row r="1733" ht="56.25" customHeight="1">
      <c r="A1733" s="21" t="s">
        <v>4209</v>
      </c>
      <c r="B1733" s="19" t="str">
        <f>image("https://storage.googleapis.com/acdb/photos/BromideNpcNmlDog02_Remake_3_0.png")</f>
        <v/>
      </c>
      <c r="C1733" s="21" t="s">
        <v>82</v>
      </c>
      <c r="D1733" s="21" t="s">
        <v>51</v>
      </c>
      <c r="E1733" s="21">
        <v>10.0</v>
      </c>
      <c r="F1733" s="21" t="s">
        <v>2289</v>
      </c>
      <c r="G1733" s="19"/>
      <c r="H1733" s="19"/>
      <c r="I1733" s="19"/>
    </row>
    <row r="1734" ht="56.25" customHeight="1">
      <c r="A1734" s="21" t="s">
        <v>4209</v>
      </c>
      <c r="B1734" s="19" t="str">
        <f>image("https://storage.googleapis.com/acdb/photos/BromideNpcNmlDog02_Remake_4_0.png")</f>
        <v/>
      </c>
      <c r="C1734" s="21" t="s">
        <v>833</v>
      </c>
      <c r="D1734" s="21" t="s">
        <v>51</v>
      </c>
      <c r="E1734" s="21">
        <v>10.0</v>
      </c>
      <c r="F1734" s="21" t="s">
        <v>2289</v>
      </c>
      <c r="G1734" s="19"/>
      <c r="H1734" s="19"/>
      <c r="I1734" s="19"/>
    </row>
    <row r="1735" ht="56.25" customHeight="1">
      <c r="A1735" s="21" t="s">
        <v>4209</v>
      </c>
      <c r="B1735" s="19" t="str">
        <f>image("https://storage.googleapis.com/acdb/photos/BromideNpcNmlDog02_Remake_5_0.png")</f>
        <v/>
      </c>
      <c r="C1735" s="21" t="s">
        <v>258</v>
      </c>
      <c r="D1735" s="21" t="s">
        <v>51</v>
      </c>
      <c r="E1735" s="21">
        <v>10.0</v>
      </c>
      <c r="F1735" s="21" t="s">
        <v>2289</v>
      </c>
      <c r="G1735" s="19"/>
      <c r="H1735" s="19"/>
      <c r="I1735" s="19"/>
    </row>
    <row r="1736" ht="56.25" customHeight="1">
      <c r="A1736" s="21" t="s">
        <v>4209</v>
      </c>
      <c r="B1736" s="19" t="str">
        <f>image("https://storage.googleapis.com/acdb/photos/BromideNpcNmlDog02_Remake_6_0.png")</f>
        <v/>
      </c>
      <c r="C1736" s="21" t="s">
        <v>182</v>
      </c>
      <c r="D1736" s="21" t="s">
        <v>51</v>
      </c>
      <c r="E1736" s="21">
        <v>10.0</v>
      </c>
      <c r="F1736" s="21" t="s">
        <v>2289</v>
      </c>
      <c r="G1736" s="19"/>
      <c r="H1736" s="19"/>
      <c r="I1736" s="19"/>
    </row>
    <row r="1737" ht="56.25" customHeight="1">
      <c r="A1737" s="21" t="s">
        <v>4209</v>
      </c>
      <c r="B1737" s="19" t="str">
        <f>image("https://storage.googleapis.com/acdb/photos/BromideNpcNmlDog02_Remake_7_0.png")</f>
        <v/>
      </c>
      <c r="C1737" s="21" t="s">
        <v>187</v>
      </c>
      <c r="D1737" s="21" t="s">
        <v>51</v>
      </c>
      <c r="E1737" s="21">
        <v>10.0</v>
      </c>
      <c r="F1737" s="21" t="s">
        <v>2289</v>
      </c>
      <c r="G1737" s="19"/>
      <c r="H1737" s="19"/>
      <c r="I1737" s="19"/>
    </row>
    <row r="1738" ht="56.25" customHeight="1">
      <c r="A1738" s="21" t="s">
        <v>4218</v>
      </c>
      <c r="B1738" s="19" t="str">
        <f>image("https://storage.googleapis.com/acdb/photos/BromideNpcNmlPig04_Remake_0_0.png")</f>
        <v/>
      </c>
      <c r="C1738" s="21" t="s">
        <v>219</v>
      </c>
      <c r="D1738" s="21" t="s">
        <v>51</v>
      </c>
      <c r="E1738" s="21">
        <v>10.0</v>
      </c>
      <c r="F1738" s="21" t="s">
        <v>2289</v>
      </c>
      <c r="G1738" s="19"/>
      <c r="H1738" s="19"/>
      <c r="I1738" s="19"/>
    </row>
    <row r="1739" ht="56.25" customHeight="1">
      <c r="A1739" s="21" t="s">
        <v>4218</v>
      </c>
      <c r="B1739" s="19" t="str">
        <f>image("https://storage.googleapis.com/acdb/photos/BromideNpcNmlPig04_Remake_1_0.png")</f>
        <v/>
      </c>
      <c r="C1739" s="21" t="s">
        <v>795</v>
      </c>
      <c r="D1739" s="21" t="s">
        <v>51</v>
      </c>
      <c r="E1739" s="21">
        <v>10.0</v>
      </c>
      <c r="F1739" s="21" t="s">
        <v>2289</v>
      </c>
      <c r="G1739" s="19"/>
      <c r="H1739" s="19"/>
      <c r="I1739" s="19"/>
    </row>
    <row r="1740" ht="56.25" customHeight="1">
      <c r="A1740" s="21" t="s">
        <v>4218</v>
      </c>
      <c r="B1740" s="19" t="str">
        <f>image("https://storage.googleapis.com/acdb/photos/BromideNpcNmlPig04_Remake_2_0.png")</f>
        <v/>
      </c>
      <c r="C1740" s="21" t="s">
        <v>954</v>
      </c>
      <c r="D1740" s="21" t="s">
        <v>51</v>
      </c>
      <c r="E1740" s="21">
        <v>10.0</v>
      </c>
      <c r="F1740" s="21" t="s">
        <v>2289</v>
      </c>
      <c r="G1740" s="19"/>
      <c r="H1740" s="19"/>
      <c r="I1740" s="19"/>
    </row>
    <row r="1741" ht="56.25" customHeight="1">
      <c r="A1741" s="21" t="s">
        <v>4218</v>
      </c>
      <c r="B1741" s="19" t="str">
        <f>image("https://storage.googleapis.com/acdb/photos/BromideNpcNmlPig04_Remake_3_0.png")</f>
        <v/>
      </c>
      <c r="C1741" s="21" t="s">
        <v>82</v>
      </c>
      <c r="D1741" s="21" t="s">
        <v>51</v>
      </c>
      <c r="E1741" s="21">
        <v>10.0</v>
      </c>
      <c r="F1741" s="21" t="s">
        <v>2289</v>
      </c>
      <c r="G1741" s="19"/>
      <c r="H1741" s="19"/>
      <c r="I1741" s="19"/>
    </row>
    <row r="1742" ht="56.25" customHeight="1">
      <c r="A1742" s="21" t="s">
        <v>4218</v>
      </c>
      <c r="B1742" s="19" t="str">
        <f>image("https://storage.googleapis.com/acdb/photos/BromideNpcNmlPig04_Remake_4_0.png")</f>
        <v/>
      </c>
      <c r="C1742" s="21" t="s">
        <v>833</v>
      </c>
      <c r="D1742" s="21" t="s">
        <v>51</v>
      </c>
      <c r="E1742" s="21">
        <v>10.0</v>
      </c>
      <c r="F1742" s="21" t="s">
        <v>2289</v>
      </c>
      <c r="G1742" s="19"/>
      <c r="H1742" s="19"/>
      <c r="I1742" s="19"/>
    </row>
    <row r="1743" ht="56.25" customHeight="1">
      <c r="A1743" s="21" t="s">
        <v>4218</v>
      </c>
      <c r="B1743" s="19" t="str">
        <f>image("https://storage.googleapis.com/acdb/photos/BromideNpcNmlPig04_Remake_5_0.png")</f>
        <v/>
      </c>
      <c r="C1743" s="21" t="s">
        <v>258</v>
      </c>
      <c r="D1743" s="21" t="s">
        <v>51</v>
      </c>
      <c r="E1743" s="21">
        <v>10.0</v>
      </c>
      <c r="F1743" s="21" t="s">
        <v>2289</v>
      </c>
      <c r="G1743" s="19"/>
      <c r="H1743" s="19"/>
      <c r="I1743" s="19"/>
    </row>
    <row r="1744" ht="56.25" customHeight="1">
      <c r="A1744" s="21" t="s">
        <v>4218</v>
      </c>
      <c r="B1744" s="19" t="str">
        <f>image("https://storage.googleapis.com/acdb/photos/BromideNpcNmlPig04_Remake_6_0.png")</f>
        <v/>
      </c>
      <c r="C1744" s="21" t="s">
        <v>182</v>
      </c>
      <c r="D1744" s="21" t="s">
        <v>51</v>
      </c>
      <c r="E1744" s="21">
        <v>10.0</v>
      </c>
      <c r="F1744" s="21" t="s">
        <v>2289</v>
      </c>
      <c r="G1744" s="19"/>
      <c r="H1744" s="19"/>
      <c r="I1744" s="19"/>
    </row>
    <row r="1745" ht="56.25" customHeight="1">
      <c r="A1745" s="21" t="s">
        <v>4218</v>
      </c>
      <c r="B1745" s="19" t="str">
        <f>image("https://storage.googleapis.com/acdb/photos/BromideNpcNmlPig04_Remake_7_0.png")</f>
        <v/>
      </c>
      <c r="C1745" s="21" t="s">
        <v>187</v>
      </c>
      <c r="D1745" s="21" t="s">
        <v>51</v>
      </c>
      <c r="E1745" s="21">
        <v>10.0</v>
      </c>
      <c r="F1745" s="21" t="s">
        <v>2289</v>
      </c>
      <c r="G1745" s="19"/>
      <c r="H1745" s="19"/>
      <c r="I1745" s="19"/>
    </row>
    <row r="1746" ht="56.25" customHeight="1">
      <c r="A1746" s="21" t="s">
        <v>4226</v>
      </c>
      <c r="B1746" s="19" t="str">
        <f>image("https://storage.googleapis.com/acdb/photos/BromideNpcNmlKal09_Remake_0_0.png")</f>
        <v/>
      </c>
      <c r="C1746" s="21" t="s">
        <v>219</v>
      </c>
      <c r="D1746" s="21" t="s">
        <v>51</v>
      </c>
      <c r="E1746" s="21">
        <v>10.0</v>
      </c>
      <c r="F1746" s="21" t="s">
        <v>2289</v>
      </c>
      <c r="G1746" s="19"/>
      <c r="H1746" s="19"/>
      <c r="I1746" s="19"/>
    </row>
    <row r="1747" ht="56.25" customHeight="1">
      <c r="A1747" s="21" t="s">
        <v>4226</v>
      </c>
      <c r="B1747" s="19" t="str">
        <f>image("https://storage.googleapis.com/acdb/photos/BromideNpcNmlKal09_Remake_1_0.png")</f>
        <v/>
      </c>
      <c r="C1747" s="21" t="s">
        <v>795</v>
      </c>
      <c r="D1747" s="21" t="s">
        <v>51</v>
      </c>
      <c r="E1747" s="21">
        <v>10.0</v>
      </c>
      <c r="F1747" s="21" t="s">
        <v>2289</v>
      </c>
      <c r="G1747" s="19"/>
      <c r="H1747" s="19"/>
      <c r="I1747" s="19"/>
    </row>
    <row r="1748" ht="56.25" customHeight="1">
      <c r="A1748" s="21" t="s">
        <v>4226</v>
      </c>
      <c r="B1748" s="19" t="str">
        <f>image("https://storage.googleapis.com/acdb/photos/BromideNpcNmlKal09_Remake_2_0.png")</f>
        <v/>
      </c>
      <c r="C1748" s="21" t="s">
        <v>954</v>
      </c>
      <c r="D1748" s="21" t="s">
        <v>51</v>
      </c>
      <c r="E1748" s="21">
        <v>10.0</v>
      </c>
      <c r="F1748" s="21" t="s">
        <v>2289</v>
      </c>
      <c r="G1748" s="19"/>
      <c r="H1748" s="19"/>
      <c r="I1748" s="19"/>
    </row>
    <row r="1749" ht="56.25" customHeight="1">
      <c r="A1749" s="21" t="s">
        <v>4226</v>
      </c>
      <c r="B1749" s="19" t="str">
        <f>image("https://storage.googleapis.com/acdb/photos/BromideNpcNmlKal09_Remake_3_0.png")</f>
        <v/>
      </c>
      <c r="C1749" s="21" t="s">
        <v>82</v>
      </c>
      <c r="D1749" s="21" t="s">
        <v>51</v>
      </c>
      <c r="E1749" s="21">
        <v>10.0</v>
      </c>
      <c r="F1749" s="21" t="s">
        <v>2289</v>
      </c>
      <c r="G1749" s="19"/>
      <c r="H1749" s="19"/>
      <c r="I1749" s="19"/>
    </row>
    <row r="1750" ht="56.25" customHeight="1">
      <c r="A1750" s="21" t="s">
        <v>4226</v>
      </c>
      <c r="B1750" s="19" t="str">
        <f>image("https://storage.googleapis.com/acdb/photos/BromideNpcNmlKal09_Remake_4_0.png")</f>
        <v/>
      </c>
      <c r="C1750" s="21" t="s">
        <v>833</v>
      </c>
      <c r="D1750" s="21" t="s">
        <v>51</v>
      </c>
      <c r="E1750" s="21">
        <v>10.0</v>
      </c>
      <c r="F1750" s="21" t="s">
        <v>2289</v>
      </c>
      <c r="G1750" s="19"/>
      <c r="H1750" s="19"/>
      <c r="I1750" s="19"/>
    </row>
    <row r="1751" ht="56.25" customHeight="1">
      <c r="A1751" s="21" t="s">
        <v>4226</v>
      </c>
      <c r="B1751" s="19" t="str">
        <f>image("https://storage.googleapis.com/acdb/photos/BromideNpcNmlKal09_Remake_5_0.png")</f>
        <v/>
      </c>
      <c r="C1751" s="21" t="s">
        <v>258</v>
      </c>
      <c r="D1751" s="21" t="s">
        <v>51</v>
      </c>
      <c r="E1751" s="21">
        <v>10.0</v>
      </c>
      <c r="F1751" s="21" t="s">
        <v>2289</v>
      </c>
      <c r="G1751" s="19"/>
      <c r="H1751" s="19"/>
      <c r="I1751" s="19"/>
    </row>
    <row r="1752" ht="56.25" customHeight="1">
      <c r="A1752" s="21" t="s">
        <v>4226</v>
      </c>
      <c r="B1752" s="19" t="str">
        <f>image("https://storage.googleapis.com/acdb/photos/BromideNpcNmlKal09_Remake_6_0.png")</f>
        <v/>
      </c>
      <c r="C1752" s="21" t="s">
        <v>182</v>
      </c>
      <c r="D1752" s="21" t="s">
        <v>51</v>
      </c>
      <c r="E1752" s="21">
        <v>10.0</v>
      </c>
      <c r="F1752" s="21" t="s">
        <v>2289</v>
      </c>
      <c r="G1752" s="19"/>
      <c r="H1752" s="19"/>
      <c r="I1752" s="19"/>
    </row>
    <row r="1753" ht="56.25" customHeight="1">
      <c r="A1753" s="21" t="s">
        <v>4226</v>
      </c>
      <c r="B1753" s="19" t="str">
        <f>image("https://storage.googleapis.com/acdb/photos/BromideNpcNmlKal09_Remake_7_0.png")</f>
        <v/>
      </c>
      <c r="C1753" s="21" t="s">
        <v>187</v>
      </c>
      <c r="D1753" s="21" t="s">
        <v>51</v>
      </c>
      <c r="E1753" s="21">
        <v>10.0</v>
      </c>
      <c r="F1753" s="21" t="s">
        <v>2289</v>
      </c>
      <c r="G1753" s="19"/>
      <c r="H1753" s="19"/>
      <c r="I1753" s="19"/>
    </row>
    <row r="1754" ht="56.25" customHeight="1">
      <c r="A1754" s="21" t="s">
        <v>4235</v>
      </c>
      <c r="B1754" s="19" t="str">
        <f>image("https://storage.googleapis.com/acdb/photos/BromideNpcNmlDog14_Remake_0_0.png")</f>
        <v/>
      </c>
      <c r="C1754" s="21" t="s">
        <v>219</v>
      </c>
      <c r="D1754" s="21" t="s">
        <v>51</v>
      </c>
      <c r="E1754" s="21">
        <v>10.0</v>
      </c>
      <c r="F1754" s="21" t="s">
        <v>2289</v>
      </c>
      <c r="G1754" s="19"/>
      <c r="H1754" s="19"/>
      <c r="I1754" s="19"/>
    </row>
    <row r="1755" ht="56.25" customHeight="1">
      <c r="A1755" s="21" t="s">
        <v>4235</v>
      </c>
      <c r="B1755" s="19" t="str">
        <f>image("https://storage.googleapis.com/acdb/photos/BromideNpcNmlDog14_Remake_1_0.png")</f>
        <v/>
      </c>
      <c r="C1755" s="21" t="s">
        <v>795</v>
      </c>
      <c r="D1755" s="21" t="s">
        <v>51</v>
      </c>
      <c r="E1755" s="21">
        <v>10.0</v>
      </c>
      <c r="F1755" s="21" t="s">
        <v>2289</v>
      </c>
      <c r="G1755" s="19"/>
      <c r="H1755" s="19"/>
      <c r="I1755" s="19"/>
    </row>
    <row r="1756" ht="56.25" customHeight="1">
      <c r="A1756" s="21" t="s">
        <v>4235</v>
      </c>
      <c r="B1756" s="19" t="str">
        <f>image("https://storage.googleapis.com/acdb/photos/BromideNpcNmlDog14_Remake_2_0.png")</f>
        <v/>
      </c>
      <c r="C1756" s="21" t="s">
        <v>954</v>
      </c>
      <c r="D1756" s="21" t="s">
        <v>51</v>
      </c>
      <c r="E1756" s="21">
        <v>10.0</v>
      </c>
      <c r="F1756" s="21" t="s">
        <v>2289</v>
      </c>
      <c r="G1756" s="19"/>
      <c r="H1756" s="19"/>
      <c r="I1756" s="19"/>
    </row>
    <row r="1757" ht="56.25" customHeight="1">
      <c r="A1757" s="21" t="s">
        <v>4235</v>
      </c>
      <c r="B1757" s="19" t="str">
        <f>image("https://storage.googleapis.com/acdb/photos/BromideNpcNmlDog14_Remake_3_0.png")</f>
        <v/>
      </c>
      <c r="C1757" s="21" t="s">
        <v>82</v>
      </c>
      <c r="D1757" s="21" t="s">
        <v>51</v>
      </c>
      <c r="E1757" s="21">
        <v>10.0</v>
      </c>
      <c r="F1757" s="21" t="s">
        <v>2289</v>
      </c>
      <c r="G1757" s="19"/>
      <c r="H1757" s="19"/>
      <c r="I1757" s="19"/>
    </row>
    <row r="1758" ht="56.25" customHeight="1">
      <c r="A1758" s="21" t="s">
        <v>4235</v>
      </c>
      <c r="B1758" s="19" t="str">
        <f>image("https://storage.googleapis.com/acdb/photos/BromideNpcNmlDog14_Remake_4_0.png")</f>
        <v/>
      </c>
      <c r="C1758" s="21" t="s">
        <v>833</v>
      </c>
      <c r="D1758" s="21" t="s">
        <v>51</v>
      </c>
      <c r="E1758" s="21">
        <v>10.0</v>
      </c>
      <c r="F1758" s="21" t="s">
        <v>2289</v>
      </c>
      <c r="G1758" s="19"/>
      <c r="H1758" s="19"/>
      <c r="I1758" s="19"/>
    </row>
    <row r="1759" ht="56.25" customHeight="1">
      <c r="A1759" s="21" t="s">
        <v>4235</v>
      </c>
      <c r="B1759" s="19" t="str">
        <f>image("https://storage.googleapis.com/acdb/photos/BromideNpcNmlDog14_Remake_5_0.png")</f>
        <v/>
      </c>
      <c r="C1759" s="21" t="s">
        <v>258</v>
      </c>
      <c r="D1759" s="21" t="s">
        <v>51</v>
      </c>
      <c r="E1759" s="21">
        <v>10.0</v>
      </c>
      <c r="F1759" s="21" t="s">
        <v>2289</v>
      </c>
      <c r="G1759" s="19"/>
      <c r="H1759" s="19"/>
      <c r="I1759" s="19"/>
    </row>
    <row r="1760" ht="56.25" customHeight="1">
      <c r="A1760" s="21" t="s">
        <v>4235</v>
      </c>
      <c r="B1760" s="19" t="str">
        <f>image("https://storage.googleapis.com/acdb/photos/BromideNpcNmlDog14_Remake_6_0.png")</f>
        <v/>
      </c>
      <c r="C1760" s="21" t="s">
        <v>182</v>
      </c>
      <c r="D1760" s="21" t="s">
        <v>51</v>
      </c>
      <c r="E1760" s="21">
        <v>10.0</v>
      </c>
      <c r="F1760" s="21" t="s">
        <v>2289</v>
      </c>
      <c r="G1760" s="19"/>
      <c r="H1760" s="19"/>
      <c r="I1760" s="19"/>
    </row>
    <row r="1761" ht="56.25" customHeight="1">
      <c r="A1761" s="21" t="s">
        <v>4235</v>
      </c>
      <c r="B1761" s="19" t="str">
        <f>image("https://storage.googleapis.com/acdb/photos/BromideNpcNmlDog14_Remake_7_0.png")</f>
        <v/>
      </c>
      <c r="C1761" s="21" t="s">
        <v>187</v>
      </c>
      <c r="D1761" s="21" t="s">
        <v>51</v>
      </c>
      <c r="E1761" s="21">
        <v>10.0</v>
      </c>
      <c r="F1761" s="21" t="s">
        <v>2289</v>
      </c>
      <c r="G1761" s="19"/>
      <c r="H1761" s="19"/>
      <c r="I1761" s="19"/>
    </row>
    <row r="1762" ht="56.25" customHeight="1">
      <c r="A1762" s="21" t="s">
        <v>4242</v>
      </c>
      <c r="B1762" s="19" t="str">
        <f>image("https://storage.googleapis.com/acdb/photos/BromideNpcNmlDog09_Remake_0_0.png")</f>
        <v/>
      </c>
      <c r="C1762" s="21" t="s">
        <v>219</v>
      </c>
      <c r="D1762" s="21" t="s">
        <v>51</v>
      </c>
      <c r="E1762" s="21">
        <v>10.0</v>
      </c>
      <c r="F1762" s="21" t="s">
        <v>2289</v>
      </c>
      <c r="G1762" s="19"/>
      <c r="H1762" s="19"/>
      <c r="I1762" s="19"/>
    </row>
    <row r="1763" ht="56.25" customHeight="1">
      <c r="A1763" s="21" t="s">
        <v>4242</v>
      </c>
      <c r="B1763" s="19" t="str">
        <f>image("https://storage.googleapis.com/acdb/photos/BromideNpcNmlDog09_Remake_1_0.png")</f>
        <v/>
      </c>
      <c r="C1763" s="21" t="s">
        <v>795</v>
      </c>
      <c r="D1763" s="21" t="s">
        <v>51</v>
      </c>
      <c r="E1763" s="21">
        <v>10.0</v>
      </c>
      <c r="F1763" s="21" t="s">
        <v>2289</v>
      </c>
      <c r="G1763" s="19"/>
      <c r="H1763" s="19"/>
      <c r="I1763" s="19"/>
    </row>
    <row r="1764" ht="56.25" customHeight="1">
      <c r="A1764" s="21" t="s">
        <v>4242</v>
      </c>
      <c r="B1764" s="19" t="str">
        <f>image("https://storage.googleapis.com/acdb/photos/BromideNpcNmlDog09_Remake_2_0.png")</f>
        <v/>
      </c>
      <c r="C1764" s="21" t="s">
        <v>954</v>
      </c>
      <c r="D1764" s="21" t="s">
        <v>51</v>
      </c>
      <c r="E1764" s="21">
        <v>10.0</v>
      </c>
      <c r="F1764" s="21" t="s">
        <v>2289</v>
      </c>
      <c r="G1764" s="19"/>
      <c r="H1764" s="19"/>
      <c r="I1764" s="19"/>
    </row>
    <row r="1765" ht="56.25" customHeight="1">
      <c r="A1765" s="21" t="s">
        <v>4242</v>
      </c>
      <c r="B1765" s="19" t="str">
        <f>image("https://storage.googleapis.com/acdb/photos/BromideNpcNmlDog09_Remake_3_0.png")</f>
        <v/>
      </c>
      <c r="C1765" s="21" t="s">
        <v>82</v>
      </c>
      <c r="D1765" s="21" t="s">
        <v>51</v>
      </c>
      <c r="E1765" s="21">
        <v>10.0</v>
      </c>
      <c r="F1765" s="21" t="s">
        <v>2289</v>
      </c>
      <c r="G1765" s="19"/>
      <c r="H1765" s="19"/>
      <c r="I1765" s="19"/>
    </row>
    <row r="1766" ht="56.25" customHeight="1">
      <c r="A1766" s="21" t="s">
        <v>4242</v>
      </c>
      <c r="B1766" s="19" t="str">
        <f>image("https://storage.googleapis.com/acdb/photos/BromideNpcNmlDog09_Remake_4_0.png")</f>
        <v/>
      </c>
      <c r="C1766" s="21" t="s">
        <v>833</v>
      </c>
      <c r="D1766" s="21" t="s">
        <v>51</v>
      </c>
      <c r="E1766" s="21">
        <v>10.0</v>
      </c>
      <c r="F1766" s="21" t="s">
        <v>2289</v>
      </c>
      <c r="G1766" s="19"/>
      <c r="H1766" s="19"/>
      <c r="I1766" s="19"/>
    </row>
    <row r="1767" ht="56.25" customHeight="1">
      <c r="A1767" s="21" t="s">
        <v>4242</v>
      </c>
      <c r="B1767" s="19" t="str">
        <f>image("https://storage.googleapis.com/acdb/photos/BromideNpcNmlDog09_Remake_5_0.png")</f>
        <v/>
      </c>
      <c r="C1767" s="21" t="s">
        <v>258</v>
      </c>
      <c r="D1767" s="21" t="s">
        <v>51</v>
      </c>
      <c r="E1767" s="21">
        <v>10.0</v>
      </c>
      <c r="F1767" s="21" t="s">
        <v>2289</v>
      </c>
      <c r="G1767" s="19"/>
      <c r="H1767" s="19"/>
      <c r="I1767" s="19"/>
    </row>
    <row r="1768" ht="56.25" customHeight="1">
      <c r="A1768" s="21" t="s">
        <v>4242</v>
      </c>
      <c r="B1768" s="19" t="str">
        <f>image("https://storage.googleapis.com/acdb/photos/BromideNpcNmlDog09_Remake_6_0.png")</f>
        <v/>
      </c>
      <c r="C1768" s="21" t="s">
        <v>182</v>
      </c>
      <c r="D1768" s="21" t="s">
        <v>51</v>
      </c>
      <c r="E1768" s="21">
        <v>10.0</v>
      </c>
      <c r="F1768" s="21" t="s">
        <v>2289</v>
      </c>
      <c r="G1768" s="19"/>
      <c r="H1768" s="19"/>
      <c r="I1768" s="19"/>
    </row>
    <row r="1769" ht="56.25" customHeight="1">
      <c r="A1769" s="21" t="s">
        <v>4242</v>
      </c>
      <c r="B1769" s="19" t="str">
        <f>image("https://storage.googleapis.com/acdb/photos/BromideNpcNmlDog09_Remake_7_0.png")</f>
        <v/>
      </c>
      <c r="C1769" s="21" t="s">
        <v>187</v>
      </c>
      <c r="D1769" s="21" t="s">
        <v>51</v>
      </c>
      <c r="E1769" s="21">
        <v>10.0</v>
      </c>
      <c r="F1769" s="21" t="s">
        <v>2289</v>
      </c>
      <c r="G1769" s="19"/>
      <c r="H1769" s="19"/>
      <c r="I1769" s="19"/>
    </row>
    <row r="1770" ht="56.25" customHeight="1">
      <c r="A1770" s="21" t="s">
        <v>4253</v>
      </c>
      <c r="B1770" s="19" t="str">
        <f>image("https://storage.googleapis.com/acdb/photos/BromideNpcNmlDuk03_Remake_0_0.png")</f>
        <v/>
      </c>
      <c r="C1770" s="21" t="s">
        <v>219</v>
      </c>
      <c r="D1770" s="21" t="s">
        <v>51</v>
      </c>
      <c r="E1770" s="21">
        <v>10.0</v>
      </c>
      <c r="F1770" s="21" t="s">
        <v>2289</v>
      </c>
      <c r="G1770" s="19"/>
      <c r="H1770" s="19"/>
      <c r="I1770" s="19"/>
    </row>
    <row r="1771" ht="56.25" customHeight="1">
      <c r="A1771" s="21" t="s">
        <v>4253</v>
      </c>
      <c r="B1771" s="19" t="str">
        <f>image("https://storage.googleapis.com/acdb/photos/BromideNpcNmlDuk03_Remake_1_0.png")</f>
        <v/>
      </c>
      <c r="C1771" s="21" t="s">
        <v>795</v>
      </c>
      <c r="D1771" s="21" t="s">
        <v>51</v>
      </c>
      <c r="E1771" s="21">
        <v>10.0</v>
      </c>
      <c r="F1771" s="21" t="s">
        <v>2289</v>
      </c>
      <c r="G1771" s="19"/>
      <c r="H1771" s="19"/>
      <c r="I1771" s="19"/>
    </row>
    <row r="1772" ht="56.25" customHeight="1">
      <c r="A1772" s="21" t="s">
        <v>4253</v>
      </c>
      <c r="B1772" s="19" t="str">
        <f>image("https://storage.googleapis.com/acdb/photos/BromideNpcNmlDuk03_Remake_2_0.png")</f>
        <v/>
      </c>
      <c r="C1772" s="21" t="s">
        <v>954</v>
      </c>
      <c r="D1772" s="21" t="s">
        <v>51</v>
      </c>
      <c r="E1772" s="21">
        <v>10.0</v>
      </c>
      <c r="F1772" s="21" t="s">
        <v>2289</v>
      </c>
      <c r="G1772" s="19"/>
      <c r="H1772" s="19"/>
      <c r="I1772" s="19"/>
    </row>
    <row r="1773" ht="56.25" customHeight="1">
      <c r="A1773" s="21" t="s">
        <v>4253</v>
      </c>
      <c r="B1773" s="19" t="str">
        <f>image("https://storage.googleapis.com/acdb/photos/BromideNpcNmlDuk03_Remake_3_0.png")</f>
        <v/>
      </c>
      <c r="C1773" s="21" t="s">
        <v>82</v>
      </c>
      <c r="D1773" s="21" t="s">
        <v>51</v>
      </c>
      <c r="E1773" s="21">
        <v>10.0</v>
      </c>
      <c r="F1773" s="21" t="s">
        <v>2289</v>
      </c>
      <c r="G1773" s="19"/>
      <c r="H1773" s="19"/>
      <c r="I1773" s="19"/>
    </row>
    <row r="1774" ht="56.25" customHeight="1">
      <c r="A1774" s="21" t="s">
        <v>4253</v>
      </c>
      <c r="B1774" s="19" t="str">
        <f>image("https://storage.googleapis.com/acdb/photos/BromideNpcNmlDuk03_Remake_4_0.png")</f>
        <v/>
      </c>
      <c r="C1774" s="21" t="s">
        <v>833</v>
      </c>
      <c r="D1774" s="21" t="s">
        <v>51</v>
      </c>
      <c r="E1774" s="21">
        <v>10.0</v>
      </c>
      <c r="F1774" s="21" t="s">
        <v>2289</v>
      </c>
      <c r="G1774" s="19"/>
      <c r="H1774" s="19"/>
      <c r="I1774" s="19"/>
    </row>
    <row r="1775" ht="56.25" customHeight="1">
      <c r="A1775" s="21" t="s">
        <v>4253</v>
      </c>
      <c r="B1775" s="19" t="str">
        <f>image("https://storage.googleapis.com/acdb/photos/BromideNpcNmlDuk03_Remake_5_0.png")</f>
        <v/>
      </c>
      <c r="C1775" s="21" t="s">
        <v>258</v>
      </c>
      <c r="D1775" s="21" t="s">
        <v>51</v>
      </c>
      <c r="E1775" s="21">
        <v>10.0</v>
      </c>
      <c r="F1775" s="21" t="s">
        <v>2289</v>
      </c>
      <c r="G1775" s="19"/>
      <c r="H1775" s="19"/>
      <c r="I1775" s="19"/>
    </row>
    <row r="1776" ht="56.25" customHeight="1">
      <c r="A1776" s="21" t="s">
        <v>4253</v>
      </c>
      <c r="B1776" s="19" t="str">
        <f>image("https://storage.googleapis.com/acdb/photos/BromideNpcNmlDuk03_Remake_6_0.png")</f>
        <v/>
      </c>
      <c r="C1776" s="21" t="s">
        <v>182</v>
      </c>
      <c r="D1776" s="21" t="s">
        <v>51</v>
      </c>
      <c r="E1776" s="21">
        <v>10.0</v>
      </c>
      <c r="F1776" s="21" t="s">
        <v>2289</v>
      </c>
      <c r="G1776" s="19"/>
      <c r="H1776" s="19"/>
      <c r="I1776" s="19"/>
    </row>
    <row r="1777" ht="56.25" customHeight="1">
      <c r="A1777" s="21" t="s">
        <v>4253</v>
      </c>
      <c r="B1777" s="19" t="str">
        <f>image("https://storage.googleapis.com/acdb/photos/BromideNpcNmlDuk03_Remake_7_0.png")</f>
        <v/>
      </c>
      <c r="C1777" s="21" t="s">
        <v>187</v>
      </c>
      <c r="D1777" s="21" t="s">
        <v>51</v>
      </c>
      <c r="E1777" s="21">
        <v>10.0</v>
      </c>
      <c r="F1777" s="21" t="s">
        <v>2289</v>
      </c>
      <c r="G1777" s="19"/>
      <c r="H1777" s="19"/>
      <c r="I1777" s="19"/>
    </row>
    <row r="1778" ht="56.25" customHeight="1">
      <c r="A1778" s="21" t="s">
        <v>4262</v>
      </c>
      <c r="B1778" s="19" t="str">
        <f>image("https://storage.googleapis.com/acdb/photos/BromideNpcNmlPig10_Remake_0_0.png")</f>
        <v/>
      </c>
      <c r="C1778" s="21" t="s">
        <v>219</v>
      </c>
      <c r="D1778" s="21" t="s">
        <v>51</v>
      </c>
      <c r="E1778" s="21">
        <v>10.0</v>
      </c>
      <c r="F1778" s="21" t="s">
        <v>2289</v>
      </c>
      <c r="G1778" s="19"/>
      <c r="H1778" s="19"/>
      <c r="I1778" s="19"/>
    </row>
    <row r="1779" ht="56.25" customHeight="1">
      <c r="A1779" s="21" t="s">
        <v>4262</v>
      </c>
      <c r="B1779" s="19" t="str">
        <f>image("https://storage.googleapis.com/acdb/photos/BromideNpcNmlPig10_Remake_1_0.png")</f>
        <v/>
      </c>
      <c r="C1779" s="21" t="s">
        <v>795</v>
      </c>
      <c r="D1779" s="21" t="s">
        <v>51</v>
      </c>
      <c r="E1779" s="21">
        <v>10.0</v>
      </c>
      <c r="F1779" s="21" t="s">
        <v>2289</v>
      </c>
      <c r="G1779" s="19"/>
      <c r="H1779" s="19"/>
      <c r="I1779" s="19"/>
    </row>
    <row r="1780" ht="56.25" customHeight="1">
      <c r="A1780" s="21" t="s">
        <v>4262</v>
      </c>
      <c r="B1780" s="19" t="str">
        <f>image("https://storage.googleapis.com/acdb/photos/BromideNpcNmlPig10_Remake_2_0.png")</f>
        <v/>
      </c>
      <c r="C1780" s="21" t="s">
        <v>954</v>
      </c>
      <c r="D1780" s="21" t="s">
        <v>51</v>
      </c>
      <c r="E1780" s="21">
        <v>10.0</v>
      </c>
      <c r="F1780" s="21" t="s">
        <v>2289</v>
      </c>
      <c r="G1780" s="19"/>
      <c r="H1780" s="19"/>
      <c r="I1780" s="19"/>
    </row>
    <row r="1781" ht="56.25" customHeight="1">
      <c r="A1781" s="21" t="s">
        <v>4262</v>
      </c>
      <c r="B1781" s="19" t="str">
        <f>image("https://storage.googleapis.com/acdb/photos/BromideNpcNmlPig10_Remake_3_0.png")</f>
        <v/>
      </c>
      <c r="C1781" s="21" t="s">
        <v>82</v>
      </c>
      <c r="D1781" s="21" t="s">
        <v>51</v>
      </c>
      <c r="E1781" s="21">
        <v>10.0</v>
      </c>
      <c r="F1781" s="21" t="s">
        <v>2289</v>
      </c>
      <c r="G1781" s="19"/>
      <c r="H1781" s="19"/>
      <c r="I1781" s="19"/>
    </row>
    <row r="1782" ht="56.25" customHeight="1">
      <c r="A1782" s="21" t="s">
        <v>4262</v>
      </c>
      <c r="B1782" s="19" t="str">
        <f>image("https://storage.googleapis.com/acdb/photos/BromideNpcNmlPig10_Remake_4_0.png")</f>
        <v/>
      </c>
      <c r="C1782" s="21" t="s">
        <v>833</v>
      </c>
      <c r="D1782" s="21" t="s">
        <v>51</v>
      </c>
      <c r="E1782" s="21">
        <v>10.0</v>
      </c>
      <c r="F1782" s="21" t="s">
        <v>2289</v>
      </c>
      <c r="G1782" s="19"/>
      <c r="H1782" s="19"/>
      <c r="I1782" s="19"/>
    </row>
    <row r="1783" ht="56.25" customHeight="1">
      <c r="A1783" s="21" t="s">
        <v>4262</v>
      </c>
      <c r="B1783" s="19" t="str">
        <f>image("https://storage.googleapis.com/acdb/photos/BromideNpcNmlPig10_Remake_5_0.png")</f>
        <v/>
      </c>
      <c r="C1783" s="21" t="s">
        <v>258</v>
      </c>
      <c r="D1783" s="21" t="s">
        <v>51</v>
      </c>
      <c r="E1783" s="21">
        <v>10.0</v>
      </c>
      <c r="F1783" s="21" t="s">
        <v>2289</v>
      </c>
      <c r="G1783" s="19"/>
      <c r="H1783" s="19"/>
      <c r="I1783" s="19"/>
    </row>
    <row r="1784" ht="56.25" customHeight="1">
      <c r="A1784" s="21" t="s">
        <v>4262</v>
      </c>
      <c r="B1784" s="19" t="str">
        <f>image("https://storage.googleapis.com/acdb/photos/BromideNpcNmlPig10_Remake_6_0.png")</f>
        <v/>
      </c>
      <c r="C1784" s="21" t="s">
        <v>182</v>
      </c>
      <c r="D1784" s="21" t="s">
        <v>51</v>
      </c>
      <c r="E1784" s="21">
        <v>10.0</v>
      </c>
      <c r="F1784" s="21" t="s">
        <v>2289</v>
      </c>
      <c r="G1784" s="19"/>
      <c r="H1784" s="19"/>
      <c r="I1784" s="19"/>
    </row>
    <row r="1785" ht="56.25" customHeight="1">
      <c r="A1785" s="21" t="s">
        <v>4262</v>
      </c>
      <c r="B1785" s="19" t="str">
        <f>image("https://storage.googleapis.com/acdb/photos/BromideNpcNmlPig10_Remake_7_0.png")</f>
        <v/>
      </c>
      <c r="C1785" s="21" t="s">
        <v>187</v>
      </c>
      <c r="D1785" s="21" t="s">
        <v>51</v>
      </c>
      <c r="E1785" s="21">
        <v>10.0</v>
      </c>
      <c r="F1785" s="21" t="s">
        <v>2289</v>
      </c>
      <c r="G1785" s="19"/>
      <c r="H1785" s="19"/>
      <c r="I1785" s="19"/>
    </row>
    <row r="1786" ht="56.25" customHeight="1">
      <c r="A1786" s="21" t="s">
        <v>4269</v>
      </c>
      <c r="B1786" s="19" t="str">
        <f>image("https://storage.googleapis.com/acdb/photos/BromideNpcNmlDuk06_Remake_0_0.png")</f>
        <v/>
      </c>
      <c r="C1786" s="21" t="s">
        <v>219</v>
      </c>
      <c r="D1786" s="21" t="s">
        <v>51</v>
      </c>
      <c r="E1786" s="21">
        <v>10.0</v>
      </c>
      <c r="F1786" s="21" t="s">
        <v>2289</v>
      </c>
      <c r="G1786" s="19"/>
      <c r="H1786" s="19"/>
      <c r="I1786" s="19"/>
    </row>
    <row r="1787" ht="56.25" customHeight="1">
      <c r="A1787" s="21" t="s">
        <v>4269</v>
      </c>
      <c r="B1787" s="19" t="str">
        <f>image("https://storage.googleapis.com/acdb/photos/BromideNpcNmlDuk06_Remake_1_0.png")</f>
        <v/>
      </c>
      <c r="C1787" s="21" t="s">
        <v>795</v>
      </c>
      <c r="D1787" s="21" t="s">
        <v>51</v>
      </c>
      <c r="E1787" s="21">
        <v>10.0</v>
      </c>
      <c r="F1787" s="21" t="s">
        <v>2289</v>
      </c>
      <c r="G1787" s="19"/>
      <c r="H1787" s="19"/>
      <c r="I1787" s="19"/>
    </row>
    <row r="1788" ht="56.25" customHeight="1">
      <c r="A1788" s="21" t="s">
        <v>4269</v>
      </c>
      <c r="B1788" s="19" t="str">
        <f>image("https://storage.googleapis.com/acdb/photos/BromideNpcNmlDuk06_Remake_2_0.png")</f>
        <v/>
      </c>
      <c r="C1788" s="21" t="s">
        <v>954</v>
      </c>
      <c r="D1788" s="21" t="s">
        <v>51</v>
      </c>
      <c r="E1788" s="21">
        <v>10.0</v>
      </c>
      <c r="F1788" s="21" t="s">
        <v>2289</v>
      </c>
      <c r="G1788" s="19"/>
      <c r="H1788" s="19"/>
      <c r="I1788" s="19"/>
    </row>
    <row r="1789" ht="56.25" customHeight="1">
      <c r="A1789" s="21" t="s">
        <v>4269</v>
      </c>
      <c r="B1789" s="19" t="str">
        <f>image("https://storage.googleapis.com/acdb/photos/BromideNpcNmlDuk06_Remake_3_0.png")</f>
        <v/>
      </c>
      <c r="C1789" s="21" t="s">
        <v>82</v>
      </c>
      <c r="D1789" s="21" t="s">
        <v>51</v>
      </c>
      <c r="E1789" s="21">
        <v>10.0</v>
      </c>
      <c r="F1789" s="21" t="s">
        <v>2289</v>
      </c>
      <c r="G1789" s="19"/>
      <c r="H1789" s="19"/>
      <c r="I1789" s="19"/>
    </row>
    <row r="1790" ht="56.25" customHeight="1">
      <c r="A1790" s="21" t="s">
        <v>4269</v>
      </c>
      <c r="B1790" s="19" t="str">
        <f>image("https://storage.googleapis.com/acdb/photos/BromideNpcNmlDuk06_Remake_4_0.png")</f>
        <v/>
      </c>
      <c r="C1790" s="21" t="s">
        <v>833</v>
      </c>
      <c r="D1790" s="21" t="s">
        <v>51</v>
      </c>
      <c r="E1790" s="21">
        <v>10.0</v>
      </c>
      <c r="F1790" s="21" t="s">
        <v>2289</v>
      </c>
      <c r="G1790" s="19"/>
      <c r="H1790" s="19"/>
      <c r="I1790" s="19"/>
    </row>
    <row r="1791" ht="56.25" customHeight="1">
      <c r="A1791" s="21" t="s">
        <v>4269</v>
      </c>
      <c r="B1791" s="19" t="str">
        <f>image("https://storage.googleapis.com/acdb/photos/BromideNpcNmlDuk06_Remake_5_0.png")</f>
        <v/>
      </c>
      <c r="C1791" s="21" t="s">
        <v>258</v>
      </c>
      <c r="D1791" s="21" t="s">
        <v>51</v>
      </c>
      <c r="E1791" s="21">
        <v>10.0</v>
      </c>
      <c r="F1791" s="21" t="s">
        <v>2289</v>
      </c>
      <c r="G1791" s="19"/>
      <c r="H1791" s="19"/>
      <c r="I1791" s="19"/>
    </row>
    <row r="1792" ht="56.25" customHeight="1">
      <c r="A1792" s="21" t="s">
        <v>4269</v>
      </c>
      <c r="B1792" s="19" t="str">
        <f>image("https://storage.googleapis.com/acdb/photos/BromideNpcNmlDuk06_Remake_6_0.png")</f>
        <v/>
      </c>
      <c r="C1792" s="21" t="s">
        <v>182</v>
      </c>
      <c r="D1792" s="21" t="s">
        <v>51</v>
      </c>
      <c r="E1792" s="21">
        <v>10.0</v>
      </c>
      <c r="F1792" s="21" t="s">
        <v>2289</v>
      </c>
      <c r="G1792" s="19"/>
      <c r="H1792" s="19"/>
      <c r="I1792" s="19"/>
    </row>
    <row r="1793" ht="56.25" customHeight="1">
      <c r="A1793" s="21" t="s">
        <v>4269</v>
      </c>
      <c r="B1793" s="19" t="str">
        <f>image("https://storage.googleapis.com/acdb/photos/BromideNpcNmlDuk06_Remake_7_0.png")</f>
        <v/>
      </c>
      <c r="C1793" s="21" t="s">
        <v>187</v>
      </c>
      <c r="D1793" s="21" t="s">
        <v>51</v>
      </c>
      <c r="E1793" s="21">
        <v>10.0</v>
      </c>
      <c r="F1793" s="21" t="s">
        <v>2289</v>
      </c>
      <c r="G1793" s="19"/>
      <c r="H1793" s="19"/>
      <c r="I1793" s="19"/>
    </row>
    <row r="1794" ht="56.25" customHeight="1">
      <c r="A1794" s="21" t="s">
        <v>4282</v>
      </c>
      <c r="B1794" s="19" t="str">
        <f>image("https://storage.googleapis.com/acdb/photos/BromideNpcNmlCbr01_Remake_0_0.png")</f>
        <v/>
      </c>
      <c r="C1794" s="21" t="s">
        <v>219</v>
      </c>
      <c r="D1794" s="21" t="s">
        <v>51</v>
      </c>
      <c r="E1794" s="21">
        <v>10.0</v>
      </c>
      <c r="F1794" s="21" t="s">
        <v>2289</v>
      </c>
      <c r="G1794" s="19"/>
      <c r="H1794" s="19"/>
      <c r="I1794" s="19"/>
    </row>
    <row r="1795" ht="56.25" customHeight="1">
      <c r="A1795" s="21" t="s">
        <v>4282</v>
      </c>
      <c r="B1795" s="19" t="str">
        <f>image("https://storage.googleapis.com/acdb/photos/BromideNpcNmlCbr01_Remake_1_0.png")</f>
        <v/>
      </c>
      <c r="C1795" s="21" t="s">
        <v>795</v>
      </c>
      <c r="D1795" s="21" t="s">
        <v>51</v>
      </c>
      <c r="E1795" s="21">
        <v>10.0</v>
      </c>
      <c r="F1795" s="21" t="s">
        <v>2289</v>
      </c>
      <c r="G1795" s="19"/>
      <c r="H1795" s="19"/>
      <c r="I1795" s="19"/>
    </row>
    <row r="1796" ht="56.25" customHeight="1">
      <c r="A1796" s="21" t="s">
        <v>4282</v>
      </c>
      <c r="B1796" s="19" t="str">
        <f>image("https://storage.googleapis.com/acdb/photos/BromideNpcNmlCbr01_Remake_2_0.png")</f>
        <v/>
      </c>
      <c r="C1796" s="21" t="s">
        <v>954</v>
      </c>
      <c r="D1796" s="21" t="s">
        <v>51</v>
      </c>
      <c r="E1796" s="21">
        <v>10.0</v>
      </c>
      <c r="F1796" s="21" t="s">
        <v>2289</v>
      </c>
      <c r="G1796" s="19"/>
      <c r="H1796" s="19"/>
      <c r="I1796" s="19"/>
    </row>
    <row r="1797" ht="56.25" customHeight="1">
      <c r="A1797" s="21" t="s">
        <v>4282</v>
      </c>
      <c r="B1797" s="19" t="str">
        <f>image("https://storage.googleapis.com/acdb/photos/BromideNpcNmlCbr01_Remake_3_0.png")</f>
        <v/>
      </c>
      <c r="C1797" s="21" t="s">
        <v>82</v>
      </c>
      <c r="D1797" s="21" t="s">
        <v>51</v>
      </c>
      <c r="E1797" s="21">
        <v>10.0</v>
      </c>
      <c r="F1797" s="21" t="s">
        <v>2289</v>
      </c>
      <c r="G1797" s="19"/>
      <c r="H1797" s="19"/>
      <c r="I1797" s="19"/>
    </row>
    <row r="1798" ht="56.25" customHeight="1">
      <c r="A1798" s="21" t="s">
        <v>4282</v>
      </c>
      <c r="B1798" s="19" t="str">
        <f>image("https://storage.googleapis.com/acdb/photos/BromideNpcNmlCbr01_Remake_4_0.png")</f>
        <v/>
      </c>
      <c r="C1798" s="21" t="s">
        <v>833</v>
      </c>
      <c r="D1798" s="21" t="s">
        <v>51</v>
      </c>
      <c r="E1798" s="21">
        <v>10.0</v>
      </c>
      <c r="F1798" s="21" t="s">
        <v>2289</v>
      </c>
      <c r="G1798" s="19"/>
      <c r="H1798" s="19"/>
      <c r="I1798" s="19"/>
    </row>
    <row r="1799" ht="56.25" customHeight="1">
      <c r="A1799" s="21" t="s">
        <v>4282</v>
      </c>
      <c r="B1799" s="19" t="str">
        <f>image("https://storage.googleapis.com/acdb/photos/BromideNpcNmlCbr01_Remake_5_0.png")</f>
        <v/>
      </c>
      <c r="C1799" s="21" t="s">
        <v>258</v>
      </c>
      <c r="D1799" s="21" t="s">
        <v>51</v>
      </c>
      <c r="E1799" s="21">
        <v>10.0</v>
      </c>
      <c r="F1799" s="21" t="s">
        <v>2289</v>
      </c>
      <c r="G1799" s="19"/>
      <c r="H1799" s="19"/>
      <c r="I1799" s="19"/>
    </row>
    <row r="1800" ht="56.25" customHeight="1">
      <c r="A1800" s="21" t="s">
        <v>4282</v>
      </c>
      <c r="B1800" s="19" t="str">
        <f>image("https://storage.googleapis.com/acdb/photos/BromideNpcNmlCbr01_Remake_6_0.png")</f>
        <v/>
      </c>
      <c r="C1800" s="21" t="s">
        <v>182</v>
      </c>
      <c r="D1800" s="21" t="s">
        <v>51</v>
      </c>
      <c r="E1800" s="21">
        <v>10.0</v>
      </c>
      <c r="F1800" s="21" t="s">
        <v>2289</v>
      </c>
      <c r="G1800" s="19"/>
      <c r="H1800" s="19"/>
      <c r="I1800" s="19"/>
    </row>
    <row r="1801" ht="56.25" customHeight="1">
      <c r="A1801" s="21" t="s">
        <v>4282</v>
      </c>
      <c r="B1801" s="19" t="str">
        <f>image("https://storage.googleapis.com/acdb/photos/BromideNpcNmlCbr01_Remake_7_0.png")</f>
        <v/>
      </c>
      <c r="C1801" s="21" t="s">
        <v>187</v>
      </c>
      <c r="D1801" s="21" t="s">
        <v>51</v>
      </c>
      <c r="E1801" s="21">
        <v>10.0</v>
      </c>
      <c r="F1801" s="21" t="s">
        <v>2289</v>
      </c>
      <c r="G1801" s="19"/>
      <c r="H1801" s="19"/>
      <c r="I1801" s="19"/>
    </row>
    <row r="1802" ht="56.25" customHeight="1">
      <c r="A1802" s="21" t="s">
        <v>4295</v>
      </c>
      <c r="B1802" s="19" t="str">
        <f>image("https://storage.googleapis.com/acdb/photos/BromideNpcNmlDog15_Remake_0_0.png")</f>
        <v/>
      </c>
      <c r="C1802" s="21" t="s">
        <v>219</v>
      </c>
      <c r="D1802" s="21" t="s">
        <v>51</v>
      </c>
      <c r="E1802" s="21">
        <v>10.0</v>
      </c>
      <c r="F1802" s="21" t="s">
        <v>2289</v>
      </c>
      <c r="G1802" s="19"/>
      <c r="H1802" s="19"/>
      <c r="I1802" s="19"/>
    </row>
    <row r="1803" ht="56.25" customHeight="1">
      <c r="A1803" s="21" t="s">
        <v>4295</v>
      </c>
      <c r="B1803" s="19" t="str">
        <f>image("https://storage.googleapis.com/acdb/photos/BromideNpcNmlDog15_Remake_1_0.png")</f>
        <v/>
      </c>
      <c r="C1803" s="21" t="s">
        <v>795</v>
      </c>
      <c r="D1803" s="21" t="s">
        <v>51</v>
      </c>
      <c r="E1803" s="21">
        <v>10.0</v>
      </c>
      <c r="F1803" s="21" t="s">
        <v>2289</v>
      </c>
      <c r="G1803" s="19"/>
      <c r="H1803" s="19"/>
      <c r="I1803" s="19"/>
    </row>
    <row r="1804" ht="56.25" customHeight="1">
      <c r="A1804" s="21" t="s">
        <v>4295</v>
      </c>
      <c r="B1804" s="19" t="str">
        <f>image("https://storage.googleapis.com/acdb/photos/BromideNpcNmlDog15_Remake_2_0.png")</f>
        <v/>
      </c>
      <c r="C1804" s="21" t="s">
        <v>954</v>
      </c>
      <c r="D1804" s="21" t="s">
        <v>51</v>
      </c>
      <c r="E1804" s="21">
        <v>10.0</v>
      </c>
      <c r="F1804" s="21" t="s">
        <v>2289</v>
      </c>
      <c r="G1804" s="19"/>
      <c r="H1804" s="19"/>
      <c r="I1804" s="19"/>
    </row>
    <row r="1805" ht="56.25" customHeight="1">
      <c r="A1805" s="21" t="s">
        <v>4295</v>
      </c>
      <c r="B1805" s="19" t="str">
        <f>image("https://storage.googleapis.com/acdb/photos/BromideNpcNmlDog15_Remake_3_0.png")</f>
        <v/>
      </c>
      <c r="C1805" s="21" t="s">
        <v>82</v>
      </c>
      <c r="D1805" s="21" t="s">
        <v>51</v>
      </c>
      <c r="E1805" s="21">
        <v>10.0</v>
      </c>
      <c r="F1805" s="21" t="s">
        <v>2289</v>
      </c>
      <c r="G1805" s="19"/>
      <c r="H1805" s="19"/>
      <c r="I1805" s="19"/>
    </row>
    <row r="1806" ht="56.25" customHeight="1">
      <c r="A1806" s="21" t="s">
        <v>4295</v>
      </c>
      <c r="B1806" s="19" t="str">
        <f>image("https://storage.googleapis.com/acdb/photos/BromideNpcNmlDog15_Remake_4_0.png")</f>
        <v/>
      </c>
      <c r="C1806" s="21" t="s">
        <v>833</v>
      </c>
      <c r="D1806" s="21" t="s">
        <v>51</v>
      </c>
      <c r="E1806" s="21">
        <v>10.0</v>
      </c>
      <c r="F1806" s="21" t="s">
        <v>2289</v>
      </c>
      <c r="G1806" s="19"/>
      <c r="H1806" s="19"/>
      <c r="I1806" s="19"/>
    </row>
    <row r="1807" ht="56.25" customHeight="1">
      <c r="A1807" s="21" t="s">
        <v>4295</v>
      </c>
      <c r="B1807" s="19" t="str">
        <f>image("https://storage.googleapis.com/acdb/photos/BromideNpcNmlDog15_Remake_5_0.png")</f>
        <v/>
      </c>
      <c r="C1807" s="21" t="s">
        <v>258</v>
      </c>
      <c r="D1807" s="21" t="s">
        <v>51</v>
      </c>
      <c r="E1807" s="21">
        <v>10.0</v>
      </c>
      <c r="F1807" s="21" t="s">
        <v>2289</v>
      </c>
      <c r="G1807" s="19"/>
      <c r="H1807" s="19"/>
      <c r="I1807" s="19"/>
    </row>
    <row r="1808" ht="56.25" customHeight="1">
      <c r="A1808" s="21" t="s">
        <v>4295</v>
      </c>
      <c r="B1808" s="19" t="str">
        <f>image("https://storage.googleapis.com/acdb/photos/BromideNpcNmlDog15_Remake_6_0.png")</f>
        <v/>
      </c>
      <c r="C1808" s="21" t="s">
        <v>182</v>
      </c>
      <c r="D1808" s="21" t="s">
        <v>51</v>
      </c>
      <c r="E1808" s="21">
        <v>10.0</v>
      </c>
      <c r="F1808" s="21" t="s">
        <v>2289</v>
      </c>
      <c r="G1808" s="19"/>
      <c r="H1808" s="19"/>
      <c r="I1808" s="19"/>
    </row>
    <row r="1809" ht="56.25" customHeight="1">
      <c r="A1809" s="21" t="s">
        <v>4295</v>
      </c>
      <c r="B1809" s="19" t="str">
        <f>image("https://storage.googleapis.com/acdb/photos/BromideNpcNmlDog15_Remake_7_0.png")</f>
        <v/>
      </c>
      <c r="C1809" s="21" t="s">
        <v>187</v>
      </c>
      <c r="D1809" s="21" t="s">
        <v>51</v>
      </c>
      <c r="E1809" s="21">
        <v>10.0</v>
      </c>
      <c r="F1809" s="21" t="s">
        <v>2289</v>
      </c>
      <c r="G1809" s="19"/>
      <c r="H1809" s="19"/>
      <c r="I1809" s="19"/>
    </row>
    <row r="1810" ht="56.25" customHeight="1">
      <c r="A1810" s="21" t="s">
        <v>4306</v>
      </c>
      <c r="B1810" s="19" t="str">
        <f>image("https://storage.googleapis.com/acdb/photos/BromideNpcNmlKgr10_Remake_0_0.png")</f>
        <v/>
      </c>
      <c r="C1810" s="21" t="s">
        <v>219</v>
      </c>
      <c r="D1810" s="21" t="s">
        <v>51</v>
      </c>
      <c r="E1810" s="21">
        <v>10.0</v>
      </c>
      <c r="F1810" s="21" t="s">
        <v>2289</v>
      </c>
      <c r="G1810" s="19"/>
      <c r="H1810" s="19"/>
      <c r="I1810" s="19"/>
    </row>
    <row r="1811" ht="56.25" customHeight="1">
      <c r="A1811" s="21" t="s">
        <v>4306</v>
      </c>
      <c r="B1811" s="19" t="str">
        <f>image("https://storage.googleapis.com/acdb/photos/BromideNpcNmlKgr10_Remake_1_0.png")</f>
        <v/>
      </c>
      <c r="C1811" s="21" t="s">
        <v>795</v>
      </c>
      <c r="D1811" s="21" t="s">
        <v>51</v>
      </c>
      <c r="E1811" s="21">
        <v>10.0</v>
      </c>
      <c r="F1811" s="21" t="s">
        <v>2289</v>
      </c>
      <c r="G1811" s="19"/>
      <c r="H1811" s="19"/>
      <c r="I1811" s="19"/>
    </row>
    <row r="1812" ht="56.25" customHeight="1">
      <c r="A1812" s="21" t="s">
        <v>4306</v>
      </c>
      <c r="B1812" s="19" t="str">
        <f>image("https://storage.googleapis.com/acdb/photos/BromideNpcNmlKgr10_Remake_2_0.png")</f>
        <v/>
      </c>
      <c r="C1812" s="21" t="s">
        <v>954</v>
      </c>
      <c r="D1812" s="21" t="s">
        <v>51</v>
      </c>
      <c r="E1812" s="21">
        <v>10.0</v>
      </c>
      <c r="F1812" s="21" t="s">
        <v>2289</v>
      </c>
      <c r="G1812" s="19"/>
      <c r="H1812" s="19"/>
      <c r="I1812" s="19"/>
    </row>
    <row r="1813" ht="56.25" customHeight="1">
      <c r="A1813" s="21" t="s">
        <v>4306</v>
      </c>
      <c r="B1813" s="19" t="str">
        <f>image("https://storage.googleapis.com/acdb/photos/BromideNpcNmlKgr10_Remake_3_0.png")</f>
        <v/>
      </c>
      <c r="C1813" s="21" t="s">
        <v>82</v>
      </c>
      <c r="D1813" s="21" t="s">
        <v>51</v>
      </c>
      <c r="E1813" s="21">
        <v>10.0</v>
      </c>
      <c r="F1813" s="21" t="s">
        <v>2289</v>
      </c>
      <c r="G1813" s="19"/>
      <c r="H1813" s="19"/>
      <c r="I1813" s="19"/>
    </row>
    <row r="1814" ht="56.25" customHeight="1">
      <c r="A1814" s="21" t="s">
        <v>4306</v>
      </c>
      <c r="B1814" s="19" t="str">
        <f>image("https://storage.googleapis.com/acdb/photos/BromideNpcNmlKgr10_Remake_4_0.png")</f>
        <v/>
      </c>
      <c r="C1814" s="21" t="s">
        <v>833</v>
      </c>
      <c r="D1814" s="21" t="s">
        <v>51</v>
      </c>
      <c r="E1814" s="21">
        <v>10.0</v>
      </c>
      <c r="F1814" s="21" t="s">
        <v>2289</v>
      </c>
      <c r="G1814" s="19"/>
      <c r="H1814" s="19"/>
      <c r="I1814" s="19"/>
    </row>
    <row r="1815" ht="56.25" customHeight="1">
      <c r="A1815" s="21" t="s">
        <v>4306</v>
      </c>
      <c r="B1815" s="19" t="str">
        <f>image("https://storage.googleapis.com/acdb/photos/BromideNpcNmlKgr10_Remake_5_0.png")</f>
        <v/>
      </c>
      <c r="C1815" s="21" t="s">
        <v>258</v>
      </c>
      <c r="D1815" s="21" t="s">
        <v>51</v>
      </c>
      <c r="E1815" s="21">
        <v>10.0</v>
      </c>
      <c r="F1815" s="21" t="s">
        <v>2289</v>
      </c>
      <c r="G1815" s="19"/>
      <c r="H1815" s="19"/>
      <c r="I1815" s="19"/>
    </row>
    <row r="1816" ht="56.25" customHeight="1">
      <c r="A1816" s="21" t="s">
        <v>4306</v>
      </c>
      <c r="B1816" s="19" t="str">
        <f>image("https://storage.googleapis.com/acdb/photos/BromideNpcNmlKgr10_Remake_6_0.png")</f>
        <v/>
      </c>
      <c r="C1816" s="21" t="s">
        <v>182</v>
      </c>
      <c r="D1816" s="21" t="s">
        <v>51</v>
      </c>
      <c r="E1816" s="21">
        <v>10.0</v>
      </c>
      <c r="F1816" s="21" t="s">
        <v>2289</v>
      </c>
      <c r="G1816" s="19"/>
      <c r="H1816" s="19"/>
      <c r="I1816" s="19"/>
    </row>
    <row r="1817" ht="56.25" customHeight="1">
      <c r="A1817" s="21" t="s">
        <v>4306</v>
      </c>
      <c r="B1817" s="19" t="str">
        <f>image("https://storage.googleapis.com/acdb/photos/BromideNpcNmlKgr10_Remake_7_0.png")</f>
        <v/>
      </c>
      <c r="C1817" s="21" t="s">
        <v>187</v>
      </c>
      <c r="D1817" s="21" t="s">
        <v>51</v>
      </c>
      <c r="E1817" s="21">
        <v>10.0</v>
      </c>
      <c r="F1817" s="21" t="s">
        <v>2289</v>
      </c>
      <c r="G1817" s="19"/>
      <c r="H1817" s="19"/>
      <c r="I1817" s="19"/>
    </row>
    <row r="1818" ht="56.25" customHeight="1">
      <c r="A1818" s="21" t="s">
        <v>4316</v>
      </c>
      <c r="B1818" s="19" t="str">
        <f>image("https://storage.googleapis.com/acdb/photos/BromideNpcNmlElp04_Remake_0_0.png")</f>
        <v/>
      </c>
      <c r="C1818" s="21" t="s">
        <v>219</v>
      </c>
      <c r="D1818" s="21" t="s">
        <v>51</v>
      </c>
      <c r="E1818" s="21">
        <v>10.0</v>
      </c>
      <c r="F1818" s="21" t="s">
        <v>2289</v>
      </c>
      <c r="G1818" s="19"/>
      <c r="H1818" s="19"/>
      <c r="I1818" s="19"/>
    </row>
    <row r="1819" ht="56.25" customHeight="1">
      <c r="A1819" s="21" t="s">
        <v>4316</v>
      </c>
      <c r="B1819" s="19" t="str">
        <f>image("https://storage.googleapis.com/acdb/photos/BromideNpcNmlElp04_Remake_1_0.png")</f>
        <v/>
      </c>
      <c r="C1819" s="21" t="s">
        <v>795</v>
      </c>
      <c r="D1819" s="21" t="s">
        <v>51</v>
      </c>
      <c r="E1819" s="21">
        <v>10.0</v>
      </c>
      <c r="F1819" s="21" t="s">
        <v>2289</v>
      </c>
      <c r="G1819" s="19"/>
      <c r="H1819" s="19"/>
      <c r="I1819" s="19"/>
    </row>
    <row r="1820" ht="56.25" customHeight="1">
      <c r="A1820" s="21" t="s">
        <v>4316</v>
      </c>
      <c r="B1820" s="19" t="str">
        <f>image("https://storage.googleapis.com/acdb/photos/BromideNpcNmlElp04_Remake_2_0.png")</f>
        <v/>
      </c>
      <c r="C1820" s="21" t="s">
        <v>954</v>
      </c>
      <c r="D1820" s="21" t="s">
        <v>51</v>
      </c>
      <c r="E1820" s="21">
        <v>10.0</v>
      </c>
      <c r="F1820" s="21" t="s">
        <v>2289</v>
      </c>
      <c r="G1820" s="19"/>
      <c r="H1820" s="19"/>
      <c r="I1820" s="19"/>
    </row>
    <row r="1821" ht="56.25" customHeight="1">
      <c r="A1821" s="21" t="s">
        <v>4316</v>
      </c>
      <c r="B1821" s="19" t="str">
        <f>image("https://storage.googleapis.com/acdb/photos/BromideNpcNmlElp04_Remake_3_0.png")</f>
        <v/>
      </c>
      <c r="C1821" s="21" t="s">
        <v>82</v>
      </c>
      <c r="D1821" s="21" t="s">
        <v>51</v>
      </c>
      <c r="E1821" s="21">
        <v>10.0</v>
      </c>
      <c r="F1821" s="21" t="s">
        <v>2289</v>
      </c>
      <c r="G1821" s="19"/>
      <c r="H1821" s="19"/>
      <c r="I1821" s="19"/>
    </row>
    <row r="1822" ht="56.25" customHeight="1">
      <c r="A1822" s="21" t="s">
        <v>4316</v>
      </c>
      <c r="B1822" s="19" t="str">
        <f>image("https://storage.googleapis.com/acdb/photos/BromideNpcNmlElp04_Remake_4_0.png")</f>
        <v/>
      </c>
      <c r="C1822" s="21" t="s">
        <v>833</v>
      </c>
      <c r="D1822" s="21" t="s">
        <v>51</v>
      </c>
      <c r="E1822" s="21">
        <v>10.0</v>
      </c>
      <c r="F1822" s="21" t="s">
        <v>2289</v>
      </c>
      <c r="G1822" s="19"/>
      <c r="H1822" s="19"/>
      <c r="I1822" s="19"/>
    </row>
    <row r="1823" ht="56.25" customHeight="1">
      <c r="A1823" s="21" t="s">
        <v>4316</v>
      </c>
      <c r="B1823" s="19" t="str">
        <f>image("https://storage.googleapis.com/acdb/photos/BromideNpcNmlElp04_Remake_5_0.png")</f>
        <v/>
      </c>
      <c r="C1823" s="21" t="s">
        <v>258</v>
      </c>
      <c r="D1823" s="21" t="s">
        <v>51</v>
      </c>
      <c r="E1823" s="21">
        <v>10.0</v>
      </c>
      <c r="F1823" s="21" t="s">
        <v>2289</v>
      </c>
      <c r="G1823" s="19"/>
      <c r="H1823" s="19"/>
      <c r="I1823" s="19"/>
    </row>
    <row r="1824" ht="56.25" customHeight="1">
      <c r="A1824" s="21" t="s">
        <v>4316</v>
      </c>
      <c r="B1824" s="19" t="str">
        <f>image("https://storage.googleapis.com/acdb/photos/BromideNpcNmlElp04_Remake_6_0.png")</f>
        <v/>
      </c>
      <c r="C1824" s="21" t="s">
        <v>182</v>
      </c>
      <c r="D1824" s="21" t="s">
        <v>51</v>
      </c>
      <c r="E1824" s="21">
        <v>10.0</v>
      </c>
      <c r="F1824" s="21" t="s">
        <v>2289</v>
      </c>
      <c r="G1824" s="19"/>
      <c r="H1824" s="19"/>
      <c r="I1824" s="19"/>
    </row>
    <row r="1825" ht="56.25" customHeight="1">
      <c r="A1825" s="21" t="s">
        <v>4316</v>
      </c>
      <c r="B1825" s="19" t="str">
        <f>image("https://storage.googleapis.com/acdb/photos/BromideNpcNmlElp04_Remake_7_0.png")</f>
        <v/>
      </c>
      <c r="C1825" s="21" t="s">
        <v>187</v>
      </c>
      <c r="D1825" s="21" t="s">
        <v>51</v>
      </c>
      <c r="E1825" s="21">
        <v>10.0</v>
      </c>
      <c r="F1825" s="21" t="s">
        <v>2289</v>
      </c>
      <c r="G1825" s="19"/>
      <c r="H1825" s="19"/>
      <c r="I1825" s="19"/>
    </row>
    <row r="1826" ht="56.25" customHeight="1">
      <c r="A1826" s="21" t="s">
        <v>4326</v>
      </c>
      <c r="B1826" s="19" t="str">
        <f>image("https://storage.googleapis.com/acdb/photos/BromideNpcNmlOcp01_Remake_0_0.png")</f>
        <v/>
      </c>
      <c r="C1826" s="21" t="s">
        <v>219</v>
      </c>
      <c r="D1826" s="21" t="s">
        <v>51</v>
      </c>
      <c r="E1826" s="21">
        <v>10.0</v>
      </c>
      <c r="F1826" s="21" t="s">
        <v>2289</v>
      </c>
      <c r="G1826" s="19"/>
      <c r="H1826" s="19"/>
      <c r="I1826" s="19"/>
    </row>
    <row r="1827" ht="56.25" customHeight="1">
      <c r="A1827" s="21" t="s">
        <v>4326</v>
      </c>
      <c r="B1827" s="19" t="str">
        <f>image("https://storage.googleapis.com/acdb/photos/BromideNpcNmlOcp01_Remake_1_0.png")</f>
        <v/>
      </c>
      <c r="C1827" s="21" t="s">
        <v>795</v>
      </c>
      <c r="D1827" s="21" t="s">
        <v>51</v>
      </c>
      <c r="E1827" s="21">
        <v>10.0</v>
      </c>
      <c r="F1827" s="21" t="s">
        <v>2289</v>
      </c>
      <c r="G1827" s="19"/>
      <c r="H1827" s="19"/>
      <c r="I1827" s="19"/>
    </row>
    <row r="1828" ht="56.25" customHeight="1">
      <c r="A1828" s="21" t="s">
        <v>4326</v>
      </c>
      <c r="B1828" s="19" t="str">
        <f>image("https://storage.googleapis.com/acdb/photos/BromideNpcNmlOcp01_Remake_2_0.png")</f>
        <v/>
      </c>
      <c r="C1828" s="21" t="s">
        <v>954</v>
      </c>
      <c r="D1828" s="21" t="s">
        <v>51</v>
      </c>
      <c r="E1828" s="21">
        <v>10.0</v>
      </c>
      <c r="F1828" s="21" t="s">
        <v>2289</v>
      </c>
      <c r="G1828" s="19"/>
      <c r="H1828" s="19"/>
      <c r="I1828" s="19"/>
    </row>
    <row r="1829" ht="56.25" customHeight="1">
      <c r="A1829" s="21" t="s">
        <v>4326</v>
      </c>
      <c r="B1829" s="19" t="str">
        <f>image("https://storage.googleapis.com/acdb/photos/BromideNpcNmlOcp01_Remake_3_0.png")</f>
        <v/>
      </c>
      <c r="C1829" s="21" t="s">
        <v>82</v>
      </c>
      <c r="D1829" s="21" t="s">
        <v>51</v>
      </c>
      <c r="E1829" s="21">
        <v>10.0</v>
      </c>
      <c r="F1829" s="21" t="s">
        <v>2289</v>
      </c>
      <c r="G1829" s="19"/>
      <c r="H1829" s="19"/>
      <c r="I1829" s="19"/>
    </row>
    <row r="1830" ht="56.25" customHeight="1">
      <c r="A1830" s="21" t="s">
        <v>4326</v>
      </c>
      <c r="B1830" s="19" t="str">
        <f>image("https://storage.googleapis.com/acdb/photos/BromideNpcNmlOcp01_Remake_4_0.png")</f>
        <v/>
      </c>
      <c r="C1830" s="21" t="s">
        <v>833</v>
      </c>
      <c r="D1830" s="21" t="s">
        <v>51</v>
      </c>
      <c r="E1830" s="21">
        <v>10.0</v>
      </c>
      <c r="F1830" s="21" t="s">
        <v>2289</v>
      </c>
      <c r="G1830" s="19"/>
      <c r="H1830" s="19"/>
      <c r="I1830" s="19"/>
    </row>
    <row r="1831" ht="56.25" customHeight="1">
      <c r="A1831" s="21" t="s">
        <v>4326</v>
      </c>
      <c r="B1831" s="19" t="str">
        <f>image("https://storage.googleapis.com/acdb/photos/BromideNpcNmlOcp01_Remake_5_0.png")</f>
        <v/>
      </c>
      <c r="C1831" s="21" t="s">
        <v>258</v>
      </c>
      <c r="D1831" s="21" t="s">
        <v>51</v>
      </c>
      <c r="E1831" s="21">
        <v>10.0</v>
      </c>
      <c r="F1831" s="21" t="s">
        <v>2289</v>
      </c>
      <c r="G1831" s="19"/>
      <c r="H1831" s="19"/>
      <c r="I1831" s="19"/>
    </row>
    <row r="1832" ht="56.25" customHeight="1">
      <c r="A1832" s="21" t="s">
        <v>4326</v>
      </c>
      <c r="B1832" s="19" t="str">
        <f>image("https://storage.googleapis.com/acdb/photos/BromideNpcNmlOcp01_Remake_6_0.png")</f>
        <v/>
      </c>
      <c r="C1832" s="21" t="s">
        <v>182</v>
      </c>
      <c r="D1832" s="21" t="s">
        <v>51</v>
      </c>
      <c r="E1832" s="21">
        <v>10.0</v>
      </c>
      <c r="F1832" s="21" t="s">
        <v>2289</v>
      </c>
      <c r="G1832" s="19"/>
      <c r="H1832" s="19"/>
      <c r="I1832" s="19"/>
    </row>
    <row r="1833" ht="56.25" customHeight="1">
      <c r="A1833" s="21" t="s">
        <v>4326</v>
      </c>
      <c r="B1833" s="19" t="str">
        <f>image("https://storage.googleapis.com/acdb/photos/BromideNpcNmlOcp01_Remake_7_0.png")</f>
        <v/>
      </c>
      <c r="C1833" s="21" t="s">
        <v>187</v>
      </c>
      <c r="D1833" s="21" t="s">
        <v>51</v>
      </c>
      <c r="E1833" s="21">
        <v>10.0</v>
      </c>
      <c r="F1833" s="21" t="s">
        <v>2289</v>
      </c>
      <c r="G1833" s="19"/>
      <c r="H1833" s="19"/>
      <c r="I1833" s="19"/>
    </row>
    <row r="1834" ht="56.25" customHeight="1">
      <c r="A1834" s="21" t="s">
        <v>4332</v>
      </c>
      <c r="B1834" s="19" t="str">
        <f>image("https://storage.googleapis.com/acdb/photos/BromideNpcNmlSqu17_Remake_0_0.png")</f>
        <v/>
      </c>
      <c r="C1834" s="21" t="s">
        <v>219</v>
      </c>
      <c r="D1834" s="21" t="s">
        <v>51</v>
      </c>
      <c r="E1834" s="21">
        <v>10.0</v>
      </c>
      <c r="F1834" s="21" t="s">
        <v>2289</v>
      </c>
      <c r="G1834" s="19"/>
      <c r="H1834" s="19"/>
      <c r="I1834" s="19"/>
    </row>
    <row r="1835" ht="56.25" customHeight="1">
      <c r="A1835" s="21" t="s">
        <v>4332</v>
      </c>
      <c r="B1835" s="19" t="str">
        <f>image("https://storage.googleapis.com/acdb/photos/BromideNpcNmlSqu17_Remake_1_0.png")</f>
        <v/>
      </c>
      <c r="C1835" s="21" t="s">
        <v>795</v>
      </c>
      <c r="D1835" s="21" t="s">
        <v>51</v>
      </c>
      <c r="E1835" s="21">
        <v>10.0</v>
      </c>
      <c r="F1835" s="21" t="s">
        <v>2289</v>
      </c>
      <c r="G1835" s="19"/>
      <c r="H1835" s="19"/>
      <c r="I1835" s="19"/>
    </row>
    <row r="1836" ht="56.25" customHeight="1">
      <c r="A1836" s="21" t="s">
        <v>4332</v>
      </c>
      <c r="B1836" s="19" t="str">
        <f>image("https://storage.googleapis.com/acdb/photos/BromideNpcNmlSqu17_Remake_2_0.png")</f>
        <v/>
      </c>
      <c r="C1836" s="21" t="s">
        <v>954</v>
      </c>
      <c r="D1836" s="21" t="s">
        <v>51</v>
      </c>
      <c r="E1836" s="21">
        <v>10.0</v>
      </c>
      <c r="F1836" s="21" t="s">
        <v>2289</v>
      </c>
      <c r="G1836" s="19"/>
      <c r="H1836" s="19"/>
      <c r="I1836" s="19"/>
    </row>
    <row r="1837" ht="56.25" customHeight="1">
      <c r="A1837" s="21" t="s">
        <v>4332</v>
      </c>
      <c r="B1837" s="19" t="str">
        <f>image("https://storage.googleapis.com/acdb/photos/BromideNpcNmlSqu17_Remake_3_0.png")</f>
        <v/>
      </c>
      <c r="C1837" s="21" t="s">
        <v>82</v>
      </c>
      <c r="D1837" s="21" t="s">
        <v>51</v>
      </c>
      <c r="E1837" s="21">
        <v>10.0</v>
      </c>
      <c r="F1837" s="21" t="s">
        <v>2289</v>
      </c>
      <c r="G1837" s="19"/>
      <c r="H1837" s="19"/>
      <c r="I1837" s="19"/>
    </row>
    <row r="1838" ht="56.25" customHeight="1">
      <c r="A1838" s="21" t="s">
        <v>4332</v>
      </c>
      <c r="B1838" s="19" t="str">
        <f>image("https://storage.googleapis.com/acdb/photos/BromideNpcNmlSqu17_Remake_4_0.png")</f>
        <v/>
      </c>
      <c r="C1838" s="21" t="s">
        <v>833</v>
      </c>
      <c r="D1838" s="21" t="s">
        <v>51</v>
      </c>
      <c r="E1838" s="21">
        <v>10.0</v>
      </c>
      <c r="F1838" s="21" t="s">
        <v>2289</v>
      </c>
      <c r="G1838" s="19"/>
      <c r="H1838" s="19"/>
      <c r="I1838" s="19"/>
    </row>
    <row r="1839" ht="56.25" customHeight="1">
      <c r="A1839" s="21" t="s">
        <v>4332</v>
      </c>
      <c r="B1839" s="19" t="str">
        <f>image("https://storage.googleapis.com/acdb/photos/BromideNpcNmlSqu17_Remake_5_0.png")</f>
        <v/>
      </c>
      <c r="C1839" s="21" t="s">
        <v>258</v>
      </c>
      <c r="D1839" s="21" t="s">
        <v>51</v>
      </c>
      <c r="E1839" s="21">
        <v>10.0</v>
      </c>
      <c r="F1839" s="21" t="s">
        <v>2289</v>
      </c>
      <c r="G1839" s="19"/>
      <c r="H1839" s="19"/>
      <c r="I1839" s="19"/>
    </row>
    <row r="1840" ht="56.25" customHeight="1">
      <c r="A1840" s="21" t="s">
        <v>4332</v>
      </c>
      <c r="B1840" s="19" t="str">
        <f>image("https://storage.googleapis.com/acdb/photos/BromideNpcNmlSqu17_Remake_6_0.png")</f>
        <v/>
      </c>
      <c r="C1840" s="21" t="s">
        <v>182</v>
      </c>
      <c r="D1840" s="21" t="s">
        <v>51</v>
      </c>
      <c r="E1840" s="21">
        <v>10.0</v>
      </c>
      <c r="F1840" s="21" t="s">
        <v>2289</v>
      </c>
      <c r="G1840" s="19"/>
      <c r="H1840" s="19"/>
      <c r="I1840" s="19"/>
    </row>
    <row r="1841" ht="56.25" customHeight="1">
      <c r="A1841" s="21" t="s">
        <v>4332</v>
      </c>
      <c r="B1841" s="19" t="str">
        <f>image("https://storage.googleapis.com/acdb/photos/BromideNpcNmlSqu17_Remake_7_0.png")</f>
        <v/>
      </c>
      <c r="C1841" s="21" t="s">
        <v>187</v>
      </c>
      <c r="D1841" s="21" t="s">
        <v>51</v>
      </c>
      <c r="E1841" s="21">
        <v>10.0</v>
      </c>
      <c r="F1841" s="21" t="s">
        <v>2289</v>
      </c>
      <c r="G1841" s="19"/>
      <c r="H1841" s="19"/>
      <c r="I1841" s="19"/>
    </row>
    <row r="1842" ht="56.25" customHeight="1">
      <c r="A1842" s="21" t="s">
        <v>4338</v>
      </c>
      <c r="B1842" s="19" t="str">
        <f>image("https://storage.googleapis.com/acdb/photos/BromideNpcNmlKgr01_Remake_0_0.png")</f>
        <v/>
      </c>
      <c r="C1842" s="21" t="s">
        <v>219</v>
      </c>
      <c r="D1842" s="21" t="s">
        <v>51</v>
      </c>
      <c r="E1842" s="21">
        <v>10.0</v>
      </c>
      <c r="F1842" s="21" t="s">
        <v>2289</v>
      </c>
      <c r="G1842" s="19"/>
      <c r="H1842" s="19"/>
      <c r="I1842" s="19"/>
    </row>
    <row r="1843" ht="56.25" customHeight="1">
      <c r="A1843" s="21" t="s">
        <v>4338</v>
      </c>
      <c r="B1843" s="19" t="str">
        <f>image("https://storage.googleapis.com/acdb/photos/BromideNpcNmlKgr01_Remake_1_0.png")</f>
        <v/>
      </c>
      <c r="C1843" s="21" t="s">
        <v>795</v>
      </c>
      <c r="D1843" s="21" t="s">
        <v>51</v>
      </c>
      <c r="E1843" s="21">
        <v>10.0</v>
      </c>
      <c r="F1843" s="21" t="s">
        <v>2289</v>
      </c>
      <c r="G1843" s="19"/>
      <c r="H1843" s="19"/>
      <c r="I1843" s="19"/>
    </row>
    <row r="1844" ht="56.25" customHeight="1">
      <c r="A1844" s="21" t="s">
        <v>4338</v>
      </c>
      <c r="B1844" s="19" t="str">
        <f>image("https://storage.googleapis.com/acdb/photos/BromideNpcNmlKgr01_Remake_2_0.png")</f>
        <v/>
      </c>
      <c r="C1844" s="21" t="s">
        <v>954</v>
      </c>
      <c r="D1844" s="21" t="s">
        <v>51</v>
      </c>
      <c r="E1844" s="21">
        <v>10.0</v>
      </c>
      <c r="F1844" s="21" t="s">
        <v>2289</v>
      </c>
      <c r="G1844" s="19"/>
      <c r="H1844" s="19"/>
      <c r="I1844" s="19"/>
    </row>
    <row r="1845" ht="56.25" customHeight="1">
      <c r="A1845" s="21" t="s">
        <v>4338</v>
      </c>
      <c r="B1845" s="19" t="str">
        <f>image("https://storage.googleapis.com/acdb/photos/BromideNpcNmlKgr01_Remake_3_0.png")</f>
        <v/>
      </c>
      <c r="C1845" s="21" t="s">
        <v>82</v>
      </c>
      <c r="D1845" s="21" t="s">
        <v>51</v>
      </c>
      <c r="E1845" s="21">
        <v>10.0</v>
      </c>
      <c r="F1845" s="21" t="s">
        <v>2289</v>
      </c>
      <c r="G1845" s="19"/>
      <c r="H1845" s="19"/>
      <c r="I1845" s="19"/>
    </row>
    <row r="1846" ht="56.25" customHeight="1">
      <c r="A1846" s="21" t="s">
        <v>4338</v>
      </c>
      <c r="B1846" s="19" t="str">
        <f>image("https://storage.googleapis.com/acdb/photos/BromideNpcNmlKgr01_Remake_4_0.png")</f>
        <v/>
      </c>
      <c r="C1846" s="21" t="s">
        <v>833</v>
      </c>
      <c r="D1846" s="21" t="s">
        <v>51</v>
      </c>
      <c r="E1846" s="21">
        <v>10.0</v>
      </c>
      <c r="F1846" s="21" t="s">
        <v>2289</v>
      </c>
      <c r="G1846" s="19"/>
      <c r="H1846" s="19"/>
      <c r="I1846" s="19"/>
    </row>
    <row r="1847" ht="56.25" customHeight="1">
      <c r="A1847" s="21" t="s">
        <v>4338</v>
      </c>
      <c r="B1847" s="19" t="str">
        <f>image("https://storage.googleapis.com/acdb/photos/BromideNpcNmlKgr01_Remake_5_0.png")</f>
        <v/>
      </c>
      <c r="C1847" s="21" t="s">
        <v>258</v>
      </c>
      <c r="D1847" s="21" t="s">
        <v>51</v>
      </c>
      <c r="E1847" s="21">
        <v>10.0</v>
      </c>
      <c r="F1847" s="21" t="s">
        <v>2289</v>
      </c>
      <c r="G1847" s="19"/>
      <c r="H1847" s="19"/>
      <c r="I1847" s="19"/>
    </row>
    <row r="1848" ht="56.25" customHeight="1">
      <c r="A1848" s="21" t="s">
        <v>4338</v>
      </c>
      <c r="B1848" s="19" t="str">
        <f>image("https://storage.googleapis.com/acdb/photos/BromideNpcNmlKgr01_Remake_6_0.png")</f>
        <v/>
      </c>
      <c r="C1848" s="21" t="s">
        <v>182</v>
      </c>
      <c r="D1848" s="21" t="s">
        <v>51</v>
      </c>
      <c r="E1848" s="21">
        <v>10.0</v>
      </c>
      <c r="F1848" s="21" t="s">
        <v>2289</v>
      </c>
      <c r="G1848" s="19"/>
      <c r="H1848" s="19"/>
      <c r="I1848" s="19"/>
    </row>
    <row r="1849" ht="56.25" customHeight="1">
      <c r="A1849" s="21" t="s">
        <v>4338</v>
      </c>
      <c r="B1849" s="19" t="str">
        <f>image("https://storage.googleapis.com/acdb/photos/BromideNpcNmlKgr01_Remake_7_0.png")</f>
        <v/>
      </c>
      <c r="C1849" s="21" t="s">
        <v>187</v>
      </c>
      <c r="D1849" s="21" t="s">
        <v>51</v>
      </c>
      <c r="E1849" s="21">
        <v>10.0</v>
      </c>
      <c r="F1849" s="21" t="s">
        <v>2289</v>
      </c>
      <c r="G1849" s="19"/>
      <c r="H1849" s="19"/>
      <c r="I1849" s="19"/>
    </row>
    <row r="1850" ht="56.25" customHeight="1">
      <c r="A1850" s="21" t="s">
        <v>4361</v>
      </c>
      <c r="B1850" s="19" t="str">
        <f>image("https://storage.googleapis.com/acdb/photos/BromideNpcNmlBea15_Remake_0_0.png")</f>
        <v/>
      </c>
      <c r="C1850" s="21" t="s">
        <v>219</v>
      </c>
      <c r="D1850" s="21" t="s">
        <v>51</v>
      </c>
      <c r="E1850" s="21">
        <v>10.0</v>
      </c>
      <c r="F1850" s="21" t="s">
        <v>2289</v>
      </c>
      <c r="G1850" s="19"/>
      <c r="H1850" s="19"/>
      <c r="I1850" s="19"/>
    </row>
    <row r="1851" ht="56.25" customHeight="1">
      <c r="A1851" s="21" t="s">
        <v>4361</v>
      </c>
      <c r="B1851" s="19" t="str">
        <f>image("https://storage.googleapis.com/acdb/photos/BromideNpcNmlBea15_Remake_1_0.png")</f>
        <v/>
      </c>
      <c r="C1851" s="21" t="s">
        <v>795</v>
      </c>
      <c r="D1851" s="21" t="s">
        <v>51</v>
      </c>
      <c r="E1851" s="21">
        <v>10.0</v>
      </c>
      <c r="F1851" s="21" t="s">
        <v>2289</v>
      </c>
      <c r="G1851" s="19"/>
      <c r="H1851" s="19"/>
      <c r="I1851" s="19"/>
    </row>
    <row r="1852" ht="56.25" customHeight="1">
      <c r="A1852" s="21" t="s">
        <v>4361</v>
      </c>
      <c r="B1852" s="19" t="str">
        <f>image("https://storage.googleapis.com/acdb/photos/BromideNpcNmlBea15_Remake_2_0.png")</f>
        <v/>
      </c>
      <c r="C1852" s="21" t="s">
        <v>954</v>
      </c>
      <c r="D1852" s="21" t="s">
        <v>51</v>
      </c>
      <c r="E1852" s="21">
        <v>10.0</v>
      </c>
      <c r="F1852" s="21" t="s">
        <v>2289</v>
      </c>
      <c r="G1852" s="19"/>
      <c r="H1852" s="19"/>
      <c r="I1852" s="19"/>
    </row>
    <row r="1853" ht="56.25" customHeight="1">
      <c r="A1853" s="21" t="s">
        <v>4361</v>
      </c>
      <c r="B1853" s="19" t="str">
        <f>image("https://storage.googleapis.com/acdb/photos/BromideNpcNmlBea15_Remake_3_0.png")</f>
        <v/>
      </c>
      <c r="C1853" s="21" t="s">
        <v>82</v>
      </c>
      <c r="D1853" s="21" t="s">
        <v>51</v>
      </c>
      <c r="E1853" s="21">
        <v>10.0</v>
      </c>
      <c r="F1853" s="21" t="s">
        <v>2289</v>
      </c>
      <c r="G1853" s="19"/>
      <c r="H1853" s="19"/>
      <c r="I1853" s="19"/>
    </row>
    <row r="1854" ht="56.25" customHeight="1">
      <c r="A1854" s="21" t="s">
        <v>4361</v>
      </c>
      <c r="B1854" s="19" t="str">
        <f>image("https://storage.googleapis.com/acdb/photos/BromideNpcNmlBea15_Remake_4_0.png")</f>
        <v/>
      </c>
      <c r="C1854" s="21" t="s">
        <v>833</v>
      </c>
      <c r="D1854" s="21" t="s">
        <v>51</v>
      </c>
      <c r="E1854" s="21">
        <v>10.0</v>
      </c>
      <c r="F1854" s="21" t="s">
        <v>2289</v>
      </c>
      <c r="G1854" s="19"/>
      <c r="H1854" s="19"/>
      <c r="I1854" s="19"/>
    </row>
    <row r="1855" ht="56.25" customHeight="1">
      <c r="A1855" s="21" t="s">
        <v>4361</v>
      </c>
      <c r="B1855" s="19" t="str">
        <f>image("https://storage.googleapis.com/acdb/photos/BromideNpcNmlBea15_Remake_5_0.png")</f>
        <v/>
      </c>
      <c r="C1855" s="21" t="s">
        <v>258</v>
      </c>
      <c r="D1855" s="21" t="s">
        <v>51</v>
      </c>
      <c r="E1855" s="21">
        <v>10.0</v>
      </c>
      <c r="F1855" s="21" t="s">
        <v>2289</v>
      </c>
      <c r="G1855" s="19"/>
      <c r="H1855" s="19"/>
      <c r="I1855" s="19"/>
    </row>
    <row r="1856" ht="56.25" customHeight="1">
      <c r="A1856" s="21" t="s">
        <v>4361</v>
      </c>
      <c r="B1856" s="19" t="str">
        <f>image("https://storage.googleapis.com/acdb/photos/BromideNpcNmlBea15_Remake_6_0.png")</f>
        <v/>
      </c>
      <c r="C1856" s="21" t="s">
        <v>182</v>
      </c>
      <c r="D1856" s="21" t="s">
        <v>51</v>
      </c>
      <c r="E1856" s="21">
        <v>10.0</v>
      </c>
      <c r="F1856" s="21" t="s">
        <v>2289</v>
      </c>
      <c r="G1856" s="19"/>
      <c r="H1856" s="19"/>
      <c r="I1856" s="19"/>
    </row>
    <row r="1857" ht="56.25" customHeight="1">
      <c r="A1857" s="21" t="s">
        <v>4361</v>
      </c>
      <c r="B1857" s="19" t="str">
        <f>image("https://storage.googleapis.com/acdb/photos/BromideNpcNmlBea15_Remake_7_0.png")</f>
        <v/>
      </c>
      <c r="C1857" s="21" t="s">
        <v>187</v>
      </c>
      <c r="D1857" s="21" t="s">
        <v>51</v>
      </c>
      <c r="E1857" s="21">
        <v>10.0</v>
      </c>
      <c r="F1857" s="21" t="s">
        <v>2289</v>
      </c>
      <c r="G1857" s="19"/>
      <c r="H1857" s="19"/>
      <c r="I1857" s="19"/>
    </row>
    <row r="1858" ht="56.25" customHeight="1">
      <c r="A1858" s="21" t="s">
        <v>4375</v>
      </c>
      <c r="B1858" s="19" t="str">
        <f>image("https://storage.googleapis.com/acdb/photos/BromideNpcNmlKal02_Remake_0_0.png")</f>
        <v/>
      </c>
      <c r="C1858" s="21" t="s">
        <v>219</v>
      </c>
      <c r="D1858" s="21" t="s">
        <v>51</v>
      </c>
      <c r="E1858" s="21">
        <v>10.0</v>
      </c>
      <c r="F1858" s="21" t="s">
        <v>2289</v>
      </c>
      <c r="G1858" s="19"/>
      <c r="H1858" s="19"/>
      <c r="I1858" s="19"/>
    </row>
    <row r="1859" ht="56.25" customHeight="1">
      <c r="A1859" s="21" t="s">
        <v>4375</v>
      </c>
      <c r="B1859" s="19" t="str">
        <f>image("https://storage.googleapis.com/acdb/photos/BromideNpcNmlKal02_Remake_1_0.png")</f>
        <v/>
      </c>
      <c r="C1859" s="21" t="s">
        <v>795</v>
      </c>
      <c r="D1859" s="21" t="s">
        <v>51</v>
      </c>
      <c r="E1859" s="21">
        <v>10.0</v>
      </c>
      <c r="F1859" s="21" t="s">
        <v>2289</v>
      </c>
      <c r="G1859" s="19"/>
      <c r="H1859" s="19"/>
      <c r="I1859" s="19"/>
    </row>
    <row r="1860" ht="56.25" customHeight="1">
      <c r="A1860" s="21" t="s">
        <v>4375</v>
      </c>
      <c r="B1860" s="19" t="str">
        <f>image("https://storage.googleapis.com/acdb/photos/BromideNpcNmlKal02_Remake_2_0.png")</f>
        <v/>
      </c>
      <c r="C1860" s="21" t="s">
        <v>954</v>
      </c>
      <c r="D1860" s="21" t="s">
        <v>51</v>
      </c>
      <c r="E1860" s="21">
        <v>10.0</v>
      </c>
      <c r="F1860" s="21" t="s">
        <v>2289</v>
      </c>
      <c r="G1860" s="19"/>
      <c r="H1860" s="19"/>
      <c r="I1860" s="19"/>
    </row>
    <row r="1861" ht="56.25" customHeight="1">
      <c r="A1861" s="21" t="s">
        <v>4375</v>
      </c>
      <c r="B1861" s="19" t="str">
        <f>image("https://storage.googleapis.com/acdb/photos/BromideNpcNmlKal02_Remake_3_0.png")</f>
        <v/>
      </c>
      <c r="C1861" s="21" t="s">
        <v>82</v>
      </c>
      <c r="D1861" s="21" t="s">
        <v>51</v>
      </c>
      <c r="E1861" s="21">
        <v>10.0</v>
      </c>
      <c r="F1861" s="21" t="s">
        <v>2289</v>
      </c>
      <c r="G1861" s="19"/>
      <c r="H1861" s="19"/>
      <c r="I1861" s="19"/>
    </row>
    <row r="1862" ht="56.25" customHeight="1">
      <c r="A1862" s="21" t="s">
        <v>4375</v>
      </c>
      <c r="B1862" s="19" t="str">
        <f>image("https://storage.googleapis.com/acdb/photos/BromideNpcNmlKal02_Remake_4_0.png")</f>
        <v/>
      </c>
      <c r="C1862" s="21" t="s">
        <v>833</v>
      </c>
      <c r="D1862" s="21" t="s">
        <v>51</v>
      </c>
      <c r="E1862" s="21">
        <v>10.0</v>
      </c>
      <c r="F1862" s="21" t="s">
        <v>2289</v>
      </c>
      <c r="G1862" s="19"/>
      <c r="H1862" s="19"/>
      <c r="I1862" s="19"/>
    </row>
    <row r="1863" ht="56.25" customHeight="1">
      <c r="A1863" s="21" t="s">
        <v>4375</v>
      </c>
      <c r="B1863" s="19" t="str">
        <f>image("https://storage.googleapis.com/acdb/photos/BromideNpcNmlKal02_Remake_5_0.png")</f>
        <v/>
      </c>
      <c r="C1863" s="21" t="s">
        <v>258</v>
      </c>
      <c r="D1863" s="21" t="s">
        <v>51</v>
      </c>
      <c r="E1863" s="21">
        <v>10.0</v>
      </c>
      <c r="F1863" s="21" t="s">
        <v>2289</v>
      </c>
      <c r="G1863" s="19"/>
      <c r="H1863" s="19"/>
      <c r="I1863" s="19"/>
    </row>
    <row r="1864" ht="56.25" customHeight="1">
      <c r="A1864" s="21" t="s">
        <v>4375</v>
      </c>
      <c r="B1864" s="19" t="str">
        <f>image("https://storage.googleapis.com/acdb/photos/BromideNpcNmlKal02_Remake_6_0.png")</f>
        <v/>
      </c>
      <c r="C1864" s="21" t="s">
        <v>182</v>
      </c>
      <c r="D1864" s="21" t="s">
        <v>51</v>
      </c>
      <c r="E1864" s="21">
        <v>10.0</v>
      </c>
      <c r="F1864" s="21" t="s">
        <v>2289</v>
      </c>
      <c r="G1864" s="19"/>
      <c r="H1864" s="19"/>
      <c r="I1864" s="19"/>
    </row>
    <row r="1865" ht="56.25" customHeight="1">
      <c r="A1865" s="21" t="s">
        <v>4375</v>
      </c>
      <c r="B1865" s="19" t="str">
        <f>image("https://storage.googleapis.com/acdb/photos/BromideNpcNmlKal02_Remake_7_0.png")</f>
        <v/>
      </c>
      <c r="C1865" s="21" t="s">
        <v>187</v>
      </c>
      <c r="D1865" s="21" t="s">
        <v>51</v>
      </c>
      <c r="E1865" s="21">
        <v>10.0</v>
      </c>
      <c r="F1865" s="21" t="s">
        <v>2289</v>
      </c>
      <c r="G1865" s="19"/>
      <c r="H1865" s="19"/>
      <c r="I1865" s="19"/>
    </row>
    <row r="1866" ht="56.25" customHeight="1">
      <c r="A1866" s="21" t="s">
        <v>4391</v>
      </c>
      <c r="B1866" s="19" t="str">
        <f>image("https://storage.googleapis.com/acdb/photos/BromideNpcNmlRhn07_Remake_0_0.png")</f>
        <v/>
      </c>
      <c r="C1866" s="21" t="s">
        <v>219</v>
      </c>
      <c r="D1866" s="21" t="s">
        <v>51</v>
      </c>
      <c r="E1866" s="21">
        <v>10.0</v>
      </c>
      <c r="F1866" s="21" t="s">
        <v>2289</v>
      </c>
      <c r="G1866" s="19"/>
      <c r="H1866" s="19"/>
      <c r="I1866" s="19"/>
    </row>
    <row r="1867" ht="56.25" customHeight="1">
      <c r="A1867" s="21" t="s">
        <v>4391</v>
      </c>
      <c r="B1867" s="19" t="str">
        <f>image("https://storage.googleapis.com/acdb/photos/BromideNpcNmlRhn07_Remake_1_0.png")</f>
        <v/>
      </c>
      <c r="C1867" s="21" t="s">
        <v>795</v>
      </c>
      <c r="D1867" s="21" t="s">
        <v>51</v>
      </c>
      <c r="E1867" s="21">
        <v>10.0</v>
      </c>
      <c r="F1867" s="21" t="s">
        <v>2289</v>
      </c>
      <c r="G1867" s="19"/>
      <c r="H1867" s="19"/>
      <c r="I1867" s="19"/>
    </row>
    <row r="1868" ht="56.25" customHeight="1">
      <c r="A1868" s="21" t="s">
        <v>4391</v>
      </c>
      <c r="B1868" s="19" t="str">
        <f>image("https://storage.googleapis.com/acdb/photos/BromideNpcNmlRhn07_Remake_2_0.png")</f>
        <v/>
      </c>
      <c r="C1868" s="21" t="s">
        <v>954</v>
      </c>
      <c r="D1868" s="21" t="s">
        <v>51</v>
      </c>
      <c r="E1868" s="21">
        <v>10.0</v>
      </c>
      <c r="F1868" s="21" t="s">
        <v>2289</v>
      </c>
      <c r="G1868" s="19"/>
      <c r="H1868" s="19"/>
      <c r="I1868" s="19"/>
    </row>
    <row r="1869" ht="56.25" customHeight="1">
      <c r="A1869" s="21" t="s">
        <v>4391</v>
      </c>
      <c r="B1869" s="19" t="str">
        <f>image("https://storage.googleapis.com/acdb/photos/BromideNpcNmlRhn07_Remake_3_0.png")</f>
        <v/>
      </c>
      <c r="C1869" s="21" t="s">
        <v>82</v>
      </c>
      <c r="D1869" s="21" t="s">
        <v>51</v>
      </c>
      <c r="E1869" s="21">
        <v>10.0</v>
      </c>
      <c r="F1869" s="21" t="s">
        <v>2289</v>
      </c>
      <c r="G1869" s="19"/>
      <c r="H1869" s="19"/>
      <c r="I1869" s="19"/>
    </row>
    <row r="1870" ht="56.25" customHeight="1">
      <c r="A1870" s="21" t="s">
        <v>4391</v>
      </c>
      <c r="B1870" s="19" t="str">
        <f>image("https://storage.googleapis.com/acdb/photos/BromideNpcNmlRhn07_Remake_4_0.png")</f>
        <v/>
      </c>
      <c r="C1870" s="21" t="s">
        <v>833</v>
      </c>
      <c r="D1870" s="21" t="s">
        <v>51</v>
      </c>
      <c r="E1870" s="21">
        <v>10.0</v>
      </c>
      <c r="F1870" s="21" t="s">
        <v>2289</v>
      </c>
      <c r="G1870" s="19"/>
      <c r="H1870" s="19"/>
      <c r="I1870" s="19"/>
    </row>
    <row r="1871" ht="56.25" customHeight="1">
      <c r="A1871" s="21" t="s">
        <v>4391</v>
      </c>
      <c r="B1871" s="19" t="str">
        <f>image("https://storage.googleapis.com/acdb/photos/BromideNpcNmlRhn07_Remake_5_0.png")</f>
        <v/>
      </c>
      <c r="C1871" s="21" t="s">
        <v>258</v>
      </c>
      <c r="D1871" s="21" t="s">
        <v>51</v>
      </c>
      <c r="E1871" s="21">
        <v>10.0</v>
      </c>
      <c r="F1871" s="21" t="s">
        <v>2289</v>
      </c>
      <c r="G1871" s="19"/>
      <c r="H1871" s="19"/>
      <c r="I1871" s="19"/>
    </row>
    <row r="1872" ht="56.25" customHeight="1">
      <c r="A1872" s="21" t="s">
        <v>4391</v>
      </c>
      <c r="B1872" s="19" t="str">
        <f>image("https://storage.googleapis.com/acdb/photos/BromideNpcNmlRhn07_Remake_6_0.png")</f>
        <v/>
      </c>
      <c r="C1872" s="21" t="s">
        <v>182</v>
      </c>
      <c r="D1872" s="21" t="s">
        <v>51</v>
      </c>
      <c r="E1872" s="21">
        <v>10.0</v>
      </c>
      <c r="F1872" s="21" t="s">
        <v>2289</v>
      </c>
      <c r="G1872" s="19"/>
      <c r="H1872" s="19"/>
      <c r="I1872" s="19"/>
    </row>
    <row r="1873" ht="56.25" customHeight="1">
      <c r="A1873" s="21" t="s">
        <v>4391</v>
      </c>
      <c r="B1873" s="19" t="str">
        <f>image("https://storage.googleapis.com/acdb/photos/BromideNpcNmlRhn07_Remake_7_0.png")</f>
        <v/>
      </c>
      <c r="C1873" s="21" t="s">
        <v>187</v>
      </c>
      <c r="D1873" s="21" t="s">
        <v>51</v>
      </c>
      <c r="E1873" s="21">
        <v>10.0</v>
      </c>
      <c r="F1873" s="21" t="s">
        <v>2289</v>
      </c>
      <c r="G1873" s="19"/>
      <c r="H1873" s="19"/>
      <c r="I1873" s="19"/>
    </row>
    <row r="1874" ht="56.25" customHeight="1">
      <c r="A1874" s="21" t="s">
        <v>4403</v>
      </c>
      <c r="B1874" s="19" t="str">
        <f>image("https://storage.googleapis.com/acdb/photos/BromideNpcNmlCat16_Remake_0_0.png")</f>
        <v/>
      </c>
      <c r="C1874" s="21" t="s">
        <v>219</v>
      </c>
      <c r="D1874" s="21" t="s">
        <v>51</v>
      </c>
      <c r="E1874" s="21">
        <v>10.0</v>
      </c>
      <c r="F1874" s="21" t="s">
        <v>2289</v>
      </c>
      <c r="G1874" s="19"/>
      <c r="H1874" s="19"/>
      <c r="I1874" s="19"/>
    </row>
    <row r="1875" ht="56.25" customHeight="1">
      <c r="A1875" s="21" t="s">
        <v>4403</v>
      </c>
      <c r="B1875" s="19" t="str">
        <f>image("https://storage.googleapis.com/acdb/photos/BromideNpcNmlCat16_Remake_1_0.png")</f>
        <v/>
      </c>
      <c r="C1875" s="21" t="s">
        <v>795</v>
      </c>
      <c r="D1875" s="21" t="s">
        <v>51</v>
      </c>
      <c r="E1875" s="21">
        <v>10.0</v>
      </c>
      <c r="F1875" s="21" t="s">
        <v>2289</v>
      </c>
      <c r="G1875" s="19"/>
      <c r="H1875" s="19"/>
      <c r="I1875" s="19"/>
    </row>
    <row r="1876" ht="56.25" customHeight="1">
      <c r="A1876" s="21" t="s">
        <v>4403</v>
      </c>
      <c r="B1876" s="19" t="str">
        <f>image("https://storage.googleapis.com/acdb/photos/BromideNpcNmlCat16_Remake_2_0.png")</f>
        <v/>
      </c>
      <c r="C1876" s="21" t="s">
        <v>954</v>
      </c>
      <c r="D1876" s="21" t="s">
        <v>51</v>
      </c>
      <c r="E1876" s="21">
        <v>10.0</v>
      </c>
      <c r="F1876" s="21" t="s">
        <v>2289</v>
      </c>
      <c r="G1876" s="19"/>
      <c r="H1876" s="19"/>
      <c r="I1876" s="19"/>
    </row>
    <row r="1877" ht="56.25" customHeight="1">
      <c r="A1877" s="21" t="s">
        <v>4403</v>
      </c>
      <c r="B1877" s="19" t="str">
        <f>image("https://storage.googleapis.com/acdb/photos/BromideNpcNmlCat16_Remake_3_0.png")</f>
        <v/>
      </c>
      <c r="C1877" s="21" t="s">
        <v>82</v>
      </c>
      <c r="D1877" s="21" t="s">
        <v>51</v>
      </c>
      <c r="E1877" s="21">
        <v>10.0</v>
      </c>
      <c r="F1877" s="21" t="s">
        <v>2289</v>
      </c>
      <c r="G1877" s="19"/>
      <c r="H1877" s="19"/>
      <c r="I1877" s="19"/>
    </row>
    <row r="1878" ht="56.25" customHeight="1">
      <c r="A1878" s="21" t="s">
        <v>4403</v>
      </c>
      <c r="B1878" s="19" t="str">
        <f>image("https://storage.googleapis.com/acdb/photos/BromideNpcNmlCat16_Remake_4_0.png")</f>
        <v/>
      </c>
      <c r="C1878" s="21" t="s">
        <v>833</v>
      </c>
      <c r="D1878" s="21" t="s">
        <v>51</v>
      </c>
      <c r="E1878" s="21">
        <v>10.0</v>
      </c>
      <c r="F1878" s="21" t="s">
        <v>2289</v>
      </c>
      <c r="G1878" s="19"/>
      <c r="H1878" s="19"/>
      <c r="I1878" s="19"/>
    </row>
    <row r="1879" ht="56.25" customHeight="1">
      <c r="A1879" s="21" t="s">
        <v>4403</v>
      </c>
      <c r="B1879" s="19" t="str">
        <f>image("https://storage.googleapis.com/acdb/photos/BromideNpcNmlCat16_Remake_5_0.png")</f>
        <v/>
      </c>
      <c r="C1879" s="21" t="s">
        <v>258</v>
      </c>
      <c r="D1879" s="21" t="s">
        <v>51</v>
      </c>
      <c r="E1879" s="21">
        <v>10.0</v>
      </c>
      <c r="F1879" s="21" t="s">
        <v>2289</v>
      </c>
      <c r="G1879" s="19"/>
      <c r="H1879" s="19"/>
      <c r="I1879" s="19"/>
    </row>
    <row r="1880" ht="56.25" customHeight="1">
      <c r="A1880" s="21" t="s">
        <v>4403</v>
      </c>
      <c r="B1880" s="19" t="str">
        <f>image("https://storage.googleapis.com/acdb/photos/BromideNpcNmlCat16_Remake_6_0.png")</f>
        <v/>
      </c>
      <c r="C1880" s="21" t="s">
        <v>182</v>
      </c>
      <c r="D1880" s="21" t="s">
        <v>51</v>
      </c>
      <c r="E1880" s="21">
        <v>10.0</v>
      </c>
      <c r="F1880" s="21" t="s">
        <v>2289</v>
      </c>
      <c r="G1880" s="19"/>
      <c r="H1880" s="19"/>
      <c r="I1880" s="19"/>
    </row>
    <row r="1881" ht="56.25" customHeight="1">
      <c r="A1881" s="21" t="s">
        <v>4403</v>
      </c>
      <c r="B1881" s="19" t="str">
        <f>image("https://storage.googleapis.com/acdb/photos/BromideNpcNmlCat16_Remake_7_0.png")</f>
        <v/>
      </c>
      <c r="C1881" s="21" t="s">
        <v>187</v>
      </c>
      <c r="D1881" s="21" t="s">
        <v>51</v>
      </c>
      <c r="E1881" s="21">
        <v>10.0</v>
      </c>
      <c r="F1881" s="21" t="s">
        <v>2289</v>
      </c>
      <c r="G1881" s="19"/>
      <c r="H1881" s="19"/>
      <c r="I1881" s="19"/>
    </row>
    <row r="1882" ht="56.25" customHeight="1">
      <c r="A1882" s="21" t="s">
        <v>4418</v>
      </c>
      <c r="B1882" s="19" t="str">
        <f>image("https://storage.googleapis.com/acdb/photos/BromideNpcNmlBrd08_Remake_0_0.png")</f>
        <v/>
      </c>
      <c r="C1882" s="21" t="s">
        <v>219</v>
      </c>
      <c r="D1882" s="21" t="s">
        <v>51</v>
      </c>
      <c r="E1882" s="21">
        <v>10.0</v>
      </c>
      <c r="F1882" s="21" t="s">
        <v>2289</v>
      </c>
      <c r="G1882" s="19"/>
      <c r="H1882" s="19"/>
      <c r="I1882" s="19"/>
    </row>
    <row r="1883" ht="56.25" customHeight="1">
      <c r="A1883" s="21" t="s">
        <v>4418</v>
      </c>
      <c r="B1883" s="19" t="str">
        <f>image("https://storage.googleapis.com/acdb/photos/BromideNpcNmlBrd08_Remake_1_0.png")</f>
        <v/>
      </c>
      <c r="C1883" s="21" t="s">
        <v>795</v>
      </c>
      <c r="D1883" s="21" t="s">
        <v>51</v>
      </c>
      <c r="E1883" s="21">
        <v>10.0</v>
      </c>
      <c r="F1883" s="21" t="s">
        <v>2289</v>
      </c>
      <c r="G1883" s="19"/>
      <c r="H1883" s="19"/>
      <c r="I1883" s="19"/>
    </row>
    <row r="1884" ht="56.25" customHeight="1">
      <c r="A1884" s="21" t="s">
        <v>4418</v>
      </c>
      <c r="B1884" s="19" t="str">
        <f>image("https://storage.googleapis.com/acdb/photos/BromideNpcNmlBrd08_Remake_2_0.png")</f>
        <v/>
      </c>
      <c r="C1884" s="21" t="s">
        <v>954</v>
      </c>
      <c r="D1884" s="21" t="s">
        <v>51</v>
      </c>
      <c r="E1884" s="21">
        <v>10.0</v>
      </c>
      <c r="F1884" s="21" t="s">
        <v>2289</v>
      </c>
      <c r="G1884" s="19"/>
      <c r="H1884" s="19"/>
      <c r="I1884" s="19"/>
    </row>
    <row r="1885" ht="56.25" customHeight="1">
      <c r="A1885" s="21" t="s">
        <v>4418</v>
      </c>
      <c r="B1885" s="19" t="str">
        <f>image("https://storage.googleapis.com/acdb/photos/BromideNpcNmlBrd08_Remake_3_0.png")</f>
        <v/>
      </c>
      <c r="C1885" s="21" t="s">
        <v>82</v>
      </c>
      <c r="D1885" s="21" t="s">
        <v>51</v>
      </c>
      <c r="E1885" s="21">
        <v>10.0</v>
      </c>
      <c r="F1885" s="21" t="s">
        <v>2289</v>
      </c>
      <c r="G1885" s="19"/>
      <c r="H1885" s="19"/>
      <c r="I1885" s="19"/>
    </row>
    <row r="1886" ht="56.25" customHeight="1">
      <c r="A1886" s="21" t="s">
        <v>4418</v>
      </c>
      <c r="B1886" s="19" t="str">
        <f>image("https://storage.googleapis.com/acdb/photos/BromideNpcNmlBrd08_Remake_4_0.png")</f>
        <v/>
      </c>
      <c r="C1886" s="21" t="s">
        <v>833</v>
      </c>
      <c r="D1886" s="21" t="s">
        <v>51</v>
      </c>
      <c r="E1886" s="21">
        <v>10.0</v>
      </c>
      <c r="F1886" s="21" t="s">
        <v>2289</v>
      </c>
      <c r="G1886" s="19"/>
      <c r="H1886" s="19"/>
      <c r="I1886" s="19"/>
    </row>
    <row r="1887" ht="56.25" customHeight="1">
      <c r="A1887" s="21" t="s">
        <v>4418</v>
      </c>
      <c r="B1887" s="19" t="str">
        <f>image("https://storage.googleapis.com/acdb/photos/BromideNpcNmlBrd08_Remake_5_0.png")</f>
        <v/>
      </c>
      <c r="C1887" s="21" t="s">
        <v>258</v>
      </c>
      <c r="D1887" s="21" t="s">
        <v>51</v>
      </c>
      <c r="E1887" s="21">
        <v>10.0</v>
      </c>
      <c r="F1887" s="21" t="s">
        <v>2289</v>
      </c>
      <c r="G1887" s="19"/>
      <c r="H1887" s="19"/>
      <c r="I1887" s="19"/>
    </row>
    <row r="1888" ht="56.25" customHeight="1">
      <c r="A1888" s="21" t="s">
        <v>4418</v>
      </c>
      <c r="B1888" s="19" t="str">
        <f>image("https://storage.googleapis.com/acdb/photos/BromideNpcNmlBrd08_Remake_6_0.png")</f>
        <v/>
      </c>
      <c r="C1888" s="21" t="s">
        <v>182</v>
      </c>
      <c r="D1888" s="21" t="s">
        <v>51</v>
      </c>
      <c r="E1888" s="21">
        <v>10.0</v>
      </c>
      <c r="F1888" s="21" t="s">
        <v>2289</v>
      </c>
      <c r="G1888" s="19"/>
      <c r="H1888" s="19"/>
      <c r="I1888" s="19"/>
    </row>
    <row r="1889" ht="56.25" customHeight="1">
      <c r="A1889" s="21" t="s">
        <v>4418</v>
      </c>
      <c r="B1889" s="19" t="str">
        <f>image("https://storage.googleapis.com/acdb/photos/BromideNpcNmlBrd08_Remake_7_0.png")</f>
        <v/>
      </c>
      <c r="C1889" s="21" t="s">
        <v>187</v>
      </c>
      <c r="D1889" s="21" t="s">
        <v>51</v>
      </c>
      <c r="E1889" s="21">
        <v>10.0</v>
      </c>
      <c r="F1889" s="21" t="s">
        <v>2289</v>
      </c>
      <c r="G1889" s="19"/>
      <c r="H1889" s="19"/>
      <c r="I1889" s="19"/>
    </row>
    <row r="1890" ht="56.25" customHeight="1">
      <c r="A1890" s="21" t="s">
        <v>4432</v>
      </c>
      <c r="B1890" s="19" t="str">
        <f>image("https://storage.googleapis.com/acdb/photos/BromideNpcNmlSqu09_Remake_0_0.png")</f>
        <v/>
      </c>
      <c r="C1890" s="21" t="s">
        <v>219</v>
      </c>
      <c r="D1890" s="21" t="s">
        <v>51</v>
      </c>
      <c r="E1890" s="21">
        <v>10.0</v>
      </c>
      <c r="F1890" s="21" t="s">
        <v>2289</v>
      </c>
      <c r="G1890" s="19"/>
      <c r="H1890" s="19"/>
      <c r="I1890" s="19"/>
    </row>
    <row r="1891" ht="56.25" customHeight="1">
      <c r="A1891" s="21" t="s">
        <v>4432</v>
      </c>
      <c r="B1891" s="19" t="str">
        <f>image("https://storage.googleapis.com/acdb/photos/BromideNpcNmlSqu09_Remake_1_0.png")</f>
        <v/>
      </c>
      <c r="C1891" s="21" t="s">
        <v>795</v>
      </c>
      <c r="D1891" s="21" t="s">
        <v>51</v>
      </c>
      <c r="E1891" s="21">
        <v>10.0</v>
      </c>
      <c r="F1891" s="21" t="s">
        <v>2289</v>
      </c>
      <c r="G1891" s="19"/>
      <c r="H1891" s="19"/>
      <c r="I1891" s="19"/>
    </row>
    <row r="1892" ht="56.25" customHeight="1">
      <c r="A1892" s="21" t="s">
        <v>4432</v>
      </c>
      <c r="B1892" s="19" t="str">
        <f>image("https://storage.googleapis.com/acdb/photos/BromideNpcNmlSqu09_Remake_2_0.png")</f>
        <v/>
      </c>
      <c r="C1892" s="21" t="s">
        <v>954</v>
      </c>
      <c r="D1892" s="21" t="s">
        <v>51</v>
      </c>
      <c r="E1892" s="21">
        <v>10.0</v>
      </c>
      <c r="F1892" s="21" t="s">
        <v>2289</v>
      </c>
      <c r="G1892" s="19"/>
      <c r="H1892" s="19"/>
      <c r="I1892" s="19"/>
    </row>
    <row r="1893" ht="56.25" customHeight="1">
      <c r="A1893" s="21" t="s">
        <v>4432</v>
      </c>
      <c r="B1893" s="19" t="str">
        <f>image("https://storage.googleapis.com/acdb/photos/BromideNpcNmlSqu09_Remake_3_0.png")</f>
        <v/>
      </c>
      <c r="C1893" s="21" t="s">
        <v>82</v>
      </c>
      <c r="D1893" s="21" t="s">
        <v>51</v>
      </c>
      <c r="E1893" s="21">
        <v>10.0</v>
      </c>
      <c r="F1893" s="21" t="s">
        <v>2289</v>
      </c>
      <c r="G1893" s="19"/>
      <c r="H1893" s="19"/>
      <c r="I1893" s="19"/>
    </row>
    <row r="1894" ht="56.25" customHeight="1">
      <c r="A1894" s="21" t="s">
        <v>4432</v>
      </c>
      <c r="B1894" s="19" t="str">
        <f>image("https://storage.googleapis.com/acdb/photos/BromideNpcNmlSqu09_Remake_4_0.png")</f>
        <v/>
      </c>
      <c r="C1894" s="21" t="s">
        <v>833</v>
      </c>
      <c r="D1894" s="21" t="s">
        <v>51</v>
      </c>
      <c r="E1894" s="21">
        <v>10.0</v>
      </c>
      <c r="F1894" s="21" t="s">
        <v>2289</v>
      </c>
      <c r="G1894" s="19"/>
      <c r="H1894" s="19"/>
      <c r="I1894" s="19"/>
    </row>
    <row r="1895" ht="56.25" customHeight="1">
      <c r="A1895" s="21" t="s">
        <v>4432</v>
      </c>
      <c r="B1895" s="19" t="str">
        <f>image("https://storage.googleapis.com/acdb/photos/BromideNpcNmlSqu09_Remake_5_0.png")</f>
        <v/>
      </c>
      <c r="C1895" s="21" t="s">
        <v>258</v>
      </c>
      <c r="D1895" s="21" t="s">
        <v>51</v>
      </c>
      <c r="E1895" s="21">
        <v>10.0</v>
      </c>
      <c r="F1895" s="21" t="s">
        <v>2289</v>
      </c>
      <c r="G1895" s="19"/>
      <c r="H1895" s="19"/>
      <c r="I1895" s="19"/>
    </row>
    <row r="1896" ht="56.25" customHeight="1">
      <c r="A1896" s="21" t="s">
        <v>4432</v>
      </c>
      <c r="B1896" s="19" t="str">
        <f>image("https://storage.googleapis.com/acdb/photos/BromideNpcNmlSqu09_Remake_6_0.png")</f>
        <v/>
      </c>
      <c r="C1896" s="21" t="s">
        <v>182</v>
      </c>
      <c r="D1896" s="21" t="s">
        <v>51</v>
      </c>
      <c r="E1896" s="21">
        <v>10.0</v>
      </c>
      <c r="F1896" s="21" t="s">
        <v>2289</v>
      </c>
      <c r="G1896" s="19"/>
      <c r="H1896" s="19"/>
      <c r="I1896" s="19"/>
    </row>
    <row r="1897" ht="56.25" customHeight="1">
      <c r="A1897" s="21" t="s">
        <v>4432</v>
      </c>
      <c r="B1897" s="19" t="str">
        <f>image("https://storage.googleapis.com/acdb/photos/BromideNpcNmlSqu09_Remake_7_0.png")</f>
        <v/>
      </c>
      <c r="C1897" s="21" t="s">
        <v>187</v>
      </c>
      <c r="D1897" s="21" t="s">
        <v>51</v>
      </c>
      <c r="E1897" s="21">
        <v>10.0</v>
      </c>
      <c r="F1897" s="21" t="s">
        <v>2289</v>
      </c>
      <c r="G1897" s="19"/>
      <c r="H1897" s="19"/>
      <c r="I1897" s="19"/>
    </row>
    <row r="1898" ht="56.25" customHeight="1">
      <c r="A1898" s="21" t="s">
        <v>4446</v>
      </c>
      <c r="B1898" s="19" t="str">
        <f>image("https://storage.googleapis.com/acdb/photos/BromideNpcNmlRbt19_Remake_0_0.png")</f>
        <v/>
      </c>
      <c r="C1898" s="21" t="s">
        <v>219</v>
      </c>
      <c r="D1898" s="21" t="s">
        <v>51</v>
      </c>
      <c r="E1898" s="21">
        <v>10.0</v>
      </c>
      <c r="F1898" s="21" t="s">
        <v>2289</v>
      </c>
      <c r="G1898" s="19"/>
      <c r="H1898" s="19"/>
      <c r="I1898" s="19"/>
    </row>
    <row r="1899" ht="56.25" customHeight="1">
      <c r="A1899" s="21" t="s">
        <v>4446</v>
      </c>
      <c r="B1899" s="19" t="str">
        <f>image("https://storage.googleapis.com/acdb/photos/BromideNpcNmlRbt19_Remake_1_0.png")</f>
        <v/>
      </c>
      <c r="C1899" s="21" t="s">
        <v>795</v>
      </c>
      <c r="D1899" s="21" t="s">
        <v>51</v>
      </c>
      <c r="E1899" s="21">
        <v>10.0</v>
      </c>
      <c r="F1899" s="21" t="s">
        <v>2289</v>
      </c>
      <c r="G1899" s="19"/>
      <c r="H1899" s="19"/>
      <c r="I1899" s="19"/>
    </row>
    <row r="1900" ht="56.25" customHeight="1">
      <c r="A1900" s="21" t="s">
        <v>4446</v>
      </c>
      <c r="B1900" s="19" t="str">
        <f>image("https://storage.googleapis.com/acdb/photos/BromideNpcNmlRbt19_Remake_2_0.png")</f>
        <v/>
      </c>
      <c r="C1900" s="21" t="s">
        <v>954</v>
      </c>
      <c r="D1900" s="21" t="s">
        <v>51</v>
      </c>
      <c r="E1900" s="21">
        <v>10.0</v>
      </c>
      <c r="F1900" s="21" t="s">
        <v>2289</v>
      </c>
      <c r="G1900" s="19"/>
      <c r="H1900" s="19"/>
      <c r="I1900" s="19"/>
    </row>
    <row r="1901" ht="56.25" customHeight="1">
      <c r="A1901" s="21" t="s">
        <v>4446</v>
      </c>
      <c r="B1901" s="19" t="str">
        <f>image("https://storage.googleapis.com/acdb/photos/BromideNpcNmlRbt19_Remake_3_0.png")</f>
        <v/>
      </c>
      <c r="C1901" s="21" t="s">
        <v>82</v>
      </c>
      <c r="D1901" s="21" t="s">
        <v>51</v>
      </c>
      <c r="E1901" s="21">
        <v>10.0</v>
      </c>
      <c r="F1901" s="21" t="s">
        <v>2289</v>
      </c>
      <c r="G1901" s="19"/>
      <c r="H1901" s="19"/>
      <c r="I1901" s="19"/>
    </row>
    <row r="1902" ht="56.25" customHeight="1">
      <c r="A1902" s="21" t="s">
        <v>4446</v>
      </c>
      <c r="B1902" s="19" t="str">
        <f>image("https://storage.googleapis.com/acdb/photos/BromideNpcNmlRbt19_Remake_4_0.png")</f>
        <v/>
      </c>
      <c r="C1902" s="21" t="s">
        <v>833</v>
      </c>
      <c r="D1902" s="21" t="s">
        <v>51</v>
      </c>
      <c r="E1902" s="21">
        <v>10.0</v>
      </c>
      <c r="F1902" s="21" t="s">
        <v>2289</v>
      </c>
      <c r="G1902" s="19"/>
      <c r="H1902" s="19"/>
      <c r="I1902" s="19"/>
    </row>
    <row r="1903" ht="56.25" customHeight="1">
      <c r="A1903" s="21" t="s">
        <v>4446</v>
      </c>
      <c r="B1903" s="19" t="str">
        <f>image("https://storage.googleapis.com/acdb/photos/BromideNpcNmlRbt19_Remake_5_0.png")</f>
        <v/>
      </c>
      <c r="C1903" s="21" t="s">
        <v>258</v>
      </c>
      <c r="D1903" s="21" t="s">
        <v>51</v>
      </c>
      <c r="E1903" s="21">
        <v>10.0</v>
      </c>
      <c r="F1903" s="21" t="s">
        <v>2289</v>
      </c>
      <c r="G1903" s="19"/>
      <c r="H1903" s="19"/>
      <c r="I1903" s="19"/>
    </row>
    <row r="1904" ht="56.25" customHeight="1">
      <c r="A1904" s="21" t="s">
        <v>4446</v>
      </c>
      <c r="B1904" s="19" t="str">
        <f>image("https://storage.googleapis.com/acdb/photos/BromideNpcNmlRbt19_Remake_6_0.png")</f>
        <v/>
      </c>
      <c r="C1904" s="21" t="s">
        <v>182</v>
      </c>
      <c r="D1904" s="21" t="s">
        <v>51</v>
      </c>
      <c r="E1904" s="21">
        <v>10.0</v>
      </c>
      <c r="F1904" s="21" t="s">
        <v>2289</v>
      </c>
      <c r="G1904" s="19"/>
      <c r="H1904" s="19"/>
      <c r="I1904" s="19"/>
    </row>
    <row r="1905" ht="56.25" customHeight="1">
      <c r="A1905" s="21" t="s">
        <v>4446</v>
      </c>
      <c r="B1905" s="19" t="str">
        <f>image("https://storage.googleapis.com/acdb/photos/BromideNpcNmlRbt19_Remake_7_0.png")</f>
        <v/>
      </c>
      <c r="C1905" s="21" t="s">
        <v>187</v>
      </c>
      <c r="D1905" s="21" t="s">
        <v>51</v>
      </c>
      <c r="E1905" s="21">
        <v>10.0</v>
      </c>
      <c r="F1905" s="21" t="s">
        <v>2289</v>
      </c>
      <c r="G1905" s="19"/>
      <c r="H1905" s="19"/>
      <c r="I1905" s="19"/>
    </row>
    <row r="1906" ht="56.25" customHeight="1">
      <c r="A1906" s="21" t="s">
        <v>4483</v>
      </c>
      <c r="B1906" s="19" t="str">
        <f>image("https://storage.googleapis.com/acdb/photos/BromideNpcNmlDuk12_Remake_0_0.png")</f>
        <v/>
      </c>
      <c r="C1906" s="21" t="s">
        <v>219</v>
      </c>
      <c r="D1906" s="21" t="s">
        <v>51</v>
      </c>
      <c r="E1906" s="21">
        <v>10.0</v>
      </c>
      <c r="F1906" s="21" t="s">
        <v>2289</v>
      </c>
      <c r="G1906" s="19"/>
      <c r="H1906" s="19"/>
      <c r="I1906" s="19"/>
    </row>
    <row r="1907" ht="56.25" customHeight="1">
      <c r="A1907" s="21" t="s">
        <v>4483</v>
      </c>
      <c r="B1907" s="19" t="str">
        <f>image("https://storage.googleapis.com/acdb/photos/BromideNpcNmlDuk12_Remake_1_0.png")</f>
        <v/>
      </c>
      <c r="C1907" s="21" t="s">
        <v>795</v>
      </c>
      <c r="D1907" s="21" t="s">
        <v>51</v>
      </c>
      <c r="E1907" s="21">
        <v>10.0</v>
      </c>
      <c r="F1907" s="21" t="s">
        <v>2289</v>
      </c>
      <c r="G1907" s="19"/>
      <c r="H1907" s="19"/>
      <c r="I1907" s="19"/>
    </row>
    <row r="1908" ht="56.25" customHeight="1">
      <c r="A1908" s="21" t="s">
        <v>4483</v>
      </c>
      <c r="B1908" s="19" t="str">
        <f>image("https://storage.googleapis.com/acdb/photos/BromideNpcNmlDuk12_Remake_2_0.png")</f>
        <v/>
      </c>
      <c r="C1908" s="21" t="s">
        <v>954</v>
      </c>
      <c r="D1908" s="21" t="s">
        <v>51</v>
      </c>
      <c r="E1908" s="21">
        <v>10.0</v>
      </c>
      <c r="F1908" s="21" t="s">
        <v>2289</v>
      </c>
      <c r="G1908" s="19"/>
      <c r="H1908" s="19"/>
      <c r="I1908" s="19"/>
    </row>
    <row r="1909" ht="56.25" customHeight="1">
      <c r="A1909" s="21" t="s">
        <v>4483</v>
      </c>
      <c r="B1909" s="19" t="str">
        <f>image("https://storage.googleapis.com/acdb/photos/BromideNpcNmlDuk12_Remake_3_0.png")</f>
        <v/>
      </c>
      <c r="C1909" s="21" t="s">
        <v>82</v>
      </c>
      <c r="D1909" s="21" t="s">
        <v>51</v>
      </c>
      <c r="E1909" s="21">
        <v>10.0</v>
      </c>
      <c r="F1909" s="21" t="s">
        <v>2289</v>
      </c>
      <c r="G1909" s="19"/>
      <c r="H1909" s="19"/>
      <c r="I1909" s="19"/>
    </row>
    <row r="1910" ht="56.25" customHeight="1">
      <c r="A1910" s="21" t="s">
        <v>4483</v>
      </c>
      <c r="B1910" s="19" t="str">
        <f>image("https://storage.googleapis.com/acdb/photos/BromideNpcNmlDuk12_Remake_4_0.png")</f>
        <v/>
      </c>
      <c r="C1910" s="21" t="s">
        <v>833</v>
      </c>
      <c r="D1910" s="21" t="s">
        <v>51</v>
      </c>
      <c r="E1910" s="21">
        <v>10.0</v>
      </c>
      <c r="F1910" s="21" t="s">
        <v>2289</v>
      </c>
      <c r="G1910" s="19"/>
      <c r="H1910" s="19"/>
      <c r="I1910" s="19"/>
    </row>
    <row r="1911" ht="56.25" customHeight="1">
      <c r="A1911" s="21" t="s">
        <v>4483</v>
      </c>
      <c r="B1911" s="19" t="str">
        <f>image("https://storage.googleapis.com/acdb/photos/BromideNpcNmlDuk12_Remake_5_0.png")</f>
        <v/>
      </c>
      <c r="C1911" s="21" t="s">
        <v>258</v>
      </c>
      <c r="D1911" s="21" t="s">
        <v>51</v>
      </c>
      <c r="E1911" s="21">
        <v>10.0</v>
      </c>
      <c r="F1911" s="21" t="s">
        <v>2289</v>
      </c>
      <c r="G1911" s="19"/>
      <c r="H1911" s="19"/>
      <c r="I1911" s="19"/>
    </row>
    <row r="1912" ht="56.25" customHeight="1">
      <c r="A1912" s="21" t="s">
        <v>4483</v>
      </c>
      <c r="B1912" s="19" t="str">
        <f>image("https://storage.googleapis.com/acdb/photos/BromideNpcNmlDuk12_Remake_6_0.png")</f>
        <v/>
      </c>
      <c r="C1912" s="21" t="s">
        <v>182</v>
      </c>
      <c r="D1912" s="21" t="s">
        <v>51</v>
      </c>
      <c r="E1912" s="21">
        <v>10.0</v>
      </c>
      <c r="F1912" s="21" t="s">
        <v>2289</v>
      </c>
      <c r="G1912" s="19"/>
      <c r="H1912" s="19"/>
      <c r="I1912" s="19"/>
    </row>
    <row r="1913" ht="56.25" customHeight="1">
      <c r="A1913" s="21" t="s">
        <v>4483</v>
      </c>
      <c r="B1913" s="19" t="str">
        <f>image("https://storage.googleapis.com/acdb/photos/BromideNpcNmlDuk12_Remake_7_0.png")</f>
        <v/>
      </c>
      <c r="C1913" s="21" t="s">
        <v>187</v>
      </c>
      <c r="D1913" s="21" t="s">
        <v>51</v>
      </c>
      <c r="E1913" s="21">
        <v>10.0</v>
      </c>
      <c r="F1913" s="21" t="s">
        <v>2289</v>
      </c>
      <c r="G1913" s="19"/>
      <c r="H1913" s="19"/>
      <c r="I1913" s="19"/>
    </row>
    <row r="1914" ht="56.25" customHeight="1">
      <c r="A1914" s="21" t="s">
        <v>4522</v>
      </c>
      <c r="B1914" s="19" t="str">
        <f>image("https://storage.googleapis.com/acdb/photos/BromideNpcNmlCat01_Remake_0_0.png")</f>
        <v/>
      </c>
      <c r="C1914" s="21" t="s">
        <v>219</v>
      </c>
      <c r="D1914" s="21" t="s">
        <v>51</v>
      </c>
      <c r="E1914" s="21">
        <v>10.0</v>
      </c>
      <c r="F1914" s="21" t="s">
        <v>2289</v>
      </c>
      <c r="G1914" s="19"/>
      <c r="H1914" s="19"/>
      <c r="I1914" s="19"/>
    </row>
    <row r="1915" ht="56.25" customHeight="1">
      <c r="A1915" s="21" t="s">
        <v>4522</v>
      </c>
      <c r="B1915" s="19" t="str">
        <f>image("https://storage.googleapis.com/acdb/photos/BromideNpcNmlCat01_Remake_1_0.png")</f>
        <v/>
      </c>
      <c r="C1915" s="21" t="s">
        <v>795</v>
      </c>
      <c r="D1915" s="21" t="s">
        <v>51</v>
      </c>
      <c r="E1915" s="21">
        <v>10.0</v>
      </c>
      <c r="F1915" s="21" t="s">
        <v>2289</v>
      </c>
      <c r="G1915" s="19"/>
      <c r="H1915" s="19"/>
      <c r="I1915" s="19"/>
    </row>
    <row r="1916" ht="56.25" customHeight="1">
      <c r="A1916" s="21" t="s">
        <v>4522</v>
      </c>
      <c r="B1916" s="19" t="str">
        <f>image("https://storage.googleapis.com/acdb/photos/BromideNpcNmlCat01_Remake_2_0.png")</f>
        <v/>
      </c>
      <c r="C1916" s="21" t="s">
        <v>954</v>
      </c>
      <c r="D1916" s="21" t="s">
        <v>51</v>
      </c>
      <c r="E1916" s="21">
        <v>10.0</v>
      </c>
      <c r="F1916" s="21" t="s">
        <v>2289</v>
      </c>
      <c r="G1916" s="19"/>
      <c r="H1916" s="19"/>
      <c r="I1916" s="19"/>
    </row>
    <row r="1917" ht="56.25" customHeight="1">
      <c r="A1917" s="21" t="s">
        <v>4522</v>
      </c>
      <c r="B1917" s="19" t="str">
        <f>image("https://storage.googleapis.com/acdb/photos/BromideNpcNmlCat01_Remake_3_0.png")</f>
        <v/>
      </c>
      <c r="C1917" s="21" t="s">
        <v>82</v>
      </c>
      <c r="D1917" s="21" t="s">
        <v>51</v>
      </c>
      <c r="E1917" s="21">
        <v>10.0</v>
      </c>
      <c r="F1917" s="21" t="s">
        <v>2289</v>
      </c>
      <c r="G1917" s="19"/>
      <c r="H1917" s="19"/>
      <c r="I1917" s="19"/>
    </row>
    <row r="1918" ht="56.25" customHeight="1">
      <c r="A1918" s="21" t="s">
        <v>4522</v>
      </c>
      <c r="B1918" s="19" t="str">
        <f>image("https://storage.googleapis.com/acdb/photos/BromideNpcNmlCat01_Remake_4_0.png")</f>
        <v/>
      </c>
      <c r="C1918" s="21" t="s">
        <v>833</v>
      </c>
      <c r="D1918" s="21" t="s">
        <v>51</v>
      </c>
      <c r="E1918" s="21">
        <v>10.0</v>
      </c>
      <c r="F1918" s="21" t="s">
        <v>2289</v>
      </c>
      <c r="G1918" s="19"/>
      <c r="H1918" s="19"/>
      <c r="I1918" s="19"/>
    </row>
    <row r="1919" ht="56.25" customHeight="1">
      <c r="A1919" s="21" t="s">
        <v>4522</v>
      </c>
      <c r="B1919" s="19" t="str">
        <f>image("https://storage.googleapis.com/acdb/photos/BromideNpcNmlCat01_Remake_5_0.png")</f>
        <v/>
      </c>
      <c r="C1919" s="21" t="s">
        <v>258</v>
      </c>
      <c r="D1919" s="21" t="s">
        <v>51</v>
      </c>
      <c r="E1919" s="21">
        <v>10.0</v>
      </c>
      <c r="F1919" s="21" t="s">
        <v>2289</v>
      </c>
      <c r="G1919" s="19"/>
      <c r="H1919" s="19"/>
      <c r="I1919" s="19"/>
    </row>
    <row r="1920" ht="56.25" customHeight="1">
      <c r="A1920" s="21" t="s">
        <v>4522</v>
      </c>
      <c r="B1920" s="19" t="str">
        <f>image("https://storage.googleapis.com/acdb/photos/BromideNpcNmlCat01_Remake_6_0.png")</f>
        <v/>
      </c>
      <c r="C1920" s="21" t="s">
        <v>182</v>
      </c>
      <c r="D1920" s="21" t="s">
        <v>51</v>
      </c>
      <c r="E1920" s="21">
        <v>10.0</v>
      </c>
      <c r="F1920" s="21" t="s">
        <v>2289</v>
      </c>
      <c r="G1920" s="19"/>
      <c r="H1920" s="19"/>
      <c r="I1920" s="19"/>
    </row>
    <row r="1921" ht="56.25" customHeight="1">
      <c r="A1921" s="21" t="s">
        <v>4522</v>
      </c>
      <c r="B1921" s="19" t="str">
        <f>image("https://storage.googleapis.com/acdb/photos/BromideNpcNmlCat01_Remake_7_0.png")</f>
        <v/>
      </c>
      <c r="C1921" s="21" t="s">
        <v>187</v>
      </c>
      <c r="D1921" s="21" t="s">
        <v>51</v>
      </c>
      <c r="E1921" s="21">
        <v>10.0</v>
      </c>
      <c r="F1921" s="21" t="s">
        <v>2289</v>
      </c>
      <c r="G1921" s="19"/>
      <c r="H1921" s="19"/>
      <c r="I1921" s="19"/>
    </row>
    <row r="1922" ht="56.25" customHeight="1">
      <c r="A1922" s="21" t="s">
        <v>4543</v>
      </c>
      <c r="B1922" s="19" t="str">
        <f>image("https://storage.googleapis.com/acdb/photos/BromideNpcNmlCat08_Remake_0_0.png")</f>
        <v/>
      </c>
      <c r="C1922" s="21" t="s">
        <v>219</v>
      </c>
      <c r="D1922" s="21" t="s">
        <v>51</v>
      </c>
      <c r="E1922" s="21">
        <v>10.0</v>
      </c>
      <c r="F1922" s="21" t="s">
        <v>2289</v>
      </c>
      <c r="G1922" s="19"/>
      <c r="H1922" s="19"/>
      <c r="I1922" s="19"/>
    </row>
    <row r="1923" ht="56.25" customHeight="1">
      <c r="A1923" s="21" t="s">
        <v>4543</v>
      </c>
      <c r="B1923" s="19" t="str">
        <f>image("https://storage.googleapis.com/acdb/photos/BromideNpcNmlCat08_Remake_1_0.png")</f>
        <v/>
      </c>
      <c r="C1923" s="21" t="s">
        <v>795</v>
      </c>
      <c r="D1923" s="21" t="s">
        <v>51</v>
      </c>
      <c r="E1923" s="21">
        <v>10.0</v>
      </c>
      <c r="F1923" s="21" t="s">
        <v>2289</v>
      </c>
      <c r="G1923" s="19"/>
      <c r="H1923" s="19"/>
      <c r="I1923" s="19"/>
    </row>
    <row r="1924" ht="56.25" customHeight="1">
      <c r="A1924" s="21" t="s">
        <v>4543</v>
      </c>
      <c r="B1924" s="19" t="str">
        <f>image("https://storage.googleapis.com/acdb/photos/BromideNpcNmlCat08_Remake_2_0.png")</f>
        <v/>
      </c>
      <c r="C1924" s="21" t="s">
        <v>954</v>
      </c>
      <c r="D1924" s="21" t="s">
        <v>51</v>
      </c>
      <c r="E1924" s="21">
        <v>10.0</v>
      </c>
      <c r="F1924" s="21" t="s">
        <v>2289</v>
      </c>
      <c r="G1924" s="19"/>
      <c r="H1924" s="19"/>
      <c r="I1924" s="19"/>
    </row>
    <row r="1925" ht="56.25" customHeight="1">
      <c r="A1925" s="21" t="s">
        <v>4543</v>
      </c>
      <c r="B1925" s="19" t="str">
        <f>image("https://storage.googleapis.com/acdb/photos/BromideNpcNmlCat08_Remake_3_0.png")</f>
        <v/>
      </c>
      <c r="C1925" s="21" t="s">
        <v>82</v>
      </c>
      <c r="D1925" s="21" t="s">
        <v>51</v>
      </c>
      <c r="E1925" s="21">
        <v>10.0</v>
      </c>
      <c r="F1925" s="21" t="s">
        <v>2289</v>
      </c>
      <c r="G1925" s="19"/>
      <c r="H1925" s="19"/>
      <c r="I1925" s="19"/>
    </row>
    <row r="1926" ht="56.25" customHeight="1">
      <c r="A1926" s="21" t="s">
        <v>4543</v>
      </c>
      <c r="B1926" s="19" t="str">
        <f>image("https://storage.googleapis.com/acdb/photos/BromideNpcNmlCat08_Remake_4_0.png")</f>
        <v/>
      </c>
      <c r="C1926" s="21" t="s">
        <v>833</v>
      </c>
      <c r="D1926" s="21" t="s">
        <v>51</v>
      </c>
      <c r="E1926" s="21">
        <v>10.0</v>
      </c>
      <c r="F1926" s="21" t="s">
        <v>2289</v>
      </c>
      <c r="G1926" s="19"/>
      <c r="H1926" s="19"/>
      <c r="I1926" s="19"/>
    </row>
    <row r="1927" ht="56.25" customHeight="1">
      <c r="A1927" s="21" t="s">
        <v>4543</v>
      </c>
      <c r="B1927" s="19" t="str">
        <f>image("https://storage.googleapis.com/acdb/photos/BromideNpcNmlCat08_Remake_5_0.png")</f>
        <v/>
      </c>
      <c r="C1927" s="21" t="s">
        <v>258</v>
      </c>
      <c r="D1927" s="21" t="s">
        <v>51</v>
      </c>
      <c r="E1927" s="21">
        <v>10.0</v>
      </c>
      <c r="F1927" s="21" t="s">
        <v>2289</v>
      </c>
      <c r="G1927" s="19"/>
      <c r="H1927" s="19"/>
      <c r="I1927" s="19"/>
    </row>
    <row r="1928" ht="56.25" customHeight="1">
      <c r="A1928" s="21" t="s">
        <v>4543</v>
      </c>
      <c r="B1928" s="19" t="str">
        <f>image("https://storage.googleapis.com/acdb/photos/BromideNpcNmlCat08_Remake_6_0.png")</f>
        <v/>
      </c>
      <c r="C1928" s="21" t="s">
        <v>182</v>
      </c>
      <c r="D1928" s="21" t="s">
        <v>51</v>
      </c>
      <c r="E1928" s="21">
        <v>10.0</v>
      </c>
      <c r="F1928" s="21" t="s">
        <v>2289</v>
      </c>
      <c r="G1928" s="19"/>
      <c r="H1928" s="19"/>
      <c r="I1928" s="19"/>
    </row>
    <row r="1929" ht="56.25" customHeight="1">
      <c r="A1929" s="21" t="s">
        <v>4543</v>
      </c>
      <c r="B1929" s="19" t="str">
        <f>image("https://storage.googleapis.com/acdb/photos/BromideNpcNmlCat08_Remake_7_0.png")</f>
        <v/>
      </c>
      <c r="C1929" s="21" t="s">
        <v>187</v>
      </c>
      <c r="D1929" s="21" t="s">
        <v>51</v>
      </c>
      <c r="E1929" s="21">
        <v>10.0</v>
      </c>
      <c r="F1929" s="21" t="s">
        <v>2289</v>
      </c>
      <c r="G1929" s="19"/>
      <c r="H1929" s="19"/>
      <c r="I1929" s="19"/>
    </row>
    <row r="1930" ht="56.25" customHeight="1">
      <c r="A1930" s="21" t="s">
        <v>4562</v>
      </c>
      <c r="B1930" s="19" t="str">
        <f>image("https://storage.googleapis.com/acdb/photos/BromideNpcNmlDuk16_Remake_0_0.png")</f>
        <v/>
      </c>
      <c r="C1930" s="21" t="s">
        <v>219</v>
      </c>
      <c r="D1930" s="21" t="s">
        <v>51</v>
      </c>
      <c r="E1930" s="21">
        <v>10.0</v>
      </c>
      <c r="F1930" s="21" t="s">
        <v>2289</v>
      </c>
      <c r="G1930" s="19"/>
      <c r="H1930" s="19"/>
      <c r="I1930" s="19"/>
    </row>
    <row r="1931" ht="56.25" customHeight="1">
      <c r="A1931" s="21" t="s">
        <v>4562</v>
      </c>
      <c r="B1931" s="19" t="str">
        <f>image("https://storage.googleapis.com/acdb/photos/BromideNpcNmlDuk16_Remake_1_0.png")</f>
        <v/>
      </c>
      <c r="C1931" s="21" t="s">
        <v>795</v>
      </c>
      <c r="D1931" s="21" t="s">
        <v>51</v>
      </c>
      <c r="E1931" s="21">
        <v>10.0</v>
      </c>
      <c r="F1931" s="21" t="s">
        <v>2289</v>
      </c>
      <c r="G1931" s="19"/>
      <c r="H1931" s="19"/>
      <c r="I1931" s="19"/>
    </row>
    <row r="1932" ht="56.25" customHeight="1">
      <c r="A1932" s="21" t="s">
        <v>4562</v>
      </c>
      <c r="B1932" s="19" t="str">
        <f>image("https://storage.googleapis.com/acdb/photos/BromideNpcNmlDuk16_Remake_2_0.png")</f>
        <v/>
      </c>
      <c r="C1932" s="21" t="s">
        <v>954</v>
      </c>
      <c r="D1932" s="21" t="s">
        <v>51</v>
      </c>
      <c r="E1932" s="21">
        <v>10.0</v>
      </c>
      <c r="F1932" s="21" t="s">
        <v>2289</v>
      </c>
      <c r="G1932" s="19"/>
      <c r="H1932" s="19"/>
      <c r="I1932" s="19"/>
    </row>
    <row r="1933" ht="56.25" customHeight="1">
      <c r="A1933" s="21" t="s">
        <v>4562</v>
      </c>
      <c r="B1933" s="19" t="str">
        <f>image("https://storage.googleapis.com/acdb/photos/BromideNpcNmlDuk16_Remake_3_0.png")</f>
        <v/>
      </c>
      <c r="C1933" s="21" t="s">
        <v>82</v>
      </c>
      <c r="D1933" s="21" t="s">
        <v>51</v>
      </c>
      <c r="E1933" s="21">
        <v>10.0</v>
      </c>
      <c r="F1933" s="21" t="s">
        <v>2289</v>
      </c>
      <c r="G1933" s="19"/>
      <c r="H1933" s="19"/>
      <c r="I1933" s="19"/>
    </row>
    <row r="1934" ht="56.25" customHeight="1">
      <c r="A1934" s="21" t="s">
        <v>4562</v>
      </c>
      <c r="B1934" s="19" t="str">
        <f>image("https://storage.googleapis.com/acdb/photos/BromideNpcNmlDuk16_Remake_4_0.png")</f>
        <v/>
      </c>
      <c r="C1934" s="21" t="s">
        <v>833</v>
      </c>
      <c r="D1934" s="21" t="s">
        <v>51</v>
      </c>
      <c r="E1934" s="21">
        <v>10.0</v>
      </c>
      <c r="F1934" s="21" t="s">
        <v>2289</v>
      </c>
      <c r="G1934" s="19"/>
      <c r="H1934" s="19"/>
      <c r="I1934" s="19"/>
    </row>
    <row r="1935" ht="56.25" customHeight="1">
      <c r="A1935" s="21" t="s">
        <v>4562</v>
      </c>
      <c r="B1935" s="19" t="str">
        <f>image("https://storage.googleapis.com/acdb/photos/BromideNpcNmlDuk16_Remake_5_0.png")</f>
        <v/>
      </c>
      <c r="C1935" s="21" t="s">
        <v>258</v>
      </c>
      <c r="D1935" s="21" t="s">
        <v>51</v>
      </c>
      <c r="E1935" s="21">
        <v>10.0</v>
      </c>
      <c r="F1935" s="21" t="s">
        <v>2289</v>
      </c>
      <c r="G1935" s="19"/>
      <c r="H1935" s="19"/>
      <c r="I1935" s="19"/>
    </row>
    <row r="1936" ht="56.25" customHeight="1">
      <c r="A1936" s="21" t="s">
        <v>4562</v>
      </c>
      <c r="B1936" s="19" t="str">
        <f>image("https://storage.googleapis.com/acdb/photos/BromideNpcNmlDuk16_Remake_6_0.png")</f>
        <v/>
      </c>
      <c r="C1936" s="21" t="s">
        <v>182</v>
      </c>
      <c r="D1936" s="21" t="s">
        <v>51</v>
      </c>
      <c r="E1936" s="21">
        <v>10.0</v>
      </c>
      <c r="F1936" s="21" t="s">
        <v>2289</v>
      </c>
      <c r="G1936" s="19"/>
      <c r="H1936" s="19"/>
      <c r="I1936" s="19"/>
    </row>
    <row r="1937" ht="56.25" customHeight="1">
      <c r="A1937" s="21" t="s">
        <v>4562</v>
      </c>
      <c r="B1937" s="19" t="str">
        <f>image("https://storage.googleapis.com/acdb/photos/BromideNpcNmlDuk16_Remake_7_0.png")</f>
        <v/>
      </c>
      <c r="C1937" s="21" t="s">
        <v>187</v>
      </c>
      <c r="D1937" s="21" t="s">
        <v>51</v>
      </c>
      <c r="E1937" s="21">
        <v>10.0</v>
      </c>
      <c r="F1937" s="21" t="s">
        <v>2289</v>
      </c>
      <c r="G1937" s="19"/>
      <c r="H1937" s="19"/>
      <c r="I1937" s="19"/>
    </row>
    <row r="1938" ht="56.25" customHeight="1">
      <c r="A1938" s="21" t="s">
        <v>4606</v>
      </c>
      <c r="B1938" s="19" t="str">
        <f>image("https://storage.googleapis.com/acdb/photos/BromideNpcNmlCat11_Remake_0_0.png")</f>
        <v/>
      </c>
      <c r="C1938" s="21" t="s">
        <v>219</v>
      </c>
      <c r="D1938" s="21" t="s">
        <v>51</v>
      </c>
      <c r="E1938" s="21">
        <v>10.0</v>
      </c>
      <c r="F1938" s="21" t="s">
        <v>2289</v>
      </c>
      <c r="G1938" s="19"/>
      <c r="H1938" s="19"/>
      <c r="I1938" s="19"/>
    </row>
    <row r="1939" ht="56.25" customHeight="1">
      <c r="A1939" s="21" t="s">
        <v>4606</v>
      </c>
      <c r="B1939" s="19" t="str">
        <f>image("https://storage.googleapis.com/acdb/photos/BromideNpcNmlCat11_Remake_1_0.png")</f>
        <v/>
      </c>
      <c r="C1939" s="21" t="s">
        <v>795</v>
      </c>
      <c r="D1939" s="21" t="s">
        <v>51</v>
      </c>
      <c r="E1939" s="21">
        <v>10.0</v>
      </c>
      <c r="F1939" s="21" t="s">
        <v>2289</v>
      </c>
      <c r="G1939" s="19"/>
      <c r="H1939" s="19"/>
      <c r="I1939" s="19"/>
    </row>
    <row r="1940" ht="56.25" customHeight="1">
      <c r="A1940" s="21" t="s">
        <v>4606</v>
      </c>
      <c r="B1940" s="19" t="str">
        <f>image("https://storage.googleapis.com/acdb/photos/BromideNpcNmlCat11_Remake_2_0.png")</f>
        <v/>
      </c>
      <c r="C1940" s="21" t="s">
        <v>954</v>
      </c>
      <c r="D1940" s="21" t="s">
        <v>51</v>
      </c>
      <c r="E1940" s="21">
        <v>10.0</v>
      </c>
      <c r="F1940" s="21" t="s">
        <v>2289</v>
      </c>
      <c r="G1940" s="19"/>
      <c r="H1940" s="19"/>
      <c r="I1940" s="19"/>
    </row>
    <row r="1941" ht="56.25" customHeight="1">
      <c r="A1941" s="21" t="s">
        <v>4606</v>
      </c>
      <c r="B1941" s="19" t="str">
        <f>image("https://storage.googleapis.com/acdb/photos/BromideNpcNmlCat11_Remake_3_0.png")</f>
        <v/>
      </c>
      <c r="C1941" s="21" t="s">
        <v>82</v>
      </c>
      <c r="D1941" s="21" t="s">
        <v>51</v>
      </c>
      <c r="E1941" s="21">
        <v>10.0</v>
      </c>
      <c r="F1941" s="21" t="s">
        <v>2289</v>
      </c>
      <c r="G1941" s="19"/>
      <c r="H1941" s="19"/>
      <c r="I1941" s="19"/>
    </row>
    <row r="1942" ht="56.25" customHeight="1">
      <c r="A1942" s="21" t="s">
        <v>4606</v>
      </c>
      <c r="B1942" s="19" t="str">
        <f>image("https://storage.googleapis.com/acdb/photos/BromideNpcNmlCat11_Remake_4_0.png")</f>
        <v/>
      </c>
      <c r="C1942" s="21" t="s">
        <v>833</v>
      </c>
      <c r="D1942" s="21" t="s">
        <v>51</v>
      </c>
      <c r="E1942" s="21">
        <v>10.0</v>
      </c>
      <c r="F1942" s="21" t="s">
        <v>2289</v>
      </c>
      <c r="G1942" s="19"/>
      <c r="H1942" s="19"/>
      <c r="I1942" s="19"/>
    </row>
    <row r="1943" ht="56.25" customHeight="1">
      <c r="A1943" s="21" t="s">
        <v>4606</v>
      </c>
      <c r="B1943" s="19" t="str">
        <f>image("https://storage.googleapis.com/acdb/photos/BromideNpcNmlCat11_Remake_5_0.png")</f>
        <v/>
      </c>
      <c r="C1943" s="21" t="s">
        <v>258</v>
      </c>
      <c r="D1943" s="21" t="s">
        <v>51</v>
      </c>
      <c r="E1943" s="21">
        <v>10.0</v>
      </c>
      <c r="F1943" s="21" t="s">
        <v>2289</v>
      </c>
      <c r="G1943" s="19"/>
      <c r="H1943" s="19"/>
      <c r="I1943" s="19"/>
    </row>
    <row r="1944" ht="56.25" customHeight="1">
      <c r="A1944" s="21" t="s">
        <v>4606</v>
      </c>
      <c r="B1944" s="19" t="str">
        <f>image("https://storage.googleapis.com/acdb/photos/BromideNpcNmlCat11_Remake_6_0.png")</f>
        <v/>
      </c>
      <c r="C1944" s="21" t="s">
        <v>182</v>
      </c>
      <c r="D1944" s="21" t="s">
        <v>51</v>
      </c>
      <c r="E1944" s="21">
        <v>10.0</v>
      </c>
      <c r="F1944" s="21" t="s">
        <v>2289</v>
      </c>
      <c r="G1944" s="19"/>
      <c r="H1944" s="19"/>
      <c r="I1944" s="19"/>
    </row>
    <row r="1945" ht="56.25" customHeight="1">
      <c r="A1945" s="21" t="s">
        <v>4606</v>
      </c>
      <c r="B1945" s="19" t="str">
        <f>image("https://storage.googleapis.com/acdb/photos/BromideNpcNmlCat11_Remake_7_0.png")</f>
        <v/>
      </c>
      <c r="C1945" s="21" t="s">
        <v>187</v>
      </c>
      <c r="D1945" s="21" t="s">
        <v>51</v>
      </c>
      <c r="E1945" s="21">
        <v>10.0</v>
      </c>
      <c r="F1945" s="21" t="s">
        <v>2289</v>
      </c>
      <c r="G1945" s="19"/>
      <c r="H1945" s="19"/>
      <c r="I1945" s="19"/>
    </row>
    <row r="1946" ht="56.25" customHeight="1">
      <c r="A1946" s="21" t="s">
        <v>4634</v>
      </c>
      <c r="B1946" s="19" t="str">
        <f>image("https://storage.googleapis.com/acdb/photos/BromideNpcNmlMnk04_Remake_0_0.png")</f>
        <v/>
      </c>
      <c r="C1946" s="21" t="s">
        <v>219</v>
      </c>
      <c r="D1946" s="21" t="s">
        <v>51</v>
      </c>
      <c r="E1946" s="21">
        <v>10.0</v>
      </c>
      <c r="F1946" s="21" t="s">
        <v>2289</v>
      </c>
      <c r="G1946" s="19"/>
      <c r="H1946" s="19"/>
      <c r="I1946" s="19"/>
    </row>
    <row r="1947" ht="56.25" customHeight="1">
      <c r="A1947" s="21" t="s">
        <v>4634</v>
      </c>
      <c r="B1947" s="19" t="str">
        <f>image("https://storage.googleapis.com/acdb/photos/BromideNpcNmlMnk04_Remake_1_0.png")</f>
        <v/>
      </c>
      <c r="C1947" s="21" t="s">
        <v>795</v>
      </c>
      <c r="D1947" s="21" t="s">
        <v>51</v>
      </c>
      <c r="E1947" s="21">
        <v>10.0</v>
      </c>
      <c r="F1947" s="21" t="s">
        <v>2289</v>
      </c>
      <c r="G1947" s="19"/>
      <c r="H1947" s="19"/>
      <c r="I1947" s="19"/>
    </row>
    <row r="1948" ht="56.25" customHeight="1">
      <c r="A1948" s="21" t="s">
        <v>4634</v>
      </c>
      <c r="B1948" s="19" t="str">
        <f>image("https://storage.googleapis.com/acdb/photos/BromideNpcNmlMnk04_Remake_2_0.png")</f>
        <v/>
      </c>
      <c r="C1948" s="21" t="s">
        <v>954</v>
      </c>
      <c r="D1948" s="21" t="s">
        <v>51</v>
      </c>
      <c r="E1948" s="21">
        <v>10.0</v>
      </c>
      <c r="F1948" s="21" t="s">
        <v>2289</v>
      </c>
      <c r="G1948" s="19"/>
      <c r="H1948" s="19"/>
      <c r="I1948" s="19"/>
    </row>
    <row r="1949" ht="56.25" customHeight="1">
      <c r="A1949" s="21" t="s">
        <v>4634</v>
      </c>
      <c r="B1949" s="19" t="str">
        <f>image("https://storage.googleapis.com/acdb/photos/BromideNpcNmlMnk04_Remake_3_0.png")</f>
        <v/>
      </c>
      <c r="C1949" s="21" t="s">
        <v>82</v>
      </c>
      <c r="D1949" s="21" t="s">
        <v>51</v>
      </c>
      <c r="E1949" s="21">
        <v>10.0</v>
      </c>
      <c r="F1949" s="21" t="s">
        <v>2289</v>
      </c>
      <c r="G1949" s="19"/>
      <c r="H1949" s="19"/>
      <c r="I1949" s="19"/>
    </row>
    <row r="1950" ht="56.25" customHeight="1">
      <c r="A1950" s="21" t="s">
        <v>4634</v>
      </c>
      <c r="B1950" s="19" t="str">
        <f>image("https://storage.googleapis.com/acdb/photos/BromideNpcNmlMnk04_Remake_4_0.png")</f>
        <v/>
      </c>
      <c r="C1950" s="21" t="s">
        <v>833</v>
      </c>
      <c r="D1950" s="21" t="s">
        <v>51</v>
      </c>
      <c r="E1950" s="21">
        <v>10.0</v>
      </c>
      <c r="F1950" s="21" t="s">
        <v>2289</v>
      </c>
      <c r="G1950" s="19"/>
      <c r="H1950" s="19"/>
      <c r="I1950" s="19"/>
    </row>
    <row r="1951" ht="56.25" customHeight="1">
      <c r="A1951" s="21" t="s">
        <v>4634</v>
      </c>
      <c r="B1951" s="19" t="str">
        <f>image("https://storage.googleapis.com/acdb/photos/BromideNpcNmlMnk04_Remake_5_0.png")</f>
        <v/>
      </c>
      <c r="C1951" s="21" t="s">
        <v>258</v>
      </c>
      <c r="D1951" s="21" t="s">
        <v>51</v>
      </c>
      <c r="E1951" s="21">
        <v>10.0</v>
      </c>
      <c r="F1951" s="21" t="s">
        <v>2289</v>
      </c>
      <c r="G1951" s="19"/>
      <c r="H1951" s="19"/>
      <c r="I1951" s="19"/>
    </row>
    <row r="1952" ht="56.25" customHeight="1">
      <c r="A1952" s="21" t="s">
        <v>4634</v>
      </c>
      <c r="B1952" s="19" t="str">
        <f>image("https://storage.googleapis.com/acdb/photos/BromideNpcNmlMnk04_Remake_6_0.png")</f>
        <v/>
      </c>
      <c r="C1952" s="21" t="s">
        <v>182</v>
      </c>
      <c r="D1952" s="21" t="s">
        <v>51</v>
      </c>
      <c r="E1952" s="21">
        <v>10.0</v>
      </c>
      <c r="F1952" s="21" t="s">
        <v>2289</v>
      </c>
      <c r="G1952" s="19"/>
      <c r="H1952" s="19"/>
      <c r="I1952" s="19"/>
    </row>
    <row r="1953" ht="56.25" customHeight="1">
      <c r="A1953" s="21" t="s">
        <v>4634</v>
      </c>
      <c r="B1953" s="19" t="str">
        <f>image("https://storage.googleapis.com/acdb/photos/BromideNpcNmlMnk04_Remake_7_0.png")</f>
        <v/>
      </c>
      <c r="C1953" s="21" t="s">
        <v>187</v>
      </c>
      <c r="D1953" s="21" t="s">
        <v>51</v>
      </c>
      <c r="E1953" s="21">
        <v>10.0</v>
      </c>
      <c r="F1953" s="21" t="s">
        <v>2289</v>
      </c>
      <c r="G1953" s="19"/>
      <c r="H1953" s="19"/>
      <c r="I1953" s="19"/>
    </row>
    <row r="1954" ht="56.25" customHeight="1">
      <c r="A1954" s="21" t="s">
        <v>4647</v>
      </c>
      <c r="B1954" s="19" t="str">
        <f>image("https://storage.googleapis.com/acdb/photos/BromideNpcNmlMus14_Remake_0_0.png")</f>
        <v/>
      </c>
      <c r="C1954" s="21" t="s">
        <v>219</v>
      </c>
      <c r="D1954" s="21" t="s">
        <v>51</v>
      </c>
      <c r="E1954" s="21">
        <v>10.0</v>
      </c>
      <c r="F1954" s="21" t="s">
        <v>2289</v>
      </c>
      <c r="G1954" s="19"/>
      <c r="H1954" s="19"/>
      <c r="I1954" s="19"/>
    </row>
    <row r="1955" ht="56.25" customHeight="1">
      <c r="A1955" s="21" t="s">
        <v>4647</v>
      </c>
      <c r="B1955" s="19" t="str">
        <f>image("https://storage.googleapis.com/acdb/photos/BromideNpcNmlMus14_Remake_1_0.png")</f>
        <v/>
      </c>
      <c r="C1955" s="21" t="s">
        <v>795</v>
      </c>
      <c r="D1955" s="21" t="s">
        <v>51</v>
      </c>
      <c r="E1955" s="21">
        <v>10.0</v>
      </c>
      <c r="F1955" s="21" t="s">
        <v>2289</v>
      </c>
      <c r="G1955" s="19"/>
      <c r="H1955" s="19"/>
      <c r="I1955" s="19"/>
    </row>
    <row r="1956" ht="56.25" customHeight="1">
      <c r="A1956" s="21" t="s">
        <v>4647</v>
      </c>
      <c r="B1956" s="19" t="str">
        <f>image("https://storage.googleapis.com/acdb/photos/BromideNpcNmlMus14_Remake_2_0.png")</f>
        <v/>
      </c>
      <c r="C1956" s="21" t="s">
        <v>954</v>
      </c>
      <c r="D1956" s="21" t="s">
        <v>51</v>
      </c>
      <c r="E1956" s="21">
        <v>10.0</v>
      </c>
      <c r="F1956" s="21" t="s">
        <v>2289</v>
      </c>
      <c r="G1956" s="19"/>
      <c r="H1956" s="19"/>
      <c r="I1956" s="19"/>
    </row>
    <row r="1957" ht="56.25" customHeight="1">
      <c r="A1957" s="21" t="s">
        <v>4647</v>
      </c>
      <c r="B1957" s="19" t="str">
        <f>image("https://storage.googleapis.com/acdb/photos/BromideNpcNmlMus14_Remake_3_0.png")</f>
        <v/>
      </c>
      <c r="C1957" s="21" t="s">
        <v>82</v>
      </c>
      <c r="D1957" s="21" t="s">
        <v>51</v>
      </c>
      <c r="E1957" s="21">
        <v>10.0</v>
      </c>
      <c r="F1957" s="21" t="s">
        <v>2289</v>
      </c>
      <c r="G1957" s="19"/>
      <c r="H1957" s="19"/>
      <c r="I1957" s="19"/>
    </row>
    <row r="1958" ht="56.25" customHeight="1">
      <c r="A1958" s="21" t="s">
        <v>4647</v>
      </c>
      <c r="B1958" s="19" t="str">
        <f>image("https://storage.googleapis.com/acdb/photos/BromideNpcNmlMus14_Remake_4_0.png")</f>
        <v/>
      </c>
      <c r="C1958" s="21" t="s">
        <v>833</v>
      </c>
      <c r="D1958" s="21" t="s">
        <v>51</v>
      </c>
      <c r="E1958" s="21">
        <v>10.0</v>
      </c>
      <c r="F1958" s="21" t="s">
        <v>2289</v>
      </c>
      <c r="G1958" s="19"/>
      <c r="H1958" s="19"/>
      <c r="I1958" s="19"/>
    </row>
    <row r="1959" ht="56.25" customHeight="1">
      <c r="A1959" s="21" t="s">
        <v>4647</v>
      </c>
      <c r="B1959" s="19" t="str">
        <f>image("https://storage.googleapis.com/acdb/photos/BromideNpcNmlMus14_Remake_5_0.png")</f>
        <v/>
      </c>
      <c r="C1959" s="21" t="s">
        <v>258</v>
      </c>
      <c r="D1959" s="21" t="s">
        <v>51</v>
      </c>
      <c r="E1959" s="21">
        <v>10.0</v>
      </c>
      <c r="F1959" s="21" t="s">
        <v>2289</v>
      </c>
      <c r="G1959" s="19"/>
      <c r="H1959" s="19"/>
      <c r="I1959" s="19"/>
    </row>
    <row r="1960" ht="56.25" customHeight="1">
      <c r="A1960" s="21" t="s">
        <v>4647</v>
      </c>
      <c r="B1960" s="19" t="str">
        <f>image("https://storage.googleapis.com/acdb/photos/BromideNpcNmlMus14_Remake_6_0.png")</f>
        <v/>
      </c>
      <c r="C1960" s="21" t="s">
        <v>182</v>
      </c>
      <c r="D1960" s="21" t="s">
        <v>51</v>
      </c>
      <c r="E1960" s="21">
        <v>10.0</v>
      </c>
      <c r="F1960" s="21" t="s">
        <v>2289</v>
      </c>
      <c r="G1960" s="19"/>
      <c r="H1960" s="19"/>
      <c r="I1960" s="19"/>
    </row>
    <row r="1961" ht="56.25" customHeight="1">
      <c r="A1961" s="21" t="s">
        <v>4647</v>
      </c>
      <c r="B1961" s="19" t="str">
        <f>image("https://storage.googleapis.com/acdb/photos/BromideNpcNmlMus14_Remake_7_0.png")</f>
        <v/>
      </c>
      <c r="C1961" s="21" t="s">
        <v>187</v>
      </c>
      <c r="D1961" s="21" t="s">
        <v>51</v>
      </c>
      <c r="E1961" s="21">
        <v>10.0</v>
      </c>
      <c r="F1961" s="21" t="s">
        <v>2289</v>
      </c>
      <c r="G1961" s="19"/>
      <c r="H1961" s="19"/>
      <c r="I1961" s="19"/>
    </row>
    <row r="1962" ht="56.25" customHeight="1">
      <c r="A1962" s="21" t="s">
        <v>4666</v>
      </c>
      <c r="B1962" s="19" t="str">
        <f>image("https://storage.googleapis.com/acdb/photos/BromideNpcNmlLon06_Remake_0_0.png")</f>
        <v/>
      </c>
      <c r="C1962" s="21" t="s">
        <v>219</v>
      </c>
      <c r="D1962" s="21" t="s">
        <v>51</v>
      </c>
      <c r="E1962" s="21">
        <v>10.0</v>
      </c>
      <c r="F1962" s="21" t="s">
        <v>2289</v>
      </c>
      <c r="G1962" s="19"/>
      <c r="H1962" s="19"/>
      <c r="I1962" s="19"/>
    </row>
    <row r="1963" ht="56.25" customHeight="1">
      <c r="A1963" s="21" t="s">
        <v>4666</v>
      </c>
      <c r="B1963" s="19" t="str">
        <f>image("https://storage.googleapis.com/acdb/photos/BromideNpcNmlLon06_Remake_1_0.png")</f>
        <v/>
      </c>
      <c r="C1963" s="21" t="s">
        <v>795</v>
      </c>
      <c r="D1963" s="21" t="s">
        <v>51</v>
      </c>
      <c r="E1963" s="21">
        <v>10.0</v>
      </c>
      <c r="F1963" s="21" t="s">
        <v>2289</v>
      </c>
      <c r="G1963" s="19"/>
      <c r="H1963" s="19"/>
      <c r="I1963" s="19"/>
    </row>
    <row r="1964" ht="56.25" customHeight="1">
      <c r="A1964" s="21" t="s">
        <v>4666</v>
      </c>
      <c r="B1964" s="19" t="str">
        <f>image("https://storage.googleapis.com/acdb/photos/BromideNpcNmlLon06_Remake_2_0.png")</f>
        <v/>
      </c>
      <c r="C1964" s="21" t="s">
        <v>954</v>
      </c>
      <c r="D1964" s="21" t="s">
        <v>51</v>
      </c>
      <c r="E1964" s="21">
        <v>10.0</v>
      </c>
      <c r="F1964" s="21" t="s">
        <v>2289</v>
      </c>
      <c r="G1964" s="19"/>
      <c r="H1964" s="19"/>
      <c r="I1964" s="19"/>
    </row>
    <row r="1965" ht="56.25" customHeight="1">
      <c r="A1965" s="21" t="s">
        <v>4666</v>
      </c>
      <c r="B1965" s="19" t="str">
        <f>image("https://storage.googleapis.com/acdb/photos/BromideNpcNmlLon06_Remake_3_0.png")</f>
        <v/>
      </c>
      <c r="C1965" s="21" t="s">
        <v>82</v>
      </c>
      <c r="D1965" s="21" t="s">
        <v>51</v>
      </c>
      <c r="E1965" s="21">
        <v>10.0</v>
      </c>
      <c r="F1965" s="21" t="s">
        <v>2289</v>
      </c>
      <c r="G1965" s="19"/>
      <c r="H1965" s="19"/>
      <c r="I1965" s="19"/>
    </row>
    <row r="1966" ht="56.25" customHeight="1">
      <c r="A1966" s="21" t="s">
        <v>4666</v>
      </c>
      <c r="B1966" s="19" t="str">
        <f>image("https://storage.googleapis.com/acdb/photos/BromideNpcNmlLon06_Remake_4_0.png")</f>
        <v/>
      </c>
      <c r="C1966" s="21" t="s">
        <v>833</v>
      </c>
      <c r="D1966" s="21" t="s">
        <v>51</v>
      </c>
      <c r="E1966" s="21">
        <v>10.0</v>
      </c>
      <c r="F1966" s="21" t="s">
        <v>2289</v>
      </c>
      <c r="G1966" s="19"/>
      <c r="H1966" s="19"/>
      <c r="I1966" s="19"/>
    </row>
    <row r="1967" ht="56.25" customHeight="1">
      <c r="A1967" s="21" t="s">
        <v>4666</v>
      </c>
      <c r="B1967" s="19" t="str">
        <f>image("https://storage.googleapis.com/acdb/photos/BromideNpcNmlLon06_Remake_5_0.png")</f>
        <v/>
      </c>
      <c r="C1967" s="21" t="s">
        <v>258</v>
      </c>
      <c r="D1967" s="21" t="s">
        <v>51</v>
      </c>
      <c r="E1967" s="21">
        <v>10.0</v>
      </c>
      <c r="F1967" s="21" t="s">
        <v>2289</v>
      </c>
      <c r="G1967" s="19"/>
      <c r="H1967" s="19"/>
      <c r="I1967" s="19"/>
    </row>
    <row r="1968" ht="56.25" customHeight="1">
      <c r="A1968" s="21" t="s">
        <v>4666</v>
      </c>
      <c r="B1968" s="19" t="str">
        <f>image("https://storage.googleapis.com/acdb/photos/BromideNpcNmlLon06_Remake_6_0.png")</f>
        <v/>
      </c>
      <c r="C1968" s="21" t="s">
        <v>182</v>
      </c>
      <c r="D1968" s="21" t="s">
        <v>51</v>
      </c>
      <c r="E1968" s="21">
        <v>10.0</v>
      </c>
      <c r="F1968" s="21" t="s">
        <v>2289</v>
      </c>
      <c r="G1968" s="19"/>
      <c r="H1968" s="19"/>
      <c r="I1968" s="19"/>
    </row>
    <row r="1969" ht="56.25" customHeight="1">
      <c r="A1969" s="21" t="s">
        <v>4666</v>
      </c>
      <c r="B1969" s="19" t="str">
        <f>image("https://storage.googleapis.com/acdb/photos/BromideNpcNmlLon06_Remake_7_0.png")</f>
        <v/>
      </c>
      <c r="C1969" s="21" t="s">
        <v>187</v>
      </c>
      <c r="D1969" s="21" t="s">
        <v>51</v>
      </c>
      <c r="E1969" s="21">
        <v>10.0</v>
      </c>
      <c r="F1969" s="21" t="s">
        <v>2289</v>
      </c>
      <c r="G1969" s="19"/>
      <c r="H1969" s="19"/>
      <c r="I1969" s="19"/>
    </row>
    <row r="1970" ht="56.25" customHeight="1">
      <c r="A1970" s="21" t="s">
        <v>4683</v>
      </c>
      <c r="B1970" s="19" t="str">
        <f>image("https://storage.googleapis.com/acdb/photos/BromideNpcNmlShp12_Remake_0_0.png")</f>
        <v/>
      </c>
      <c r="C1970" s="21" t="s">
        <v>219</v>
      </c>
      <c r="D1970" s="21" t="s">
        <v>51</v>
      </c>
      <c r="E1970" s="21">
        <v>10.0</v>
      </c>
      <c r="F1970" s="21" t="s">
        <v>2289</v>
      </c>
      <c r="G1970" s="19"/>
      <c r="H1970" s="19"/>
      <c r="I1970" s="19"/>
    </row>
    <row r="1971" ht="56.25" customHeight="1">
      <c r="A1971" s="21" t="s">
        <v>4683</v>
      </c>
      <c r="B1971" s="19" t="str">
        <f>image("https://storage.googleapis.com/acdb/photos/BromideNpcNmlShp12_Remake_1_0.png")</f>
        <v/>
      </c>
      <c r="C1971" s="21" t="s">
        <v>795</v>
      </c>
      <c r="D1971" s="21" t="s">
        <v>51</v>
      </c>
      <c r="E1971" s="21">
        <v>10.0</v>
      </c>
      <c r="F1971" s="21" t="s">
        <v>2289</v>
      </c>
      <c r="G1971" s="19"/>
      <c r="H1971" s="19"/>
      <c r="I1971" s="19"/>
    </row>
    <row r="1972" ht="56.25" customHeight="1">
      <c r="A1972" s="21" t="s">
        <v>4683</v>
      </c>
      <c r="B1972" s="19" t="str">
        <f>image("https://storage.googleapis.com/acdb/photos/BromideNpcNmlShp12_Remake_2_0.png")</f>
        <v/>
      </c>
      <c r="C1972" s="21" t="s">
        <v>954</v>
      </c>
      <c r="D1972" s="21" t="s">
        <v>51</v>
      </c>
      <c r="E1972" s="21">
        <v>10.0</v>
      </c>
      <c r="F1972" s="21" t="s">
        <v>2289</v>
      </c>
      <c r="G1972" s="19"/>
      <c r="H1972" s="19"/>
      <c r="I1972" s="19"/>
    </row>
    <row r="1973" ht="56.25" customHeight="1">
      <c r="A1973" s="21" t="s">
        <v>4683</v>
      </c>
      <c r="B1973" s="19" t="str">
        <f>image("https://storage.googleapis.com/acdb/photos/BromideNpcNmlShp12_Remake_3_0.png")</f>
        <v/>
      </c>
      <c r="C1973" s="21" t="s">
        <v>82</v>
      </c>
      <c r="D1973" s="21" t="s">
        <v>51</v>
      </c>
      <c r="E1973" s="21">
        <v>10.0</v>
      </c>
      <c r="F1973" s="21" t="s">
        <v>2289</v>
      </c>
      <c r="G1973" s="19"/>
      <c r="H1973" s="19"/>
      <c r="I1973" s="19"/>
    </row>
    <row r="1974" ht="56.25" customHeight="1">
      <c r="A1974" s="21" t="s">
        <v>4683</v>
      </c>
      <c r="B1974" s="19" t="str">
        <f>image("https://storage.googleapis.com/acdb/photos/BromideNpcNmlShp12_Remake_4_0.png")</f>
        <v/>
      </c>
      <c r="C1974" s="21" t="s">
        <v>833</v>
      </c>
      <c r="D1974" s="21" t="s">
        <v>51</v>
      </c>
      <c r="E1974" s="21">
        <v>10.0</v>
      </c>
      <c r="F1974" s="21" t="s">
        <v>2289</v>
      </c>
      <c r="G1974" s="19"/>
      <c r="H1974" s="19"/>
      <c r="I1974" s="19"/>
    </row>
    <row r="1975" ht="56.25" customHeight="1">
      <c r="A1975" s="21" t="s">
        <v>4683</v>
      </c>
      <c r="B1975" s="19" t="str">
        <f>image("https://storage.googleapis.com/acdb/photos/BromideNpcNmlShp12_Remake_5_0.png")</f>
        <v/>
      </c>
      <c r="C1975" s="21" t="s">
        <v>258</v>
      </c>
      <c r="D1975" s="21" t="s">
        <v>51</v>
      </c>
      <c r="E1975" s="21">
        <v>10.0</v>
      </c>
      <c r="F1975" s="21" t="s">
        <v>2289</v>
      </c>
      <c r="G1975" s="19"/>
      <c r="H1975" s="19"/>
      <c r="I1975" s="19"/>
    </row>
    <row r="1976" ht="56.25" customHeight="1">
      <c r="A1976" s="21" t="s">
        <v>4683</v>
      </c>
      <c r="B1976" s="19" t="str">
        <f>image("https://storage.googleapis.com/acdb/photos/BromideNpcNmlShp12_Remake_6_0.png")</f>
        <v/>
      </c>
      <c r="C1976" s="21" t="s">
        <v>182</v>
      </c>
      <c r="D1976" s="21" t="s">
        <v>51</v>
      </c>
      <c r="E1976" s="21">
        <v>10.0</v>
      </c>
      <c r="F1976" s="21" t="s">
        <v>2289</v>
      </c>
      <c r="G1976" s="19"/>
      <c r="H1976" s="19"/>
      <c r="I1976" s="19"/>
    </row>
    <row r="1977" ht="56.25" customHeight="1">
      <c r="A1977" s="21" t="s">
        <v>4683</v>
      </c>
      <c r="B1977" s="19" t="str">
        <f>image("https://storage.googleapis.com/acdb/photos/BromideNpcNmlShp12_Remake_7_0.png")</f>
        <v/>
      </c>
      <c r="C1977" s="21" t="s">
        <v>187</v>
      </c>
      <c r="D1977" s="21" t="s">
        <v>51</v>
      </c>
      <c r="E1977" s="21">
        <v>10.0</v>
      </c>
      <c r="F1977" s="21" t="s">
        <v>2289</v>
      </c>
      <c r="G1977" s="19"/>
      <c r="H1977" s="19"/>
      <c r="I1977" s="19"/>
    </row>
    <row r="1978" ht="56.25" customHeight="1">
      <c r="A1978" s="21" t="s">
        <v>4694</v>
      </c>
      <c r="B1978" s="19" t="str">
        <f>image("https://storage.googleapis.com/acdb/photos/BromideNpcNmlCbr07_Remake_0_0.png")</f>
        <v/>
      </c>
      <c r="C1978" s="21" t="s">
        <v>219</v>
      </c>
      <c r="D1978" s="21" t="s">
        <v>51</v>
      </c>
      <c r="E1978" s="21">
        <v>10.0</v>
      </c>
      <c r="F1978" s="21" t="s">
        <v>2289</v>
      </c>
      <c r="G1978" s="19"/>
      <c r="H1978" s="19"/>
      <c r="I1978" s="19"/>
    </row>
    <row r="1979" ht="56.25" customHeight="1">
      <c r="A1979" s="21" t="s">
        <v>4694</v>
      </c>
      <c r="B1979" s="19" t="str">
        <f>image("https://storage.googleapis.com/acdb/photos/BromideNpcNmlCbr07_Remake_1_0.png")</f>
        <v/>
      </c>
      <c r="C1979" s="21" t="s">
        <v>795</v>
      </c>
      <c r="D1979" s="21" t="s">
        <v>51</v>
      </c>
      <c r="E1979" s="21">
        <v>10.0</v>
      </c>
      <c r="F1979" s="21" t="s">
        <v>2289</v>
      </c>
      <c r="G1979" s="19"/>
      <c r="H1979" s="19"/>
      <c r="I1979" s="19"/>
    </row>
    <row r="1980" ht="56.25" customHeight="1">
      <c r="A1980" s="21" t="s">
        <v>4694</v>
      </c>
      <c r="B1980" s="19" t="str">
        <f>image("https://storage.googleapis.com/acdb/photos/BromideNpcNmlCbr07_Remake_2_0.png")</f>
        <v/>
      </c>
      <c r="C1980" s="21" t="s">
        <v>954</v>
      </c>
      <c r="D1980" s="21" t="s">
        <v>51</v>
      </c>
      <c r="E1980" s="21">
        <v>10.0</v>
      </c>
      <c r="F1980" s="21" t="s">
        <v>2289</v>
      </c>
      <c r="G1980" s="19"/>
      <c r="H1980" s="19"/>
      <c r="I1980" s="19"/>
    </row>
    <row r="1981" ht="56.25" customHeight="1">
      <c r="A1981" s="21" t="s">
        <v>4694</v>
      </c>
      <c r="B1981" s="19" t="str">
        <f>image("https://storage.googleapis.com/acdb/photos/BromideNpcNmlCbr07_Remake_3_0.png")</f>
        <v/>
      </c>
      <c r="C1981" s="21" t="s">
        <v>82</v>
      </c>
      <c r="D1981" s="21" t="s">
        <v>51</v>
      </c>
      <c r="E1981" s="21">
        <v>10.0</v>
      </c>
      <c r="F1981" s="21" t="s">
        <v>2289</v>
      </c>
      <c r="G1981" s="19"/>
      <c r="H1981" s="19"/>
      <c r="I1981" s="19"/>
    </row>
    <row r="1982" ht="56.25" customHeight="1">
      <c r="A1982" s="21" t="s">
        <v>4694</v>
      </c>
      <c r="B1982" s="19" t="str">
        <f>image("https://storage.googleapis.com/acdb/photos/BromideNpcNmlCbr07_Remake_4_0.png")</f>
        <v/>
      </c>
      <c r="C1982" s="21" t="s">
        <v>833</v>
      </c>
      <c r="D1982" s="21" t="s">
        <v>51</v>
      </c>
      <c r="E1982" s="21">
        <v>10.0</v>
      </c>
      <c r="F1982" s="21" t="s">
        <v>2289</v>
      </c>
      <c r="G1982" s="19"/>
      <c r="H1982" s="19"/>
      <c r="I1982" s="19"/>
    </row>
    <row r="1983" ht="56.25" customHeight="1">
      <c r="A1983" s="21" t="s">
        <v>4694</v>
      </c>
      <c r="B1983" s="19" t="str">
        <f>image("https://storage.googleapis.com/acdb/photos/BromideNpcNmlCbr07_Remake_5_0.png")</f>
        <v/>
      </c>
      <c r="C1983" s="21" t="s">
        <v>258</v>
      </c>
      <c r="D1983" s="21" t="s">
        <v>51</v>
      </c>
      <c r="E1983" s="21">
        <v>10.0</v>
      </c>
      <c r="F1983" s="21" t="s">
        <v>2289</v>
      </c>
      <c r="G1983" s="19"/>
      <c r="H1983" s="19"/>
      <c r="I1983" s="19"/>
    </row>
    <row r="1984" ht="56.25" customHeight="1">
      <c r="A1984" s="21" t="s">
        <v>4694</v>
      </c>
      <c r="B1984" s="19" t="str">
        <f>image("https://storage.googleapis.com/acdb/photos/BromideNpcNmlCbr07_Remake_6_0.png")</f>
        <v/>
      </c>
      <c r="C1984" s="21" t="s">
        <v>182</v>
      </c>
      <c r="D1984" s="21" t="s">
        <v>51</v>
      </c>
      <c r="E1984" s="21">
        <v>10.0</v>
      </c>
      <c r="F1984" s="21" t="s">
        <v>2289</v>
      </c>
      <c r="G1984" s="19"/>
      <c r="H1984" s="19"/>
      <c r="I1984" s="19"/>
    </row>
    <row r="1985" ht="56.25" customHeight="1">
      <c r="A1985" s="21" t="s">
        <v>4694</v>
      </c>
      <c r="B1985" s="19" t="str">
        <f>image("https://storage.googleapis.com/acdb/photos/BromideNpcNmlCbr07_Remake_7_0.png")</f>
        <v/>
      </c>
      <c r="C1985" s="21" t="s">
        <v>187</v>
      </c>
      <c r="D1985" s="21" t="s">
        <v>51</v>
      </c>
      <c r="E1985" s="21">
        <v>10.0</v>
      </c>
      <c r="F1985" s="21" t="s">
        <v>2289</v>
      </c>
      <c r="G1985" s="19"/>
      <c r="H1985" s="19"/>
      <c r="I1985" s="19"/>
    </row>
    <row r="1986" ht="56.25" customHeight="1">
      <c r="A1986" s="21" t="s">
        <v>4712</v>
      </c>
      <c r="B1986" s="19" t="str">
        <f>image("https://storage.googleapis.com/acdb/photos/BromideNpcNmlGoa01_Remake_0_0.png")</f>
        <v/>
      </c>
      <c r="C1986" s="21" t="s">
        <v>219</v>
      </c>
      <c r="D1986" s="21" t="s">
        <v>51</v>
      </c>
      <c r="E1986" s="21">
        <v>10.0</v>
      </c>
      <c r="F1986" s="21" t="s">
        <v>2289</v>
      </c>
      <c r="G1986" s="19"/>
      <c r="H1986" s="19"/>
      <c r="I1986" s="19"/>
    </row>
    <row r="1987" ht="56.25" customHeight="1">
      <c r="A1987" s="21" t="s">
        <v>4712</v>
      </c>
      <c r="B1987" s="19" t="str">
        <f>image("https://storage.googleapis.com/acdb/photos/BromideNpcNmlGoa01_Remake_1_0.png")</f>
        <v/>
      </c>
      <c r="C1987" s="21" t="s">
        <v>795</v>
      </c>
      <c r="D1987" s="21" t="s">
        <v>51</v>
      </c>
      <c r="E1987" s="21">
        <v>10.0</v>
      </c>
      <c r="F1987" s="21" t="s">
        <v>2289</v>
      </c>
      <c r="G1987" s="19"/>
      <c r="H1987" s="19"/>
      <c r="I1987" s="19"/>
    </row>
    <row r="1988" ht="56.25" customHeight="1">
      <c r="A1988" s="21" t="s">
        <v>4712</v>
      </c>
      <c r="B1988" s="19" t="str">
        <f>image("https://storage.googleapis.com/acdb/photos/BromideNpcNmlGoa01_Remake_2_0.png")</f>
        <v/>
      </c>
      <c r="C1988" s="21" t="s">
        <v>954</v>
      </c>
      <c r="D1988" s="21" t="s">
        <v>51</v>
      </c>
      <c r="E1988" s="21">
        <v>10.0</v>
      </c>
      <c r="F1988" s="21" t="s">
        <v>2289</v>
      </c>
      <c r="G1988" s="19"/>
      <c r="H1988" s="19"/>
      <c r="I1988" s="19"/>
    </row>
    <row r="1989" ht="56.25" customHeight="1">
      <c r="A1989" s="21" t="s">
        <v>4712</v>
      </c>
      <c r="B1989" s="19" t="str">
        <f>image("https://storage.googleapis.com/acdb/photos/BromideNpcNmlGoa01_Remake_3_0.png")</f>
        <v/>
      </c>
      <c r="C1989" s="21" t="s">
        <v>82</v>
      </c>
      <c r="D1989" s="21" t="s">
        <v>51</v>
      </c>
      <c r="E1989" s="21">
        <v>10.0</v>
      </c>
      <c r="F1989" s="21" t="s">
        <v>2289</v>
      </c>
      <c r="G1989" s="19"/>
      <c r="H1989" s="19"/>
      <c r="I1989" s="19"/>
    </row>
    <row r="1990" ht="56.25" customHeight="1">
      <c r="A1990" s="21" t="s">
        <v>4712</v>
      </c>
      <c r="B1990" s="19" t="str">
        <f>image("https://storage.googleapis.com/acdb/photos/BromideNpcNmlGoa01_Remake_4_0.png")</f>
        <v/>
      </c>
      <c r="C1990" s="21" t="s">
        <v>833</v>
      </c>
      <c r="D1990" s="21" t="s">
        <v>51</v>
      </c>
      <c r="E1990" s="21">
        <v>10.0</v>
      </c>
      <c r="F1990" s="21" t="s">
        <v>2289</v>
      </c>
      <c r="G1990" s="19"/>
      <c r="H1990" s="19"/>
      <c r="I1990" s="19"/>
    </row>
    <row r="1991" ht="56.25" customHeight="1">
      <c r="A1991" s="21" t="s">
        <v>4712</v>
      </c>
      <c r="B1991" s="19" t="str">
        <f>image("https://storage.googleapis.com/acdb/photos/BromideNpcNmlGoa01_Remake_5_0.png")</f>
        <v/>
      </c>
      <c r="C1991" s="21" t="s">
        <v>258</v>
      </c>
      <c r="D1991" s="21" t="s">
        <v>51</v>
      </c>
      <c r="E1991" s="21">
        <v>10.0</v>
      </c>
      <c r="F1991" s="21" t="s">
        <v>2289</v>
      </c>
      <c r="G1991" s="19"/>
      <c r="H1991" s="19"/>
      <c r="I1991" s="19"/>
    </row>
    <row r="1992" ht="56.25" customHeight="1">
      <c r="A1992" s="21" t="s">
        <v>4712</v>
      </c>
      <c r="B1992" s="19" t="str">
        <f>image("https://storage.googleapis.com/acdb/photos/BromideNpcNmlGoa01_Remake_6_0.png")</f>
        <v/>
      </c>
      <c r="C1992" s="21" t="s">
        <v>182</v>
      </c>
      <c r="D1992" s="21" t="s">
        <v>51</v>
      </c>
      <c r="E1992" s="21">
        <v>10.0</v>
      </c>
      <c r="F1992" s="21" t="s">
        <v>2289</v>
      </c>
      <c r="G1992" s="19"/>
      <c r="H1992" s="19"/>
      <c r="I1992" s="19"/>
    </row>
    <row r="1993" ht="56.25" customHeight="1">
      <c r="A1993" s="21" t="s">
        <v>4712</v>
      </c>
      <c r="B1993" s="19" t="str">
        <f>image("https://storage.googleapis.com/acdb/photos/BromideNpcNmlGoa01_Remake_7_0.png")</f>
        <v/>
      </c>
      <c r="C1993" s="21" t="s">
        <v>187</v>
      </c>
      <c r="D1993" s="21" t="s">
        <v>51</v>
      </c>
      <c r="E1993" s="21">
        <v>10.0</v>
      </c>
      <c r="F1993" s="21" t="s">
        <v>2289</v>
      </c>
      <c r="G1993" s="19"/>
      <c r="H1993" s="19"/>
      <c r="I1993" s="19"/>
    </row>
    <row r="1994" ht="56.25" customHeight="1">
      <c r="A1994" s="21" t="s">
        <v>4733</v>
      </c>
      <c r="B1994" s="19" t="str">
        <f>image("https://storage.googleapis.com/acdb/photos/BromideNpcNmlMnk01_Remake_0_0.png")</f>
        <v/>
      </c>
      <c r="C1994" s="21" t="s">
        <v>219</v>
      </c>
      <c r="D1994" s="21" t="s">
        <v>51</v>
      </c>
      <c r="E1994" s="21">
        <v>10.0</v>
      </c>
      <c r="F1994" s="21" t="s">
        <v>2289</v>
      </c>
      <c r="G1994" s="19"/>
      <c r="H1994" s="19"/>
      <c r="I1994" s="19"/>
    </row>
    <row r="1995" ht="56.25" customHeight="1">
      <c r="A1995" s="21" t="s">
        <v>4733</v>
      </c>
      <c r="B1995" s="19" t="str">
        <f>image("https://storage.googleapis.com/acdb/photos/BromideNpcNmlMnk01_Remake_1_0.png")</f>
        <v/>
      </c>
      <c r="C1995" s="21" t="s">
        <v>795</v>
      </c>
      <c r="D1995" s="21" t="s">
        <v>51</v>
      </c>
      <c r="E1995" s="21">
        <v>10.0</v>
      </c>
      <c r="F1995" s="21" t="s">
        <v>2289</v>
      </c>
      <c r="G1995" s="19"/>
      <c r="H1995" s="19"/>
      <c r="I1995" s="19"/>
    </row>
    <row r="1996" ht="56.25" customHeight="1">
      <c r="A1996" s="21" t="s">
        <v>4733</v>
      </c>
      <c r="B1996" s="19" t="str">
        <f>image("https://storage.googleapis.com/acdb/photos/BromideNpcNmlMnk01_Remake_2_0.png")</f>
        <v/>
      </c>
      <c r="C1996" s="21" t="s">
        <v>954</v>
      </c>
      <c r="D1996" s="21" t="s">
        <v>51</v>
      </c>
      <c r="E1996" s="21">
        <v>10.0</v>
      </c>
      <c r="F1996" s="21" t="s">
        <v>2289</v>
      </c>
      <c r="G1996" s="19"/>
      <c r="H1996" s="19"/>
      <c r="I1996" s="19"/>
    </row>
    <row r="1997" ht="56.25" customHeight="1">
      <c r="A1997" s="21" t="s">
        <v>4733</v>
      </c>
      <c r="B1997" s="19" t="str">
        <f>image("https://storage.googleapis.com/acdb/photos/BromideNpcNmlMnk01_Remake_3_0.png")</f>
        <v/>
      </c>
      <c r="C1997" s="21" t="s">
        <v>82</v>
      </c>
      <c r="D1997" s="21" t="s">
        <v>51</v>
      </c>
      <c r="E1997" s="21">
        <v>10.0</v>
      </c>
      <c r="F1997" s="21" t="s">
        <v>2289</v>
      </c>
      <c r="G1997" s="19"/>
      <c r="H1997" s="19"/>
      <c r="I1997" s="19"/>
    </row>
    <row r="1998" ht="56.25" customHeight="1">
      <c r="A1998" s="21" t="s">
        <v>4733</v>
      </c>
      <c r="B1998" s="19" t="str">
        <f>image("https://storage.googleapis.com/acdb/photos/BromideNpcNmlMnk01_Remake_4_0.png")</f>
        <v/>
      </c>
      <c r="C1998" s="21" t="s">
        <v>833</v>
      </c>
      <c r="D1998" s="21" t="s">
        <v>51</v>
      </c>
      <c r="E1998" s="21">
        <v>10.0</v>
      </c>
      <c r="F1998" s="21" t="s">
        <v>2289</v>
      </c>
      <c r="G1998" s="19"/>
      <c r="H1998" s="19"/>
      <c r="I1998" s="19"/>
    </row>
    <row r="1999" ht="56.25" customHeight="1">
      <c r="A1999" s="21" t="s">
        <v>4733</v>
      </c>
      <c r="B1999" s="19" t="str">
        <f>image("https://storage.googleapis.com/acdb/photos/BromideNpcNmlMnk01_Remake_5_0.png")</f>
        <v/>
      </c>
      <c r="C1999" s="21" t="s">
        <v>258</v>
      </c>
      <c r="D1999" s="21" t="s">
        <v>51</v>
      </c>
      <c r="E1999" s="21">
        <v>10.0</v>
      </c>
      <c r="F1999" s="21" t="s">
        <v>2289</v>
      </c>
      <c r="G1999" s="19"/>
      <c r="H1999" s="19"/>
      <c r="I1999" s="19"/>
    </row>
    <row r="2000" ht="56.25" customHeight="1">
      <c r="A2000" s="21" t="s">
        <v>4733</v>
      </c>
      <c r="B2000" s="19" t="str">
        <f>image("https://storage.googleapis.com/acdb/photos/BromideNpcNmlMnk01_Remake_6_0.png")</f>
        <v/>
      </c>
      <c r="C2000" s="21" t="s">
        <v>182</v>
      </c>
      <c r="D2000" s="21" t="s">
        <v>51</v>
      </c>
      <c r="E2000" s="21">
        <v>10.0</v>
      </c>
      <c r="F2000" s="21" t="s">
        <v>2289</v>
      </c>
      <c r="G2000" s="19"/>
      <c r="H2000" s="19"/>
      <c r="I2000" s="19"/>
    </row>
    <row r="2001" ht="56.25" customHeight="1">
      <c r="A2001" s="21" t="s">
        <v>4733</v>
      </c>
      <c r="B2001" s="19" t="str">
        <f>image("https://storage.googleapis.com/acdb/photos/BromideNpcNmlMnk01_Remake_7_0.png")</f>
        <v/>
      </c>
      <c r="C2001" s="21" t="s">
        <v>187</v>
      </c>
      <c r="D2001" s="21" t="s">
        <v>51</v>
      </c>
      <c r="E2001" s="21">
        <v>10.0</v>
      </c>
      <c r="F2001" s="21" t="s">
        <v>2289</v>
      </c>
      <c r="G2001" s="19"/>
      <c r="H2001" s="19"/>
      <c r="I2001" s="19"/>
    </row>
    <row r="2002" ht="56.25" customHeight="1">
      <c r="A2002" s="21" t="s">
        <v>4759</v>
      </c>
      <c r="B2002" s="19" t="str">
        <f>image("https://storage.googleapis.com/acdb/photos/BromideNpcNmlCow07_Remake_0_0.png")</f>
        <v/>
      </c>
      <c r="C2002" s="21" t="s">
        <v>219</v>
      </c>
      <c r="D2002" s="21" t="s">
        <v>51</v>
      </c>
      <c r="E2002" s="21">
        <v>10.0</v>
      </c>
      <c r="F2002" s="21" t="s">
        <v>2289</v>
      </c>
      <c r="G2002" s="19"/>
      <c r="H2002" s="19"/>
      <c r="I2002" s="19"/>
    </row>
    <row r="2003" ht="56.25" customHeight="1">
      <c r="A2003" s="21" t="s">
        <v>4759</v>
      </c>
      <c r="B2003" s="19" t="str">
        <f>image("https://storage.googleapis.com/acdb/photos/BromideNpcNmlCow07_Remake_1_0.png")</f>
        <v/>
      </c>
      <c r="C2003" s="21" t="s">
        <v>795</v>
      </c>
      <c r="D2003" s="21" t="s">
        <v>51</v>
      </c>
      <c r="E2003" s="21">
        <v>10.0</v>
      </c>
      <c r="F2003" s="21" t="s">
        <v>2289</v>
      </c>
      <c r="G2003" s="19"/>
      <c r="H2003" s="19"/>
      <c r="I2003" s="19"/>
    </row>
    <row r="2004" ht="56.25" customHeight="1">
      <c r="A2004" s="21" t="s">
        <v>4759</v>
      </c>
      <c r="B2004" s="19" t="str">
        <f>image("https://storage.googleapis.com/acdb/photos/BromideNpcNmlCow07_Remake_2_0.png")</f>
        <v/>
      </c>
      <c r="C2004" s="21" t="s">
        <v>954</v>
      </c>
      <c r="D2004" s="21" t="s">
        <v>51</v>
      </c>
      <c r="E2004" s="21">
        <v>10.0</v>
      </c>
      <c r="F2004" s="21" t="s">
        <v>2289</v>
      </c>
      <c r="G2004" s="19"/>
      <c r="H2004" s="19"/>
      <c r="I2004" s="19"/>
    </row>
    <row r="2005" ht="56.25" customHeight="1">
      <c r="A2005" s="21" t="s">
        <v>4759</v>
      </c>
      <c r="B2005" s="19" t="str">
        <f>image("https://storage.googleapis.com/acdb/photos/BromideNpcNmlCow07_Remake_3_0.png")</f>
        <v/>
      </c>
      <c r="C2005" s="21" t="s">
        <v>82</v>
      </c>
      <c r="D2005" s="21" t="s">
        <v>51</v>
      </c>
      <c r="E2005" s="21">
        <v>10.0</v>
      </c>
      <c r="F2005" s="21" t="s">
        <v>2289</v>
      </c>
      <c r="G2005" s="19"/>
      <c r="H2005" s="19"/>
      <c r="I2005" s="19"/>
    </row>
    <row r="2006" ht="56.25" customHeight="1">
      <c r="A2006" s="21" t="s">
        <v>4759</v>
      </c>
      <c r="B2006" s="19" t="str">
        <f>image("https://storage.googleapis.com/acdb/photos/BromideNpcNmlCow07_Remake_4_0.png")</f>
        <v/>
      </c>
      <c r="C2006" s="21" t="s">
        <v>833</v>
      </c>
      <c r="D2006" s="21" t="s">
        <v>51</v>
      </c>
      <c r="E2006" s="21">
        <v>10.0</v>
      </c>
      <c r="F2006" s="21" t="s">
        <v>2289</v>
      </c>
      <c r="G2006" s="19"/>
      <c r="H2006" s="19"/>
      <c r="I2006" s="19"/>
    </row>
    <row r="2007" ht="56.25" customHeight="1">
      <c r="A2007" s="21" t="s">
        <v>4759</v>
      </c>
      <c r="B2007" s="19" t="str">
        <f>image("https://storage.googleapis.com/acdb/photos/BromideNpcNmlCow07_Remake_5_0.png")</f>
        <v/>
      </c>
      <c r="C2007" s="21" t="s">
        <v>258</v>
      </c>
      <c r="D2007" s="21" t="s">
        <v>51</v>
      </c>
      <c r="E2007" s="21">
        <v>10.0</v>
      </c>
      <c r="F2007" s="21" t="s">
        <v>2289</v>
      </c>
      <c r="G2007" s="19"/>
      <c r="H2007" s="19"/>
      <c r="I2007" s="19"/>
    </row>
    <row r="2008" ht="56.25" customHeight="1">
      <c r="A2008" s="21" t="s">
        <v>4759</v>
      </c>
      <c r="B2008" s="19" t="str">
        <f>image("https://storage.googleapis.com/acdb/photos/BromideNpcNmlCow07_Remake_6_0.png")</f>
        <v/>
      </c>
      <c r="C2008" s="21" t="s">
        <v>182</v>
      </c>
      <c r="D2008" s="21" t="s">
        <v>51</v>
      </c>
      <c r="E2008" s="21">
        <v>10.0</v>
      </c>
      <c r="F2008" s="21" t="s">
        <v>2289</v>
      </c>
      <c r="G2008" s="19"/>
      <c r="H2008" s="19"/>
      <c r="I2008" s="19"/>
    </row>
    <row r="2009" ht="56.25" customHeight="1">
      <c r="A2009" s="21" t="s">
        <v>4759</v>
      </c>
      <c r="B2009" s="19" t="str">
        <f>image("https://storage.googleapis.com/acdb/photos/BromideNpcNmlCow07_Remake_7_0.png")</f>
        <v/>
      </c>
      <c r="C2009" s="21" t="s">
        <v>187</v>
      </c>
      <c r="D2009" s="21" t="s">
        <v>51</v>
      </c>
      <c r="E2009" s="21">
        <v>10.0</v>
      </c>
      <c r="F2009" s="21" t="s">
        <v>2289</v>
      </c>
      <c r="G2009" s="19"/>
      <c r="H2009" s="19"/>
      <c r="I2009" s="19"/>
    </row>
    <row r="2010" ht="56.25" customHeight="1">
      <c r="A2010" s="21" t="s">
        <v>4778</v>
      </c>
      <c r="B2010" s="19" t="str">
        <f>image("https://storage.googleapis.com/acdb/photos/BromideNpcNmlBea05_Remake_0_0.png")</f>
        <v/>
      </c>
      <c r="C2010" s="21" t="s">
        <v>219</v>
      </c>
      <c r="D2010" s="21" t="s">
        <v>51</v>
      </c>
      <c r="E2010" s="21">
        <v>10.0</v>
      </c>
      <c r="F2010" s="21" t="s">
        <v>2289</v>
      </c>
      <c r="G2010" s="19"/>
      <c r="H2010" s="19"/>
      <c r="I2010" s="19"/>
    </row>
    <row r="2011" ht="56.25" customHeight="1">
      <c r="A2011" s="21" t="s">
        <v>4778</v>
      </c>
      <c r="B2011" s="19" t="str">
        <f>image("https://storage.googleapis.com/acdb/photos/BromideNpcNmlBea05_Remake_1_0.png")</f>
        <v/>
      </c>
      <c r="C2011" s="21" t="s">
        <v>795</v>
      </c>
      <c r="D2011" s="21" t="s">
        <v>51</v>
      </c>
      <c r="E2011" s="21">
        <v>10.0</v>
      </c>
      <c r="F2011" s="21" t="s">
        <v>2289</v>
      </c>
      <c r="G2011" s="19"/>
      <c r="H2011" s="19"/>
      <c r="I2011" s="19"/>
    </row>
    <row r="2012" ht="56.25" customHeight="1">
      <c r="A2012" s="21" t="s">
        <v>4778</v>
      </c>
      <c r="B2012" s="19" t="str">
        <f>image("https://storage.googleapis.com/acdb/photos/BromideNpcNmlBea05_Remake_2_0.png")</f>
        <v/>
      </c>
      <c r="C2012" s="21" t="s">
        <v>954</v>
      </c>
      <c r="D2012" s="21" t="s">
        <v>51</v>
      </c>
      <c r="E2012" s="21">
        <v>10.0</v>
      </c>
      <c r="F2012" s="21" t="s">
        <v>2289</v>
      </c>
      <c r="G2012" s="19"/>
      <c r="H2012" s="19"/>
      <c r="I2012" s="19"/>
    </row>
    <row r="2013" ht="56.25" customHeight="1">
      <c r="A2013" s="21" t="s">
        <v>4778</v>
      </c>
      <c r="B2013" s="19" t="str">
        <f>image("https://storage.googleapis.com/acdb/photos/BromideNpcNmlBea05_Remake_3_0.png")</f>
        <v/>
      </c>
      <c r="C2013" s="21" t="s">
        <v>82</v>
      </c>
      <c r="D2013" s="21" t="s">
        <v>51</v>
      </c>
      <c r="E2013" s="21">
        <v>10.0</v>
      </c>
      <c r="F2013" s="21" t="s">
        <v>2289</v>
      </c>
      <c r="G2013" s="19"/>
      <c r="H2013" s="19"/>
      <c r="I2013" s="19"/>
    </row>
    <row r="2014" ht="56.25" customHeight="1">
      <c r="A2014" s="21" t="s">
        <v>4778</v>
      </c>
      <c r="B2014" s="19" t="str">
        <f>image("https://storage.googleapis.com/acdb/photos/BromideNpcNmlBea05_Remake_4_0.png")</f>
        <v/>
      </c>
      <c r="C2014" s="21" t="s">
        <v>833</v>
      </c>
      <c r="D2014" s="21" t="s">
        <v>51</v>
      </c>
      <c r="E2014" s="21">
        <v>10.0</v>
      </c>
      <c r="F2014" s="21" t="s">
        <v>2289</v>
      </c>
      <c r="G2014" s="19"/>
      <c r="H2014" s="19"/>
      <c r="I2014" s="19"/>
    </row>
    <row r="2015" ht="56.25" customHeight="1">
      <c r="A2015" s="21" t="s">
        <v>4778</v>
      </c>
      <c r="B2015" s="19" t="str">
        <f>image("https://storage.googleapis.com/acdb/photos/BromideNpcNmlBea05_Remake_5_0.png")</f>
        <v/>
      </c>
      <c r="C2015" s="21" t="s">
        <v>258</v>
      </c>
      <c r="D2015" s="21" t="s">
        <v>51</v>
      </c>
      <c r="E2015" s="21">
        <v>10.0</v>
      </c>
      <c r="F2015" s="21" t="s">
        <v>2289</v>
      </c>
      <c r="G2015" s="19"/>
      <c r="H2015" s="19"/>
      <c r="I2015" s="19"/>
    </row>
    <row r="2016" ht="56.25" customHeight="1">
      <c r="A2016" s="21" t="s">
        <v>4778</v>
      </c>
      <c r="B2016" s="19" t="str">
        <f>image("https://storage.googleapis.com/acdb/photos/BromideNpcNmlBea05_Remake_6_0.png")</f>
        <v/>
      </c>
      <c r="C2016" s="21" t="s">
        <v>182</v>
      </c>
      <c r="D2016" s="21" t="s">
        <v>51</v>
      </c>
      <c r="E2016" s="21">
        <v>10.0</v>
      </c>
      <c r="F2016" s="21" t="s">
        <v>2289</v>
      </c>
      <c r="G2016" s="19"/>
      <c r="H2016" s="19"/>
      <c r="I2016" s="19"/>
    </row>
    <row r="2017" ht="56.25" customHeight="1">
      <c r="A2017" s="21" t="s">
        <v>4778</v>
      </c>
      <c r="B2017" s="19" t="str">
        <f>image("https://storage.googleapis.com/acdb/photos/BromideNpcNmlBea05_Remake_7_0.png")</f>
        <v/>
      </c>
      <c r="C2017" s="21" t="s">
        <v>187</v>
      </c>
      <c r="D2017" s="21" t="s">
        <v>51</v>
      </c>
      <c r="E2017" s="21">
        <v>10.0</v>
      </c>
      <c r="F2017" s="21" t="s">
        <v>2289</v>
      </c>
      <c r="G2017" s="19"/>
      <c r="H2017" s="19"/>
      <c r="I2017" s="19"/>
    </row>
    <row r="2018" ht="56.25" customHeight="1">
      <c r="A2018" s="21" t="s">
        <v>4798</v>
      </c>
      <c r="B2018" s="19" t="str">
        <f>image("https://storage.googleapis.com/acdb/photos/BromideNpcNmlSqu04_Remake_0_0.png")</f>
        <v/>
      </c>
      <c r="C2018" s="21" t="s">
        <v>219</v>
      </c>
      <c r="D2018" s="21" t="s">
        <v>51</v>
      </c>
      <c r="E2018" s="21">
        <v>10.0</v>
      </c>
      <c r="F2018" s="21" t="s">
        <v>2289</v>
      </c>
      <c r="G2018" s="19"/>
      <c r="H2018" s="19"/>
      <c r="I2018" s="19"/>
    </row>
    <row r="2019" ht="56.25" customHeight="1">
      <c r="A2019" s="21" t="s">
        <v>4798</v>
      </c>
      <c r="B2019" s="19" t="str">
        <f>image("https://storage.googleapis.com/acdb/photos/BromideNpcNmlSqu04_Remake_1_0.png")</f>
        <v/>
      </c>
      <c r="C2019" s="21" t="s">
        <v>795</v>
      </c>
      <c r="D2019" s="21" t="s">
        <v>51</v>
      </c>
      <c r="E2019" s="21">
        <v>10.0</v>
      </c>
      <c r="F2019" s="21" t="s">
        <v>2289</v>
      </c>
      <c r="G2019" s="19"/>
      <c r="H2019" s="19"/>
      <c r="I2019" s="19"/>
    </row>
    <row r="2020" ht="56.25" customHeight="1">
      <c r="A2020" s="21" t="s">
        <v>4798</v>
      </c>
      <c r="B2020" s="19" t="str">
        <f>image("https://storage.googleapis.com/acdb/photos/BromideNpcNmlSqu04_Remake_2_0.png")</f>
        <v/>
      </c>
      <c r="C2020" s="21" t="s">
        <v>954</v>
      </c>
      <c r="D2020" s="21" t="s">
        <v>51</v>
      </c>
      <c r="E2020" s="21">
        <v>10.0</v>
      </c>
      <c r="F2020" s="21" t="s">
        <v>2289</v>
      </c>
      <c r="G2020" s="19"/>
      <c r="H2020" s="19"/>
      <c r="I2020" s="19"/>
    </row>
    <row r="2021" ht="56.25" customHeight="1">
      <c r="A2021" s="21" t="s">
        <v>4798</v>
      </c>
      <c r="B2021" s="19" t="str">
        <f>image("https://storage.googleapis.com/acdb/photos/BromideNpcNmlSqu04_Remake_3_0.png")</f>
        <v/>
      </c>
      <c r="C2021" s="21" t="s">
        <v>82</v>
      </c>
      <c r="D2021" s="21" t="s">
        <v>51</v>
      </c>
      <c r="E2021" s="21">
        <v>10.0</v>
      </c>
      <c r="F2021" s="21" t="s">
        <v>2289</v>
      </c>
      <c r="G2021" s="19"/>
      <c r="H2021" s="19"/>
      <c r="I2021" s="19"/>
    </row>
    <row r="2022" ht="56.25" customHeight="1">
      <c r="A2022" s="21" t="s">
        <v>4798</v>
      </c>
      <c r="B2022" s="19" t="str">
        <f>image("https://storage.googleapis.com/acdb/photos/BromideNpcNmlSqu04_Remake_4_0.png")</f>
        <v/>
      </c>
      <c r="C2022" s="21" t="s">
        <v>833</v>
      </c>
      <c r="D2022" s="21" t="s">
        <v>51</v>
      </c>
      <c r="E2022" s="21">
        <v>10.0</v>
      </c>
      <c r="F2022" s="21" t="s">
        <v>2289</v>
      </c>
      <c r="G2022" s="19"/>
      <c r="H2022" s="19"/>
      <c r="I2022" s="19"/>
    </row>
    <row r="2023" ht="56.25" customHeight="1">
      <c r="A2023" s="21" t="s">
        <v>4798</v>
      </c>
      <c r="B2023" s="19" t="str">
        <f>image("https://storage.googleapis.com/acdb/photos/BromideNpcNmlSqu04_Remake_5_0.png")</f>
        <v/>
      </c>
      <c r="C2023" s="21" t="s">
        <v>258</v>
      </c>
      <c r="D2023" s="21" t="s">
        <v>51</v>
      </c>
      <c r="E2023" s="21">
        <v>10.0</v>
      </c>
      <c r="F2023" s="21" t="s">
        <v>2289</v>
      </c>
      <c r="G2023" s="19"/>
      <c r="H2023" s="19"/>
      <c r="I2023" s="19"/>
    </row>
    <row r="2024" ht="56.25" customHeight="1">
      <c r="A2024" s="21" t="s">
        <v>4798</v>
      </c>
      <c r="B2024" s="19" t="str">
        <f>image("https://storage.googleapis.com/acdb/photos/BromideNpcNmlSqu04_Remake_6_0.png")</f>
        <v/>
      </c>
      <c r="C2024" s="21" t="s">
        <v>182</v>
      </c>
      <c r="D2024" s="21" t="s">
        <v>51</v>
      </c>
      <c r="E2024" s="21">
        <v>10.0</v>
      </c>
      <c r="F2024" s="21" t="s">
        <v>2289</v>
      </c>
      <c r="G2024" s="19"/>
      <c r="H2024" s="19"/>
      <c r="I2024" s="19"/>
    </row>
    <row r="2025" ht="56.25" customHeight="1">
      <c r="A2025" s="21" t="s">
        <v>4798</v>
      </c>
      <c r="B2025" s="19" t="str">
        <f>image("https://storage.googleapis.com/acdb/photos/BromideNpcNmlSqu04_Remake_7_0.png")</f>
        <v/>
      </c>
      <c r="C2025" s="21" t="s">
        <v>187</v>
      </c>
      <c r="D2025" s="21" t="s">
        <v>51</v>
      </c>
      <c r="E2025" s="21">
        <v>10.0</v>
      </c>
      <c r="F2025" s="21" t="s">
        <v>2289</v>
      </c>
      <c r="G2025" s="19"/>
      <c r="H2025" s="19"/>
      <c r="I2025" s="19"/>
    </row>
    <row r="2026" ht="56.25" customHeight="1">
      <c r="A2026" s="21" t="s">
        <v>4822</v>
      </c>
      <c r="B2026" s="19" t="str">
        <f>image("https://storage.googleapis.com/acdb/photos/BromideNpcNmlCow06_Remake_0_0.png")</f>
        <v/>
      </c>
      <c r="C2026" s="21" t="s">
        <v>219</v>
      </c>
      <c r="D2026" s="21" t="s">
        <v>51</v>
      </c>
      <c r="E2026" s="21">
        <v>10.0</v>
      </c>
      <c r="F2026" s="21" t="s">
        <v>2289</v>
      </c>
      <c r="G2026" s="19"/>
      <c r="H2026" s="19"/>
      <c r="I2026" s="19"/>
    </row>
    <row r="2027" ht="56.25" customHeight="1">
      <c r="A2027" s="21" t="s">
        <v>4822</v>
      </c>
      <c r="B2027" s="19" t="str">
        <f>image("https://storage.googleapis.com/acdb/photos/BromideNpcNmlCow06_Remake_1_0.png")</f>
        <v/>
      </c>
      <c r="C2027" s="21" t="s">
        <v>795</v>
      </c>
      <c r="D2027" s="21" t="s">
        <v>51</v>
      </c>
      <c r="E2027" s="21">
        <v>10.0</v>
      </c>
      <c r="F2027" s="21" t="s">
        <v>2289</v>
      </c>
      <c r="G2027" s="19"/>
      <c r="H2027" s="19"/>
      <c r="I2027" s="19"/>
    </row>
    <row r="2028" ht="56.25" customHeight="1">
      <c r="A2028" s="21" t="s">
        <v>4822</v>
      </c>
      <c r="B2028" s="19" t="str">
        <f>image("https://storage.googleapis.com/acdb/photos/BromideNpcNmlCow06_Remake_2_0.png")</f>
        <v/>
      </c>
      <c r="C2028" s="21" t="s">
        <v>954</v>
      </c>
      <c r="D2028" s="21" t="s">
        <v>51</v>
      </c>
      <c r="E2028" s="21">
        <v>10.0</v>
      </c>
      <c r="F2028" s="21" t="s">
        <v>2289</v>
      </c>
      <c r="G2028" s="19"/>
      <c r="H2028" s="19"/>
      <c r="I2028" s="19"/>
    </row>
    <row r="2029" ht="56.25" customHeight="1">
      <c r="A2029" s="21" t="s">
        <v>4822</v>
      </c>
      <c r="B2029" s="19" t="str">
        <f>image("https://storage.googleapis.com/acdb/photos/BromideNpcNmlCow06_Remake_3_0.png")</f>
        <v/>
      </c>
      <c r="C2029" s="21" t="s">
        <v>82</v>
      </c>
      <c r="D2029" s="21" t="s">
        <v>51</v>
      </c>
      <c r="E2029" s="21">
        <v>10.0</v>
      </c>
      <c r="F2029" s="21" t="s">
        <v>2289</v>
      </c>
      <c r="G2029" s="19"/>
      <c r="H2029" s="19"/>
      <c r="I2029" s="19"/>
    </row>
    <row r="2030" ht="56.25" customHeight="1">
      <c r="A2030" s="21" t="s">
        <v>4822</v>
      </c>
      <c r="B2030" s="19" t="str">
        <f>image("https://storage.googleapis.com/acdb/photos/BromideNpcNmlCow06_Remake_4_0.png")</f>
        <v/>
      </c>
      <c r="C2030" s="21" t="s">
        <v>833</v>
      </c>
      <c r="D2030" s="21" t="s">
        <v>51</v>
      </c>
      <c r="E2030" s="21">
        <v>10.0</v>
      </c>
      <c r="F2030" s="21" t="s">
        <v>2289</v>
      </c>
      <c r="G2030" s="19"/>
      <c r="H2030" s="19"/>
      <c r="I2030" s="19"/>
    </row>
    <row r="2031" ht="56.25" customHeight="1">
      <c r="A2031" s="21" t="s">
        <v>4822</v>
      </c>
      <c r="B2031" s="19" t="str">
        <f>image("https://storage.googleapis.com/acdb/photos/BromideNpcNmlCow06_Remake_5_0.png")</f>
        <v/>
      </c>
      <c r="C2031" s="21" t="s">
        <v>258</v>
      </c>
      <c r="D2031" s="21" t="s">
        <v>51</v>
      </c>
      <c r="E2031" s="21">
        <v>10.0</v>
      </c>
      <c r="F2031" s="21" t="s">
        <v>2289</v>
      </c>
      <c r="G2031" s="19"/>
      <c r="H2031" s="19"/>
      <c r="I2031" s="19"/>
    </row>
    <row r="2032" ht="56.25" customHeight="1">
      <c r="A2032" s="21" t="s">
        <v>4822</v>
      </c>
      <c r="B2032" s="19" t="str">
        <f>image("https://storage.googleapis.com/acdb/photos/BromideNpcNmlCow06_Remake_6_0.png")</f>
        <v/>
      </c>
      <c r="C2032" s="21" t="s">
        <v>182</v>
      </c>
      <c r="D2032" s="21" t="s">
        <v>51</v>
      </c>
      <c r="E2032" s="21">
        <v>10.0</v>
      </c>
      <c r="F2032" s="21" t="s">
        <v>2289</v>
      </c>
      <c r="G2032" s="19"/>
      <c r="H2032" s="19"/>
      <c r="I2032" s="19"/>
    </row>
    <row r="2033" ht="56.25" customHeight="1">
      <c r="A2033" s="21" t="s">
        <v>4822</v>
      </c>
      <c r="B2033" s="19" t="str">
        <f>image("https://storage.googleapis.com/acdb/photos/BromideNpcNmlCow06_Remake_7_0.png")</f>
        <v/>
      </c>
      <c r="C2033" s="21" t="s">
        <v>187</v>
      </c>
      <c r="D2033" s="21" t="s">
        <v>51</v>
      </c>
      <c r="E2033" s="21">
        <v>10.0</v>
      </c>
      <c r="F2033" s="21" t="s">
        <v>2289</v>
      </c>
      <c r="G2033" s="19"/>
      <c r="H2033" s="19"/>
      <c r="I2033" s="19"/>
    </row>
    <row r="2034" ht="56.25" customHeight="1">
      <c r="A2034" s="21" t="s">
        <v>4844</v>
      </c>
      <c r="B2034" s="19" t="str">
        <f>image("https://storage.googleapis.com/acdb/photos/BromideNpcNmlRbt15_Remake_0_0.png")</f>
        <v/>
      </c>
      <c r="C2034" s="21" t="s">
        <v>219</v>
      </c>
      <c r="D2034" s="21" t="s">
        <v>51</v>
      </c>
      <c r="E2034" s="21">
        <v>10.0</v>
      </c>
      <c r="F2034" s="21" t="s">
        <v>2289</v>
      </c>
      <c r="G2034" s="19"/>
      <c r="H2034" s="19"/>
      <c r="I2034" s="19"/>
    </row>
    <row r="2035" ht="56.25" customHeight="1">
      <c r="A2035" s="21" t="s">
        <v>4844</v>
      </c>
      <c r="B2035" s="19" t="str">
        <f>image("https://storage.googleapis.com/acdb/photos/BromideNpcNmlRbt15_Remake_1_0.png")</f>
        <v/>
      </c>
      <c r="C2035" s="21" t="s">
        <v>795</v>
      </c>
      <c r="D2035" s="21" t="s">
        <v>51</v>
      </c>
      <c r="E2035" s="21">
        <v>10.0</v>
      </c>
      <c r="F2035" s="21" t="s">
        <v>2289</v>
      </c>
      <c r="G2035" s="19"/>
      <c r="H2035" s="19"/>
      <c r="I2035" s="19"/>
    </row>
    <row r="2036" ht="56.25" customHeight="1">
      <c r="A2036" s="21" t="s">
        <v>4844</v>
      </c>
      <c r="B2036" s="19" t="str">
        <f>image("https://storage.googleapis.com/acdb/photos/BromideNpcNmlRbt15_Remake_2_0.png")</f>
        <v/>
      </c>
      <c r="C2036" s="21" t="s">
        <v>954</v>
      </c>
      <c r="D2036" s="21" t="s">
        <v>51</v>
      </c>
      <c r="E2036" s="21">
        <v>10.0</v>
      </c>
      <c r="F2036" s="21" t="s">
        <v>2289</v>
      </c>
      <c r="G2036" s="19"/>
      <c r="H2036" s="19"/>
      <c r="I2036" s="19"/>
    </row>
    <row r="2037" ht="56.25" customHeight="1">
      <c r="A2037" s="21" t="s">
        <v>4844</v>
      </c>
      <c r="B2037" s="19" t="str">
        <f>image("https://storage.googleapis.com/acdb/photos/BromideNpcNmlRbt15_Remake_3_0.png")</f>
        <v/>
      </c>
      <c r="C2037" s="21" t="s">
        <v>82</v>
      </c>
      <c r="D2037" s="21" t="s">
        <v>51</v>
      </c>
      <c r="E2037" s="21">
        <v>10.0</v>
      </c>
      <c r="F2037" s="21" t="s">
        <v>2289</v>
      </c>
      <c r="G2037" s="19"/>
      <c r="H2037" s="19"/>
      <c r="I2037" s="19"/>
    </row>
    <row r="2038" ht="56.25" customHeight="1">
      <c r="A2038" s="21" t="s">
        <v>4844</v>
      </c>
      <c r="B2038" s="19" t="str">
        <f>image("https://storage.googleapis.com/acdb/photos/BromideNpcNmlRbt15_Remake_4_0.png")</f>
        <v/>
      </c>
      <c r="C2038" s="21" t="s">
        <v>833</v>
      </c>
      <c r="D2038" s="21" t="s">
        <v>51</v>
      </c>
      <c r="E2038" s="21">
        <v>10.0</v>
      </c>
      <c r="F2038" s="21" t="s">
        <v>2289</v>
      </c>
      <c r="G2038" s="19"/>
      <c r="H2038" s="19"/>
      <c r="I2038" s="19"/>
    </row>
    <row r="2039" ht="56.25" customHeight="1">
      <c r="A2039" s="21" t="s">
        <v>4844</v>
      </c>
      <c r="B2039" s="19" t="str">
        <f>image("https://storage.googleapis.com/acdb/photos/BromideNpcNmlRbt15_Remake_5_0.png")</f>
        <v/>
      </c>
      <c r="C2039" s="21" t="s">
        <v>258</v>
      </c>
      <c r="D2039" s="21" t="s">
        <v>51</v>
      </c>
      <c r="E2039" s="21">
        <v>10.0</v>
      </c>
      <c r="F2039" s="21" t="s">
        <v>2289</v>
      </c>
      <c r="G2039" s="19"/>
      <c r="H2039" s="19"/>
      <c r="I2039" s="19"/>
    </row>
    <row r="2040" ht="56.25" customHeight="1">
      <c r="A2040" s="21" t="s">
        <v>4844</v>
      </c>
      <c r="B2040" s="19" t="str">
        <f>image("https://storage.googleapis.com/acdb/photos/BromideNpcNmlRbt15_Remake_6_0.png")</f>
        <v/>
      </c>
      <c r="C2040" s="21" t="s">
        <v>182</v>
      </c>
      <c r="D2040" s="21" t="s">
        <v>51</v>
      </c>
      <c r="E2040" s="21">
        <v>10.0</v>
      </c>
      <c r="F2040" s="21" t="s">
        <v>2289</v>
      </c>
      <c r="G2040" s="19"/>
      <c r="H2040" s="19"/>
      <c r="I2040" s="19"/>
    </row>
    <row r="2041" ht="56.25" customHeight="1">
      <c r="A2041" s="21" t="s">
        <v>4844</v>
      </c>
      <c r="B2041" s="19" t="str">
        <f>image("https://storage.googleapis.com/acdb/photos/BromideNpcNmlRbt15_Remake_7_0.png")</f>
        <v/>
      </c>
      <c r="C2041" s="21" t="s">
        <v>187</v>
      </c>
      <c r="D2041" s="21" t="s">
        <v>51</v>
      </c>
      <c r="E2041" s="21">
        <v>10.0</v>
      </c>
      <c r="F2041" s="21" t="s">
        <v>2289</v>
      </c>
      <c r="G2041" s="19"/>
      <c r="H2041" s="19"/>
      <c r="I2041" s="19"/>
    </row>
    <row r="2042" ht="56.25" customHeight="1">
      <c r="A2042" s="21" t="s">
        <v>4859</v>
      </c>
      <c r="B2042" s="19" t="str">
        <f>image("https://storage.googleapis.com/acdb/photos/BromideNpcNmlOcp00_Remake_0_0.png")</f>
        <v/>
      </c>
      <c r="C2042" s="21" t="s">
        <v>219</v>
      </c>
      <c r="D2042" s="21" t="s">
        <v>51</v>
      </c>
      <c r="E2042" s="21">
        <v>10.0</v>
      </c>
      <c r="F2042" s="21" t="s">
        <v>2289</v>
      </c>
      <c r="G2042" s="19"/>
      <c r="H2042" s="19"/>
      <c r="I2042" s="19"/>
    </row>
    <row r="2043" ht="56.25" customHeight="1">
      <c r="A2043" s="21" t="s">
        <v>4859</v>
      </c>
      <c r="B2043" s="19" t="str">
        <f>image("https://storage.googleapis.com/acdb/photos/BromideNpcNmlOcp00_Remake_1_0.png")</f>
        <v/>
      </c>
      <c r="C2043" s="21" t="s">
        <v>795</v>
      </c>
      <c r="D2043" s="21" t="s">
        <v>51</v>
      </c>
      <c r="E2043" s="21">
        <v>10.0</v>
      </c>
      <c r="F2043" s="21" t="s">
        <v>2289</v>
      </c>
      <c r="G2043" s="19"/>
      <c r="H2043" s="19"/>
      <c r="I2043" s="19"/>
    </row>
    <row r="2044" ht="56.25" customHeight="1">
      <c r="A2044" s="21" t="s">
        <v>4859</v>
      </c>
      <c r="B2044" s="19" t="str">
        <f>image("https://storage.googleapis.com/acdb/photos/BromideNpcNmlOcp00_Remake_2_0.png")</f>
        <v/>
      </c>
      <c r="C2044" s="21" t="s">
        <v>954</v>
      </c>
      <c r="D2044" s="21" t="s">
        <v>51</v>
      </c>
      <c r="E2044" s="21">
        <v>10.0</v>
      </c>
      <c r="F2044" s="21" t="s">
        <v>2289</v>
      </c>
      <c r="G2044" s="19"/>
      <c r="H2044" s="19"/>
      <c r="I2044" s="19"/>
    </row>
    <row r="2045" ht="56.25" customHeight="1">
      <c r="A2045" s="21" t="s">
        <v>4859</v>
      </c>
      <c r="B2045" s="19" t="str">
        <f>image("https://storage.googleapis.com/acdb/photos/BromideNpcNmlOcp00_Remake_3_0.png")</f>
        <v/>
      </c>
      <c r="C2045" s="21" t="s">
        <v>82</v>
      </c>
      <c r="D2045" s="21" t="s">
        <v>51</v>
      </c>
      <c r="E2045" s="21">
        <v>10.0</v>
      </c>
      <c r="F2045" s="21" t="s">
        <v>2289</v>
      </c>
      <c r="G2045" s="19"/>
      <c r="H2045" s="19"/>
      <c r="I2045" s="19"/>
    </row>
    <row r="2046" ht="56.25" customHeight="1">
      <c r="A2046" s="21" t="s">
        <v>4859</v>
      </c>
      <c r="B2046" s="19" t="str">
        <f>image("https://storage.googleapis.com/acdb/photos/BromideNpcNmlOcp00_Remake_4_0.png")</f>
        <v/>
      </c>
      <c r="C2046" s="21" t="s">
        <v>833</v>
      </c>
      <c r="D2046" s="21" t="s">
        <v>51</v>
      </c>
      <c r="E2046" s="21">
        <v>10.0</v>
      </c>
      <c r="F2046" s="21" t="s">
        <v>2289</v>
      </c>
      <c r="G2046" s="19"/>
      <c r="H2046" s="19"/>
      <c r="I2046" s="19"/>
    </row>
    <row r="2047" ht="56.25" customHeight="1">
      <c r="A2047" s="21" t="s">
        <v>4859</v>
      </c>
      <c r="B2047" s="19" t="str">
        <f>image("https://storage.googleapis.com/acdb/photos/BromideNpcNmlOcp00_Remake_5_0.png")</f>
        <v/>
      </c>
      <c r="C2047" s="21" t="s">
        <v>258</v>
      </c>
      <c r="D2047" s="21" t="s">
        <v>51</v>
      </c>
      <c r="E2047" s="21">
        <v>10.0</v>
      </c>
      <c r="F2047" s="21" t="s">
        <v>2289</v>
      </c>
      <c r="G2047" s="19"/>
      <c r="H2047" s="19"/>
      <c r="I2047" s="19"/>
    </row>
    <row r="2048" ht="56.25" customHeight="1">
      <c r="A2048" s="21" t="s">
        <v>4859</v>
      </c>
      <c r="B2048" s="19" t="str">
        <f>image("https://storage.googleapis.com/acdb/photos/BromideNpcNmlOcp00_Remake_6_0.png")</f>
        <v/>
      </c>
      <c r="C2048" s="21" t="s">
        <v>182</v>
      </c>
      <c r="D2048" s="21" t="s">
        <v>51</v>
      </c>
      <c r="E2048" s="21">
        <v>10.0</v>
      </c>
      <c r="F2048" s="21" t="s">
        <v>2289</v>
      </c>
      <c r="G2048" s="19"/>
      <c r="H2048" s="19"/>
      <c r="I2048" s="19"/>
    </row>
    <row r="2049" ht="56.25" customHeight="1">
      <c r="A2049" s="21" t="s">
        <v>4859</v>
      </c>
      <c r="B2049" s="19" t="str">
        <f>image("https://storage.googleapis.com/acdb/photos/BromideNpcNmlOcp00_Remake_7_0.png")</f>
        <v/>
      </c>
      <c r="C2049" s="21" t="s">
        <v>187</v>
      </c>
      <c r="D2049" s="21" t="s">
        <v>51</v>
      </c>
      <c r="E2049" s="21">
        <v>10.0</v>
      </c>
      <c r="F2049" s="21" t="s">
        <v>2289</v>
      </c>
      <c r="G2049" s="19"/>
      <c r="H2049" s="19"/>
      <c r="I2049" s="19"/>
    </row>
    <row r="2050" ht="56.25" customHeight="1">
      <c r="A2050" s="21" t="s">
        <v>4879</v>
      </c>
      <c r="B2050" s="19" t="str">
        <f>image("https://storage.googleapis.com/acdb/photos/BromideNpcNmlAnt09_Remake_0_0.png")</f>
        <v/>
      </c>
      <c r="C2050" s="21" t="s">
        <v>219</v>
      </c>
      <c r="D2050" s="21" t="s">
        <v>51</v>
      </c>
      <c r="E2050" s="21">
        <v>10.0</v>
      </c>
      <c r="F2050" s="21" t="s">
        <v>2289</v>
      </c>
      <c r="G2050" s="19"/>
      <c r="H2050" s="19"/>
      <c r="I2050" s="19"/>
    </row>
    <row r="2051" ht="56.25" customHeight="1">
      <c r="A2051" s="21" t="s">
        <v>4879</v>
      </c>
      <c r="B2051" s="19" t="str">
        <f>image("https://storage.googleapis.com/acdb/photos/BromideNpcNmlAnt09_Remake_1_0.png")</f>
        <v/>
      </c>
      <c r="C2051" s="21" t="s">
        <v>795</v>
      </c>
      <c r="D2051" s="21" t="s">
        <v>51</v>
      </c>
      <c r="E2051" s="21">
        <v>10.0</v>
      </c>
      <c r="F2051" s="21" t="s">
        <v>2289</v>
      </c>
      <c r="G2051" s="19"/>
      <c r="H2051" s="19"/>
      <c r="I2051" s="19"/>
    </row>
    <row r="2052" ht="56.25" customHeight="1">
      <c r="A2052" s="21" t="s">
        <v>4879</v>
      </c>
      <c r="B2052" s="19" t="str">
        <f>image("https://storage.googleapis.com/acdb/photos/BromideNpcNmlAnt09_Remake_2_0.png")</f>
        <v/>
      </c>
      <c r="C2052" s="21" t="s">
        <v>954</v>
      </c>
      <c r="D2052" s="21" t="s">
        <v>51</v>
      </c>
      <c r="E2052" s="21">
        <v>10.0</v>
      </c>
      <c r="F2052" s="21" t="s">
        <v>2289</v>
      </c>
      <c r="G2052" s="19"/>
      <c r="H2052" s="19"/>
      <c r="I2052" s="19"/>
    </row>
    <row r="2053" ht="56.25" customHeight="1">
      <c r="A2053" s="21" t="s">
        <v>4879</v>
      </c>
      <c r="B2053" s="19" t="str">
        <f>image("https://storage.googleapis.com/acdb/photos/BromideNpcNmlAnt09_Remake_3_0.png")</f>
        <v/>
      </c>
      <c r="C2053" s="21" t="s">
        <v>82</v>
      </c>
      <c r="D2053" s="21" t="s">
        <v>51</v>
      </c>
      <c r="E2053" s="21">
        <v>10.0</v>
      </c>
      <c r="F2053" s="21" t="s">
        <v>2289</v>
      </c>
      <c r="G2053" s="19"/>
      <c r="H2053" s="19"/>
      <c r="I2053" s="19"/>
    </row>
    <row r="2054" ht="56.25" customHeight="1">
      <c r="A2054" s="21" t="s">
        <v>4879</v>
      </c>
      <c r="B2054" s="19" t="str">
        <f>image("https://storage.googleapis.com/acdb/photos/BromideNpcNmlAnt09_Remake_4_0.png")</f>
        <v/>
      </c>
      <c r="C2054" s="21" t="s">
        <v>833</v>
      </c>
      <c r="D2054" s="21" t="s">
        <v>51</v>
      </c>
      <c r="E2054" s="21">
        <v>10.0</v>
      </c>
      <c r="F2054" s="21" t="s">
        <v>2289</v>
      </c>
      <c r="G2054" s="19"/>
      <c r="H2054" s="19"/>
      <c r="I2054" s="19"/>
    </row>
    <row r="2055" ht="56.25" customHeight="1">
      <c r="A2055" s="21" t="s">
        <v>4879</v>
      </c>
      <c r="B2055" s="19" t="str">
        <f>image("https://storage.googleapis.com/acdb/photos/BromideNpcNmlAnt09_Remake_5_0.png")</f>
        <v/>
      </c>
      <c r="C2055" s="21" t="s">
        <v>258</v>
      </c>
      <c r="D2055" s="21" t="s">
        <v>51</v>
      </c>
      <c r="E2055" s="21">
        <v>10.0</v>
      </c>
      <c r="F2055" s="21" t="s">
        <v>2289</v>
      </c>
      <c r="G2055" s="19"/>
      <c r="H2055" s="19"/>
      <c r="I2055" s="19"/>
    </row>
    <row r="2056" ht="56.25" customHeight="1">
      <c r="A2056" s="21" t="s">
        <v>4879</v>
      </c>
      <c r="B2056" s="19" t="str">
        <f>image("https://storage.googleapis.com/acdb/photos/BromideNpcNmlAnt09_Remake_6_0.png")</f>
        <v/>
      </c>
      <c r="C2056" s="21" t="s">
        <v>182</v>
      </c>
      <c r="D2056" s="21" t="s">
        <v>51</v>
      </c>
      <c r="E2056" s="21">
        <v>10.0</v>
      </c>
      <c r="F2056" s="21" t="s">
        <v>2289</v>
      </c>
      <c r="G2056" s="19"/>
      <c r="H2056" s="19"/>
      <c r="I2056" s="19"/>
    </row>
    <row r="2057" ht="56.25" customHeight="1">
      <c r="A2057" s="21" t="s">
        <v>4879</v>
      </c>
      <c r="B2057" s="19" t="str">
        <f>image("https://storage.googleapis.com/acdb/photos/BromideNpcNmlAnt09_Remake_7_0.png")</f>
        <v/>
      </c>
      <c r="C2057" s="21" t="s">
        <v>187</v>
      </c>
      <c r="D2057" s="21" t="s">
        <v>51</v>
      </c>
      <c r="E2057" s="21">
        <v>10.0</v>
      </c>
      <c r="F2057" s="21" t="s">
        <v>2289</v>
      </c>
      <c r="G2057" s="19"/>
      <c r="H2057" s="19"/>
      <c r="I2057" s="19"/>
    </row>
    <row r="2058" ht="56.25" customHeight="1">
      <c r="A2058" s="21" t="s">
        <v>4889</v>
      </c>
      <c r="B2058" s="19" t="str">
        <f>image("https://storage.googleapis.com/acdb/photos/BromideNpcNmlCbr09_Remake_0_0.png")</f>
        <v/>
      </c>
      <c r="C2058" s="21" t="s">
        <v>219</v>
      </c>
      <c r="D2058" s="21" t="s">
        <v>51</v>
      </c>
      <c r="E2058" s="21">
        <v>10.0</v>
      </c>
      <c r="F2058" s="21" t="s">
        <v>2289</v>
      </c>
      <c r="G2058" s="19"/>
      <c r="H2058" s="19"/>
      <c r="I2058" s="19"/>
    </row>
    <row r="2059" ht="56.25" customHeight="1">
      <c r="A2059" s="21" t="s">
        <v>4889</v>
      </c>
      <c r="B2059" s="19" t="str">
        <f>image("https://storage.googleapis.com/acdb/photos/BromideNpcNmlCbr09_Remake_1_0.png")</f>
        <v/>
      </c>
      <c r="C2059" s="21" t="s">
        <v>795</v>
      </c>
      <c r="D2059" s="21" t="s">
        <v>51</v>
      </c>
      <c r="E2059" s="21">
        <v>10.0</v>
      </c>
      <c r="F2059" s="21" t="s">
        <v>2289</v>
      </c>
      <c r="G2059" s="19"/>
      <c r="H2059" s="19"/>
      <c r="I2059" s="19"/>
    </row>
    <row r="2060" ht="56.25" customHeight="1">
      <c r="A2060" s="21" t="s">
        <v>4889</v>
      </c>
      <c r="B2060" s="19" t="str">
        <f>image("https://storage.googleapis.com/acdb/photos/BromideNpcNmlCbr09_Remake_2_0.png")</f>
        <v/>
      </c>
      <c r="C2060" s="21" t="s">
        <v>954</v>
      </c>
      <c r="D2060" s="21" t="s">
        <v>51</v>
      </c>
      <c r="E2060" s="21">
        <v>10.0</v>
      </c>
      <c r="F2060" s="21" t="s">
        <v>2289</v>
      </c>
      <c r="G2060" s="19"/>
      <c r="H2060" s="19"/>
      <c r="I2060" s="19"/>
    </row>
    <row r="2061" ht="56.25" customHeight="1">
      <c r="A2061" s="21" t="s">
        <v>4889</v>
      </c>
      <c r="B2061" s="19" t="str">
        <f>image("https://storage.googleapis.com/acdb/photos/BromideNpcNmlCbr09_Remake_3_0.png")</f>
        <v/>
      </c>
      <c r="C2061" s="21" t="s">
        <v>82</v>
      </c>
      <c r="D2061" s="21" t="s">
        <v>51</v>
      </c>
      <c r="E2061" s="21">
        <v>10.0</v>
      </c>
      <c r="F2061" s="21" t="s">
        <v>2289</v>
      </c>
      <c r="G2061" s="19"/>
      <c r="H2061" s="19"/>
      <c r="I2061" s="19"/>
    </row>
    <row r="2062" ht="56.25" customHeight="1">
      <c r="A2062" s="21" t="s">
        <v>4889</v>
      </c>
      <c r="B2062" s="19" t="str">
        <f>image("https://storage.googleapis.com/acdb/photos/BromideNpcNmlCbr09_Remake_4_0.png")</f>
        <v/>
      </c>
      <c r="C2062" s="21" t="s">
        <v>833</v>
      </c>
      <c r="D2062" s="21" t="s">
        <v>51</v>
      </c>
      <c r="E2062" s="21">
        <v>10.0</v>
      </c>
      <c r="F2062" s="21" t="s">
        <v>2289</v>
      </c>
      <c r="G2062" s="19"/>
      <c r="H2062" s="19"/>
      <c r="I2062" s="19"/>
    </row>
    <row r="2063" ht="56.25" customHeight="1">
      <c r="A2063" s="21" t="s">
        <v>4889</v>
      </c>
      <c r="B2063" s="19" t="str">
        <f>image("https://storage.googleapis.com/acdb/photos/BromideNpcNmlCbr09_Remake_5_0.png")</f>
        <v/>
      </c>
      <c r="C2063" s="21" t="s">
        <v>258</v>
      </c>
      <c r="D2063" s="21" t="s">
        <v>51</v>
      </c>
      <c r="E2063" s="21">
        <v>10.0</v>
      </c>
      <c r="F2063" s="21" t="s">
        <v>2289</v>
      </c>
      <c r="G2063" s="19"/>
      <c r="H2063" s="19"/>
      <c r="I2063" s="19"/>
    </row>
    <row r="2064" ht="56.25" customHeight="1">
      <c r="A2064" s="21" t="s">
        <v>4889</v>
      </c>
      <c r="B2064" s="19" t="str">
        <f>image("https://storage.googleapis.com/acdb/photos/BromideNpcNmlCbr09_Remake_6_0.png")</f>
        <v/>
      </c>
      <c r="C2064" s="21" t="s">
        <v>182</v>
      </c>
      <c r="D2064" s="21" t="s">
        <v>51</v>
      </c>
      <c r="E2064" s="21">
        <v>10.0</v>
      </c>
      <c r="F2064" s="21" t="s">
        <v>2289</v>
      </c>
      <c r="G2064" s="19"/>
      <c r="H2064" s="19"/>
      <c r="I2064" s="19"/>
    </row>
    <row r="2065" ht="56.25" customHeight="1">
      <c r="A2065" s="21" t="s">
        <v>4889</v>
      </c>
      <c r="B2065" s="19" t="str">
        <f>image("https://storage.googleapis.com/acdb/photos/BromideNpcNmlCbr09_Remake_7_0.png")</f>
        <v/>
      </c>
      <c r="C2065" s="21" t="s">
        <v>187</v>
      </c>
      <c r="D2065" s="21" t="s">
        <v>51</v>
      </c>
      <c r="E2065" s="21">
        <v>10.0</v>
      </c>
      <c r="F2065" s="21" t="s">
        <v>2289</v>
      </c>
      <c r="G2065" s="19"/>
      <c r="H2065" s="19"/>
      <c r="I2065" s="19"/>
    </row>
    <row r="2066" ht="56.25" customHeight="1">
      <c r="A2066" s="21" t="s">
        <v>4908</v>
      </c>
      <c r="B2066" s="19" t="str">
        <f>image("https://storage.googleapis.com/acdb/photos/BromideNpcNmlCat03_Remake_0_0.png")</f>
        <v/>
      </c>
      <c r="C2066" s="21" t="s">
        <v>219</v>
      </c>
      <c r="D2066" s="21" t="s">
        <v>51</v>
      </c>
      <c r="E2066" s="21">
        <v>10.0</v>
      </c>
      <c r="F2066" s="21" t="s">
        <v>2289</v>
      </c>
      <c r="G2066" s="19"/>
      <c r="H2066" s="19"/>
      <c r="I2066" s="19"/>
    </row>
    <row r="2067" ht="56.25" customHeight="1">
      <c r="A2067" s="21" t="s">
        <v>4908</v>
      </c>
      <c r="B2067" s="19" t="str">
        <f>image("https://storage.googleapis.com/acdb/photos/BromideNpcNmlCat03_Remake_1_0.png")</f>
        <v/>
      </c>
      <c r="C2067" s="21" t="s">
        <v>795</v>
      </c>
      <c r="D2067" s="21" t="s">
        <v>51</v>
      </c>
      <c r="E2067" s="21">
        <v>10.0</v>
      </c>
      <c r="F2067" s="21" t="s">
        <v>2289</v>
      </c>
      <c r="G2067" s="19"/>
      <c r="H2067" s="19"/>
      <c r="I2067" s="19"/>
    </row>
    <row r="2068" ht="56.25" customHeight="1">
      <c r="A2068" s="21" t="s">
        <v>4908</v>
      </c>
      <c r="B2068" s="19" t="str">
        <f>image("https://storage.googleapis.com/acdb/photos/BromideNpcNmlCat03_Remake_2_0.png")</f>
        <v/>
      </c>
      <c r="C2068" s="21" t="s">
        <v>954</v>
      </c>
      <c r="D2068" s="21" t="s">
        <v>51</v>
      </c>
      <c r="E2068" s="21">
        <v>10.0</v>
      </c>
      <c r="F2068" s="21" t="s">
        <v>2289</v>
      </c>
      <c r="G2068" s="19"/>
      <c r="H2068" s="19"/>
      <c r="I2068" s="19"/>
    </row>
    <row r="2069" ht="56.25" customHeight="1">
      <c r="A2069" s="21" t="s">
        <v>4908</v>
      </c>
      <c r="B2069" s="19" t="str">
        <f>image("https://storage.googleapis.com/acdb/photos/BromideNpcNmlCat03_Remake_3_0.png")</f>
        <v/>
      </c>
      <c r="C2069" s="21" t="s">
        <v>82</v>
      </c>
      <c r="D2069" s="21" t="s">
        <v>51</v>
      </c>
      <c r="E2069" s="21">
        <v>10.0</v>
      </c>
      <c r="F2069" s="21" t="s">
        <v>2289</v>
      </c>
      <c r="G2069" s="19"/>
      <c r="H2069" s="19"/>
      <c r="I2069" s="19"/>
    </row>
    <row r="2070" ht="56.25" customHeight="1">
      <c r="A2070" s="21" t="s">
        <v>4908</v>
      </c>
      <c r="B2070" s="19" t="str">
        <f>image("https://storage.googleapis.com/acdb/photos/BromideNpcNmlCat03_Remake_4_0.png")</f>
        <v/>
      </c>
      <c r="C2070" s="21" t="s">
        <v>833</v>
      </c>
      <c r="D2070" s="21" t="s">
        <v>51</v>
      </c>
      <c r="E2070" s="21">
        <v>10.0</v>
      </c>
      <c r="F2070" s="21" t="s">
        <v>2289</v>
      </c>
      <c r="G2070" s="19"/>
      <c r="H2070" s="19"/>
      <c r="I2070" s="19"/>
    </row>
    <row r="2071" ht="56.25" customHeight="1">
      <c r="A2071" s="21" t="s">
        <v>4908</v>
      </c>
      <c r="B2071" s="19" t="str">
        <f>image("https://storage.googleapis.com/acdb/photos/BromideNpcNmlCat03_Remake_5_0.png")</f>
        <v/>
      </c>
      <c r="C2071" s="21" t="s">
        <v>258</v>
      </c>
      <c r="D2071" s="21" t="s">
        <v>51</v>
      </c>
      <c r="E2071" s="21">
        <v>10.0</v>
      </c>
      <c r="F2071" s="21" t="s">
        <v>2289</v>
      </c>
      <c r="G2071" s="19"/>
      <c r="H2071" s="19"/>
      <c r="I2071" s="19"/>
    </row>
    <row r="2072" ht="56.25" customHeight="1">
      <c r="A2072" s="21" t="s">
        <v>4908</v>
      </c>
      <c r="B2072" s="19" t="str">
        <f>image("https://storage.googleapis.com/acdb/photos/BromideNpcNmlCat03_Remake_6_0.png")</f>
        <v/>
      </c>
      <c r="C2072" s="21" t="s">
        <v>182</v>
      </c>
      <c r="D2072" s="21" t="s">
        <v>51</v>
      </c>
      <c r="E2072" s="21">
        <v>10.0</v>
      </c>
      <c r="F2072" s="21" t="s">
        <v>2289</v>
      </c>
      <c r="G2072" s="19"/>
      <c r="H2072" s="19"/>
      <c r="I2072" s="19"/>
    </row>
    <row r="2073" ht="56.25" customHeight="1">
      <c r="A2073" s="21" t="s">
        <v>4908</v>
      </c>
      <c r="B2073" s="19" t="str">
        <f>image("https://storage.googleapis.com/acdb/photos/BromideNpcNmlCat03_Remake_7_0.png")</f>
        <v/>
      </c>
      <c r="C2073" s="21" t="s">
        <v>187</v>
      </c>
      <c r="D2073" s="21" t="s">
        <v>51</v>
      </c>
      <c r="E2073" s="21">
        <v>10.0</v>
      </c>
      <c r="F2073" s="21" t="s">
        <v>2289</v>
      </c>
      <c r="G2073" s="19"/>
      <c r="H2073" s="19"/>
      <c r="I2073" s="19"/>
    </row>
    <row r="2074" ht="56.25" customHeight="1">
      <c r="A2074" s="21" t="s">
        <v>4921</v>
      </c>
      <c r="B2074" s="19" t="str">
        <f>image("https://storage.googleapis.com/acdb/photos/BromideNpcNmlElp00_Remake_0_0.png")</f>
        <v/>
      </c>
      <c r="C2074" s="21" t="s">
        <v>219</v>
      </c>
      <c r="D2074" s="21" t="s">
        <v>51</v>
      </c>
      <c r="E2074" s="21">
        <v>10.0</v>
      </c>
      <c r="F2074" s="21" t="s">
        <v>2289</v>
      </c>
      <c r="G2074" s="19"/>
      <c r="H2074" s="19"/>
      <c r="I2074" s="19"/>
    </row>
    <row r="2075" ht="56.25" customHeight="1">
      <c r="A2075" s="21" t="s">
        <v>4921</v>
      </c>
      <c r="B2075" s="19" t="str">
        <f>image("https://storage.googleapis.com/acdb/photos/BromideNpcNmlElp00_Remake_1_0.png")</f>
        <v/>
      </c>
      <c r="C2075" s="21" t="s">
        <v>795</v>
      </c>
      <c r="D2075" s="21" t="s">
        <v>51</v>
      </c>
      <c r="E2075" s="21">
        <v>10.0</v>
      </c>
      <c r="F2075" s="21" t="s">
        <v>2289</v>
      </c>
      <c r="G2075" s="19"/>
      <c r="H2075" s="19"/>
      <c r="I2075" s="19"/>
    </row>
    <row r="2076" ht="56.25" customHeight="1">
      <c r="A2076" s="21" t="s">
        <v>4921</v>
      </c>
      <c r="B2076" s="19" t="str">
        <f>image("https://storage.googleapis.com/acdb/photos/BromideNpcNmlElp00_Remake_2_0.png")</f>
        <v/>
      </c>
      <c r="C2076" s="21" t="s">
        <v>954</v>
      </c>
      <c r="D2076" s="21" t="s">
        <v>51</v>
      </c>
      <c r="E2076" s="21">
        <v>10.0</v>
      </c>
      <c r="F2076" s="21" t="s">
        <v>2289</v>
      </c>
      <c r="G2076" s="19"/>
      <c r="H2076" s="19"/>
      <c r="I2076" s="19"/>
    </row>
    <row r="2077" ht="56.25" customHeight="1">
      <c r="A2077" s="21" t="s">
        <v>4921</v>
      </c>
      <c r="B2077" s="19" t="str">
        <f>image("https://storage.googleapis.com/acdb/photos/BromideNpcNmlElp00_Remake_3_0.png")</f>
        <v/>
      </c>
      <c r="C2077" s="21" t="s">
        <v>82</v>
      </c>
      <c r="D2077" s="21" t="s">
        <v>51</v>
      </c>
      <c r="E2077" s="21">
        <v>10.0</v>
      </c>
      <c r="F2077" s="21" t="s">
        <v>2289</v>
      </c>
      <c r="G2077" s="19"/>
      <c r="H2077" s="19"/>
      <c r="I2077" s="19"/>
    </row>
    <row r="2078" ht="56.25" customHeight="1">
      <c r="A2078" s="21" t="s">
        <v>4921</v>
      </c>
      <c r="B2078" s="19" t="str">
        <f>image("https://storage.googleapis.com/acdb/photos/BromideNpcNmlElp00_Remake_4_0.png")</f>
        <v/>
      </c>
      <c r="C2078" s="21" t="s">
        <v>833</v>
      </c>
      <c r="D2078" s="21" t="s">
        <v>51</v>
      </c>
      <c r="E2078" s="21">
        <v>10.0</v>
      </c>
      <c r="F2078" s="21" t="s">
        <v>2289</v>
      </c>
      <c r="G2078" s="19"/>
      <c r="H2078" s="19"/>
      <c r="I2078" s="19"/>
    </row>
    <row r="2079" ht="56.25" customHeight="1">
      <c r="A2079" s="21" t="s">
        <v>4921</v>
      </c>
      <c r="B2079" s="19" t="str">
        <f>image("https://storage.googleapis.com/acdb/photos/BromideNpcNmlElp00_Remake_5_0.png")</f>
        <v/>
      </c>
      <c r="C2079" s="21" t="s">
        <v>258</v>
      </c>
      <c r="D2079" s="21" t="s">
        <v>51</v>
      </c>
      <c r="E2079" s="21">
        <v>10.0</v>
      </c>
      <c r="F2079" s="21" t="s">
        <v>2289</v>
      </c>
      <c r="G2079" s="19"/>
      <c r="H2079" s="19"/>
      <c r="I2079" s="19"/>
    </row>
    <row r="2080" ht="56.25" customHeight="1">
      <c r="A2080" s="21" t="s">
        <v>4921</v>
      </c>
      <c r="B2080" s="19" t="str">
        <f>image("https://storage.googleapis.com/acdb/photos/BromideNpcNmlElp00_Remake_6_0.png")</f>
        <v/>
      </c>
      <c r="C2080" s="21" t="s">
        <v>182</v>
      </c>
      <c r="D2080" s="21" t="s">
        <v>51</v>
      </c>
      <c r="E2080" s="21">
        <v>10.0</v>
      </c>
      <c r="F2080" s="21" t="s">
        <v>2289</v>
      </c>
      <c r="G2080" s="19"/>
      <c r="H2080" s="19"/>
      <c r="I2080" s="19"/>
    </row>
    <row r="2081" ht="56.25" customHeight="1">
      <c r="A2081" s="21" t="s">
        <v>4921</v>
      </c>
      <c r="B2081" s="19" t="str">
        <f>image("https://storage.googleapis.com/acdb/photos/BromideNpcNmlElp00_Remake_7_0.png")</f>
        <v/>
      </c>
      <c r="C2081" s="21" t="s">
        <v>187</v>
      </c>
      <c r="D2081" s="21" t="s">
        <v>51</v>
      </c>
      <c r="E2081" s="21">
        <v>10.0</v>
      </c>
      <c r="F2081" s="21" t="s">
        <v>2289</v>
      </c>
      <c r="G2081" s="19"/>
      <c r="H2081" s="19"/>
      <c r="I2081" s="19"/>
    </row>
    <row r="2082" ht="56.25" customHeight="1">
      <c r="A2082" s="21" t="s">
        <v>4934</v>
      </c>
      <c r="B2082" s="19" t="str">
        <f>image("https://storage.googleapis.com/acdb/photos/BromideNpcNmlKal05_Remake_0_0.png")</f>
        <v/>
      </c>
      <c r="C2082" s="21" t="s">
        <v>219</v>
      </c>
      <c r="D2082" s="21" t="s">
        <v>51</v>
      </c>
      <c r="E2082" s="21">
        <v>10.0</v>
      </c>
      <c r="F2082" s="21" t="s">
        <v>2289</v>
      </c>
      <c r="G2082" s="19"/>
      <c r="H2082" s="19"/>
      <c r="I2082" s="19"/>
    </row>
    <row r="2083" ht="56.25" customHeight="1">
      <c r="A2083" s="21" t="s">
        <v>4934</v>
      </c>
      <c r="B2083" s="19" t="str">
        <f>image("https://storage.googleapis.com/acdb/photos/BromideNpcNmlKal05_Remake_1_0.png")</f>
        <v/>
      </c>
      <c r="C2083" s="21" t="s">
        <v>795</v>
      </c>
      <c r="D2083" s="21" t="s">
        <v>51</v>
      </c>
      <c r="E2083" s="21">
        <v>10.0</v>
      </c>
      <c r="F2083" s="21" t="s">
        <v>2289</v>
      </c>
      <c r="G2083" s="19"/>
      <c r="H2083" s="19"/>
      <c r="I2083" s="19"/>
    </row>
    <row r="2084" ht="56.25" customHeight="1">
      <c r="A2084" s="21" t="s">
        <v>4934</v>
      </c>
      <c r="B2084" s="19" t="str">
        <f>image("https://storage.googleapis.com/acdb/photos/BromideNpcNmlKal05_Remake_2_0.png")</f>
        <v/>
      </c>
      <c r="C2084" s="21" t="s">
        <v>954</v>
      </c>
      <c r="D2084" s="21" t="s">
        <v>51</v>
      </c>
      <c r="E2084" s="21">
        <v>10.0</v>
      </c>
      <c r="F2084" s="21" t="s">
        <v>2289</v>
      </c>
      <c r="G2084" s="19"/>
      <c r="H2084" s="19"/>
      <c r="I2084" s="19"/>
    </row>
    <row r="2085" ht="56.25" customHeight="1">
      <c r="A2085" s="21" t="s">
        <v>4934</v>
      </c>
      <c r="B2085" s="19" t="str">
        <f>image("https://storage.googleapis.com/acdb/photos/BromideNpcNmlKal05_Remake_3_0.png")</f>
        <v/>
      </c>
      <c r="C2085" s="21" t="s">
        <v>82</v>
      </c>
      <c r="D2085" s="21" t="s">
        <v>51</v>
      </c>
      <c r="E2085" s="21">
        <v>10.0</v>
      </c>
      <c r="F2085" s="21" t="s">
        <v>2289</v>
      </c>
      <c r="G2085" s="19"/>
      <c r="H2085" s="19"/>
      <c r="I2085" s="19"/>
    </row>
    <row r="2086" ht="56.25" customHeight="1">
      <c r="A2086" s="21" t="s">
        <v>4934</v>
      </c>
      <c r="B2086" s="19" t="str">
        <f>image("https://storage.googleapis.com/acdb/photos/BromideNpcNmlKal05_Remake_4_0.png")</f>
        <v/>
      </c>
      <c r="C2086" s="21" t="s">
        <v>833</v>
      </c>
      <c r="D2086" s="21" t="s">
        <v>51</v>
      </c>
      <c r="E2086" s="21">
        <v>10.0</v>
      </c>
      <c r="F2086" s="21" t="s">
        <v>2289</v>
      </c>
      <c r="G2086" s="19"/>
      <c r="H2086" s="19"/>
      <c r="I2086" s="19"/>
    </row>
    <row r="2087" ht="56.25" customHeight="1">
      <c r="A2087" s="21" t="s">
        <v>4934</v>
      </c>
      <c r="B2087" s="19" t="str">
        <f>image("https://storage.googleapis.com/acdb/photos/BromideNpcNmlKal05_Remake_5_0.png")</f>
        <v/>
      </c>
      <c r="C2087" s="21" t="s">
        <v>258</v>
      </c>
      <c r="D2087" s="21" t="s">
        <v>51</v>
      </c>
      <c r="E2087" s="21">
        <v>10.0</v>
      </c>
      <c r="F2087" s="21" t="s">
        <v>2289</v>
      </c>
      <c r="G2087" s="19"/>
      <c r="H2087" s="19"/>
      <c r="I2087" s="19"/>
    </row>
    <row r="2088" ht="56.25" customHeight="1">
      <c r="A2088" s="21" t="s">
        <v>4934</v>
      </c>
      <c r="B2088" s="19" t="str">
        <f>image("https://storage.googleapis.com/acdb/photos/BromideNpcNmlKal05_Remake_6_0.png")</f>
        <v/>
      </c>
      <c r="C2088" s="21" t="s">
        <v>182</v>
      </c>
      <c r="D2088" s="21" t="s">
        <v>51</v>
      </c>
      <c r="E2088" s="21">
        <v>10.0</v>
      </c>
      <c r="F2088" s="21" t="s">
        <v>2289</v>
      </c>
      <c r="G2088" s="19"/>
      <c r="H2088" s="19"/>
      <c r="I2088" s="19"/>
    </row>
    <row r="2089" ht="56.25" customHeight="1">
      <c r="A2089" s="21" t="s">
        <v>4934</v>
      </c>
      <c r="B2089" s="19" t="str">
        <f>image("https://storage.googleapis.com/acdb/photos/BromideNpcNmlKal05_Remake_7_0.png")</f>
        <v/>
      </c>
      <c r="C2089" s="21" t="s">
        <v>187</v>
      </c>
      <c r="D2089" s="21" t="s">
        <v>51</v>
      </c>
      <c r="E2089" s="21">
        <v>10.0</v>
      </c>
      <c r="F2089" s="21" t="s">
        <v>2289</v>
      </c>
      <c r="G2089" s="19"/>
      <c r="H2089" s="19"/>
      <c r="I2089" s="19"/>
    </row>
    <row r="2090" ht="56.25" customHeight="1">
      <c r="A2090" s="21" t="s">
        <v>4943</v>
      </c>
      <c r="B2090" s="19" t="str">
        <f>image("https://storage.googleapis.com/acdb/photos/BromideNpcNmlPig16_Remake_0_0.png")</f>
        <v/>
      </c>
      <c r="C2090" s="21" t="s">
        <v>219</v>
      </c>
      <c r="D2090" s="21" t="s">
        <v>51</v>
      </c>
      <c r="E2090" s="21">
        <v>10.0</v>
      </c>
      <c r="F2090" s="21" t="s">
        <v>2289</v>
      </c>
      <c r="G2090" s="19"/>
      <c r="H2090" s="19"/>
      <c r="I2090" s="19"/>
    </row>
    <row r="2091" ht="56.25" customHeight="1">
      <c r="A2091" s="21" t="s">
        <v>4943</v>
      </c>
      <c r="B2091" s="19" t="str">
        <f>image("https://storage.googleapis.com/acdb/photos/BromideNpcNmlPig16_Remake_1_0.png")</f>
        <v/>
      </c>
      <c r="C2091" s="21" t="s">
        <v>795</v>
      </c>
      <c r="D2091" s="21" t="s">
        <v>51</v>
      </c>
      <c r="E2091" s="21">
        <v>10.0</v>
      </c>
      <c r="F2091" s="21" t="s">
        <v>2289</v>
      </c>
      <c r="G2091" s="19"/>
      <c r="H2091" s="19"/>
      <c r="I2091" s="19"/>
    </row>
    <row r="2092" ht="56.25" customHeight="1">
      <c r="A2092" s="21" t="s">
        <v>4943</v>
      </c>
      <c r="B2092" s="19" t="str">
        <f>image("https://storage.googleapis.com/acdb/photos/BromideNpcNmlPig16_Remake_2_0.png")</f>
        <v/>
      </c>
      <c r="C2092" s="21" t="s">
        <v>954</v>
      </c>
      <c r="D2092" s="21" t="s">
        <v>51</v>
      </c>
      <c r="E2092" s="21">
        <v>10.0</v>
      </c>
      <c r="F2092" s="21" t="s">
        <v>2289</v>
      </c>
      <c r="G2092" s="19"/>
      <c r="H2092" s="19"/>
      <c r="I2092" s="19"/>
    </row>
    <row r="2093" ht="56.25" customHeight="1">
      <c r="A2093" s="21" t="s">
        <v>4943</v>
      </c>
      <c r="B2093" s="19" t="str">
        <f>image("https://storage.googleapis.com/acdb/photos/BromideNpcNmlPig16_Remake_3_0.png")</f>
        <v/>
      </c>
      <c r="C2093" s="21" t="s">
        <v>82</v>
      </c>
      <c r="D2093" s="21" t="s">
        <v>51</v>
      </c>
      <c r="E2093" s="21">
        <v>10.0</v>
      </c>
      <c r="F2093" s="21" t="s">
        <v>2289</v>
      </c>
      <c r="G2093" s="19"/>
      <c r="H2093" s="19"/>
      <c r="I2093" s="19"/>
    </row>
    <row r="2094" ht="56.25" customHeight="1">
      <c r="A2094" s="21" t="s">
        <v>4943</v>
      </c>
      <c r="B2094" s="19" t="str">
        <f>image("https://storage.googleapis.com/acdb/photos/BromideNpcNmlPig16_Remake_4_0.png")</f>
        <v/>
      </c>
      <c r="C2094" s="21" t="s">
        <v>833</v>
      </c>
      <c r="D2094" s="21" t="s">
        <v>51</v>
      </c>
      <c r="E2094" s="21">
        <v>10.0</v>
      </c>
      <c r="F2094" s="21" t="s">
        <v>2289</v>
      </c>
      <c r="G2094" s="19"/>
      <c r="H2094" s="19"/>
      <c r="I2094" s="19"/>
    </row>
    <row r="2095" ht="56.25" customHeight="1">
      <c r="A2095" s="21" t="s">
        <v>4943</v>
      </c>
      <c r="B2095" s="19" t="str">
        <f>image("https://storage.googleapis.com/acdb/photos/BromideNpcNmlPig16_Remake_5_0.png")</f>
        <v/>
      </c>
      <c r="C2095" s="21" t="s">
        <v>258</v>
      </c>
      <c r="D2095" s="21" t="s">
        <v>51</v>
      </c>
      <c r="E2095" s="21">
        <v>10.0</v>
      </c>
      <c r="F2095" s="21" t="s">
        <v>2289</v>
      </c>
      <c r="G2095" s="19"/>
      <c r="H2095" s="19"/>
      <c r="I2095" s="19"/>
    </row>
    <row r="2096" ht="56.25" customHeight="1">
      <c r="A2096" s="21" t="s">
        <v>4943</v>
      </c>
      <c r="B2096" s="19" t="str">
        <f>image("https://storage.googleapis.com/acdb/photos/BromideNpcNmlPig16_Remake_6_0.png")</f>
        <v/>
      </c>
      <c r="C2096" s="21" t="s">
        <v>182</v>
      </c>
      <c r="D2096" s="21" t="s">
        <v>51</v>
      </c>
      <c r="E2096" s="21">
        <v>10.0</v>
      </c>
      <c r="F2096" s="21" t="s">
        <v>2289</v>
      </c>
      <c r="G2096" s="19"/>
      <c r="H2096" s="19"/>
      <c r="I2096" s="19"/>
    </row>
    <row r="2097" ht="56.25" customHeight="1">
      <c r="A2097" s="21" t="s">
        <v>4943</v>
      </c>
      <c r="B2097" s="19" t="str">
        <f>image("https://storage.googleapis.com/acdb/photos/BromideNpcNmlPig16_Remake_7_0.png")</f>
        <v/>
      </c>
      <c r="C2097" s="21" t="s">
        <v>187</v>
      </c>
      <c r="D2097" s="21" t="s">
        <v>51</v>
      </c>
      <c r="E2097" s="21">
        <v>10.0</v>
      </c>
      <c r="F2097" s="21" t="s">
        <v>2289</v>
      </c>
      <c r="G2097" s="19"/>
      <c r="H2097" s="19"/>
      <c r="I2097" s="19"/>
    </row>
    <row r="2098" ht="56.25" customHeight="1">
      <c r="A2098" s="21" t="s">
        <v>4950</v>
      </c>
      <c r="B2098" s="19" t="str">
        <f>image("https://storage.googleapis.com/acdb/photos/BromideNpcNmlAnt02_Remake_0_0.png")</f>
        <v/>
      </c>
      <c r="C2098" s="21" t="s">
        <v>219</v>
      </c>
      <c r="D2098" s="21" t="s">
        <v>51</v>
      </c>
      <c r="E2098" s="21">
        <v>10.0</v>
      </c>
      <c r="F2098" s="21" t="s">
        <v>2289</v>
      </c>
      <c r="G2098" s="19"/>
      <c r="H2098" s="19"/>
      <c r="I2098" s="19"/>
    </row>
    <row r="2099" ht="56.25" customHeight="1">
      <c r="A2099" s="21" t="s">
        <v>4950</v>
      </c>
      <c r="B2099" s="19" t="str">
        <f>image("https://storage.googleapis.com/acdb/photos/BromideNpcNmlAnt02_Remake_1_0.png")</f>
        <v/>
      </c>
      <c r="C2099" s="21" t="s">
        <v>795</v>
      </c>
      <c r="D2099" s="21" t="s">
        <v>51</v>
      </c>
      <c r="E2099" s="21">
        <v>10.0</v>
      </c>
      <c r="F2099" s="21" t="s">
        <v>2289</v>
      </c>
      <c r="G2099" s="19"/>
      <c r="H2099" s="19"/>
      <c r="I2099" s="19"/>
    </row>
    <row r="2100" ht="56.25" customHeight="1">
      <c r="A2100" s="21" t="s">
        <v>4950</v>
      </c>
      <c r="B2100" s="19" t="str">
        <f>image("https://storage.googleapis.com/acdb/photos/BromideNpcNmlAnt02_Remake_2_0.png")</f>
        <v/>
      </c>
      <c r="C2100" s="21" t="s">
        <v>954</v>
      </c>
      <c r="D2100" s="21" t="s">
        <v>51</v>
      </c>
      <c r="E2100" s="21">
        <v>10.0</v>
      </c>
      <c r="F2100" s="21" t="s">
        <v>2289</v>
      </c>
      <c r="G2100" s="19"/>
      <c r="H2100" s="19"/>
      <c r="I2100" s="19"/>
    </row>
    <row r="2101" ht="56.25" customHeight="1">
      <c r="A2101" s="21" t="s">
        <v>4950</v>
      </c>
      <c r="B2101" s="19" t="str">
        <f>image("https://storage.googleapis.com/acdb/photos/BromideNpcNmlAnt02_Remake_3_0.png")</f>
        <v/>
      </c>
      <c r="C2101" s="21" t="s">
        <v>82</v>
      </c>
      <c r="D2101" s="21" t="s">
        <v>51</v>
      </c>
      <c r="E2101" s="21">
        <v>10.0</v>
      </c>
      <c r="F2101" s="21" t="s">
        <v>2289</v>
      </c>
      <c r="G2101" s="19"/>
      <c r="H2101" s="19"/>
      <c r="I2101" s="19"/>
    </row>
    <row r="2102" ht="56.25" customHeight="1">
      <c r="A2102" s="21" t="s">
        <v>4950</v>
      </c>
      <c r="B2102" s="19" t="str">
        <f>image("https://storage.googleapis.com/acdb/photos/BromideNpcNmlAnt02_Remake_4_0.png")</f>
        <v/>
      </c>
      <c r="C2102" s="21" t="s">
        <v>833</v>
      </c>
      <c r="D2102" s="21" t="s">
        <v>51</v>
      </c>
      <c r="E2102" s="21">
        <v>10.0</v>
      </c>
      <c r="F2102" s="21" t="s">
        <v>2289</v>
      </c>
      <c r="G2102" s="19"/>
      <c r="H2102" s="19"/>
      <c r="I2102" s="19"/>
    </row>
    <row r="2103" ht="56.25" customHeight="1">
      <c r="A2103" s="21" t="s">
        <v>4950</v>
      </c>
      <c r="B2103" s="19" t="str">
        <f>image("https://storage.googleapis.com/acdb/photos/BromideNpcNmlAnt02_Remake_5_0.png")</f>
        <v/>
      </c>
      <c r="C2103" s="21" t="s">
        <v>258</v>
      </c>
      <c r="D2103" s="21" t="s">
        <v>51</v>
      </c>
      <c r="E2103" s="21">
        <v>10.0</v>
      </c>
      <c r="F2103" s="21" t="s">
        <v>2289</v>
      </c>
      <c r="G2103" s="19"/>
      <c r="H2103" s="19"/>
      <c r="I2103" s="19"/>
    </row>
    <row r="2104" ht="56.25" customHeight="1">
      <c r="A2104" s="21" t="s">
        <v>4950</v>
      </c>
      <c r="B2104" s="19" t="str">
        <f>image("https://storage.googleapis.com/acdb/photos/BromideNpcNmlAnt02_Remake_6_0.png")</f>
        <v/>
      </c>
      <c r="C2104" s="21" t="s">
        <v>182</v>
      </c>
      <c r="D2104" s="21" t="s">
        <v>51</v>
      </c>
      <c r="E2104" s="21">
        <v>10.0</v>
      </c>
      <c r="F2104" s="21" t="s">
        <v>2289</v>
      </c>
      <c r="G2104" s="19"/>
      <c r="H2104" s="19"/>
      <c r="I2104" s="19"/>
    </row>
    <row r="2105" ht="56.25" customHeight="1">
      <c r="A2105" s="21" t="s">
        <v>4950</v>
      </c>
      <c r="B2105" s="19" t="str">
        <f>image("https://storage.googleapis.com/acdb/photos/BromideNpcNmlAnt02_Remake_7_0.png")</f>
        <v/>
      </c>
      <c r="C2105" s="21" t="s">
        <v>187</v>
      </c>
      <c r="D2105" s="21" t="s">
        <v>51</v>
      </c>
      <c r="E2105" s="21">
        <v>10.0</v>
      </c>
      <c r="F2105" s="21" t="s">
        <v>2289</v>
      </c>
      <c r="G2105" s="19"/>
      <c r="H2105" s="19"/>
      <c r="I2105" s="19"/>
    </row>
    <row r="2106" ht="56.25" customHeight="1">
      <c r="A2106" s="21" t="s">
        <v>4962</v>
      </c>
      <c r="B2106" s="19" t="str">
        <f>image("https://storage.googleapis.com/acdb/photos/BromideNpcNmlElp05_Remake_0_0.png")</f>
        <v/>
      </c>
      <c r="C2106" s="21" t="s">
        <v>219</v>
      </c>
      <c r="D2106" s="21" t="s">
        <v>51</v>
      </c>
      <c r="E2106" s="21">
        <v>10.0</v>
      </c>
      <c r="F2106" s="21" t="s">
        <v>2289</v>
      </c>
      <c r="G2106" s="19"/>
      <c r="H2106" s="19"/>
      <c r="I2106" s="19"/>
    </row>
    <row r="2107" ht="56.25" customHeight="1">
      <c r="A2107" s="21" t="s">
        <v>4962</v>
      </c>
      <c r="B2107" s="19" t="str">
        <f>image("https://storage.googleapis.com/acdb/photos/BromideNpcNmlElp05_Remake_1_0.png")</f>
        <v/>
      </c>
      <c r="C2107" s="21" t="s">
        <v>795</v>
      </c>
      <c r="D2107" s="21" t="s">
        <v>51</v>
      </c>
      <c r="E2107" s="21">
        <v>10.0</v>
      </c>
      <c r="F2107" s="21" t="s">
        <v>2289</v>
      </c>
      <c r="G2107" s="19"/>
      <c r="H2107" s="19"/>
      <c r="I2107" s="19"/>
    </row>
    <row r="2108" ht="56.25" customHeight="1">
      <c r="A2108" s="21" t="s">
        <v>4962</v>
      </c>
      <c r="B2108" s="19" t="str">
        <f>image("https://storage.googleapis.com/acdb/photos/BromideNpcNmlElp05_Remake_2_0.png")</f>
        <v/>
      </c>
      <c r="C2108" s="21" t="s">
        <v>954</v>
      </c>
      <c r="D2108" s="21" t="s">
        <v>51</v>
      </c>
      <c r="E2108" s="21">
        <v>10.0</v>
      </c>
      <c r="F2108" s="21" t="s">
        <v>2289</v>
      </c>
      <c r="G2108" s="19"/>
      <c r="H2108" s="19"/>
      <c r="I2108" s="19"/>
    </row>
    <row r="2109" ht="56.25" customHeight="1">
      <c r="A2109" s="21" t="s">
        <v>4962</v>
      </c>
      <c r="B2109" s="19" t="str">
        <f>image("https://storage.googleapis.com/acdb/photos/BromideNpcNmlElp05_Remake_3_0.png")</f>
        <v/>
      </c>
      <c r="C2109" s="21" t="s">
        <v>82</v>
      </c>
      <c r="D2109" s="21" t="s">
        <v>51</v>
      </c>
      <c r="E2109" s="21">
        <v>10.0</v>
      </c>
      <c r="F2109" s="21" t="s">
        <v>2289</v>
      </c>
      <c r="G2109" s="19"/>
      <c r="H2109" s="19"/>
      <c r="I2109" s="19"/>
    </row>
    <row r="2110" ht="56.25" customHeight="1">
      <c r="A2110" s="21" t="s">
        <v>4962</v>
      </c>
      <c r="B2110" s="19" t="str">
        <f>image("https://storage.googleapis.com/acdb/photos/BromideNpcNmlElp05_Remake_4_0.png")</f>
        <v/>
      </c>
      <c r="C2110" s="21" t="s">
        <v>833</v>
      </c>
      <c r="D2110" s="21" t="s">
        <v>51</v>
      </c>
      <c r="E2110" s="21">
        <v>10.0</v>
      </c>
      <c r="F2110" s="21" t="s">
        <v>2289</v>
      </c>
      <c r="G2110" s="19"/>
      <c r="H2110" s="19"/>
      <c r="I2110" s="19"/>
    </row>
    <row r="2111" ht="56.25" customHeight="1">
      <c r="A2111" s="21" t="s">
        <v>4962</v>
      </c>
      <c r="B2111" s="19" t="str">
        <f>image("https://storage.googleapis.com/acdb/photos/BromideNpcNmlElp05_Remake_5_0.png")</f>
        <v/>
      </c>
      <c r="C2111" s="21" t="s">
        <v>258</v>
      </c>
      <c r="D2111" s="21" t="s">
        <v>51</v>
      </c>
      <c r="E2111" s="21">
        <v>10.0</v>
      </c>
      <c r="F2111" s="21" t="s">
        <v>2289</v>
      </c>
      <c r="G2111" s="19"/>
      <c r="H2111" s="19"/>
      <c r="I2111" s="19"/>
    </row>
    <row r="2112" ht="56.25" customHeight="1">
      <c r="A2112" s="21" t="s">
        <v>4962</v>
      </c>
      <c r="B2112" s="19" t="str">
        <f>image("https://storage.googleapis.com/acdb/photos/BromideNpcNmlElp05_Remake_6_0.png")</f>
        <v/>
      </c>
      <c r="C2112" s="21" t="s">
        <v>182</v>
      </c>
      <c r="D2112" s="21" t="s">
        <v>51</v>
      </c>
      <c r="E2112" s="21">
        <v>10.0</v>
      </c>
      <c r="F2112" s="21" t="s">
        <v>2289</v>
      </c>
      <c r="G2112" s="19"/>
      <c r="H2112" s="19"/>
      <c r="I2112" s="19"/>
    </row>
    <row r="2113" ht="56.25" customHeight="1">
      <c r="A2113" s="21" t="s">
        <v>4962</v>
      </c>
      <c r="B2113" s="19" t="str">
        <f>image("https://storage.googleapis.com/acdb/photos/BromideNpcNmlElp05_Remake_7_0.png")</f>
        <v/>
      </c>
      <c r="C2113" s="21" t="s">
        <v>187</v>
      </c>
      <c r="D2113" s="21" t="s">
        <v>51</v>
      </c>
      <c r="E2113" s="21">
        <v>10.0</v>
      </c>
      <c r="F2113" s="21" t="s">
        <v>2289</v>
      </c>
      <c r="G2113" s="19"/>
      <c r="H2113" s="19"/>
      <c r="I2113" s="19"/>
    </row>
    <row r="2114" ht="56.25" customHeight="1">
      <c r="A2114" s="21" t="s">
        <v>4970</v>
      </c>
      <c r="B2114" s="19" t="str">
        <f>image("https://storage.googleapis.com/acdb/photos/BromideNpcNmlHrs12_Remake_0_0.png")</f>
        <v/>
      </c>
      <c r="C2114" s="21" t="s">
        <v>219</v>
      </c>
      <c r="D2114" s="21" t="s">
        <v>51</v>
      </c>
      <c r="E2114" s="21">
        <v>10.0</v>
      </c>
      <c r="F2114" s="21" t="s">
        <v>2289</v>
      </c>
      <c r="G2114" s="19"/>
      <c r="H2114" s="19"/>
      <c r="I2114" s="19"/>
    </row>
    <row r="2115" ht="56.25" customHeight="1">
      <c r="A2115" s="21" t="s">
        <v>4970</v>
      </c>
      <c r="B2115" s="19" t="str">
        <f>image("https://storage.googleapis.com/acdb/photos/BromideNpcNmlHrs12_Remake_1_0.png")</f>
        <v/>
      </c>
      <c r="C2115" s="21" t="s">
        <v>795</v>
      </c>
      <c r="D2115" s="21" t="s">
        <v>51</v>
      </c>
      <c r="E2115" s="21">
        <v>10.0</v>
      </c>
      <c r="F2115" s="21" t="s">
        <v>2289</v>
      </c>
      <c r="G2115" s="19"/>
      <c r="H2115" s="19"/>
      <c r="I2115" s="19"/>
    </row>
    <row r="2116" ht="56.25" customHeight="1">
      <c r="A2116" s="21" t="s">
        <v>4970</v>
      </c>
      <c r="B2116" s="19" t="str">
        <f>image("https://storage.googleapis.com/acdb/photos/BromideNpcNmlHrs12_Remake_2_0.png")</f>
        <v/>
      </c>
      <c r="C2116" s="21" t="s">
        <v>954</v>
      </c>
      <c r="D2116" s="21" t="s">
        <v>51</v>
      </c>
      <c r="E2116" s="21">
        <v>10.0</v>
      </c>
      <c r="F2116" s="21" t="s">
        <v>2289</v>
      </c>
      <c r="G2116" s="19"/>
      <c r="H2116" s="19"/>
      <c r="I2116" s="19"/>
    </row>
    <row r="2117" ht="56.25" customHeight="1">
      <c r="A2117" s="21" t="s">
        <v>4970</v>
      </c>
      <c r="B2117" s="19" t="str">
        <f>image("https://storage.googleapis.com/acdb/photos/BromideNpcNmlHrs12_Remake_3_0.png")</f>
        <v/>
      </c>
      <c r="C2117" s="21" t="s">
        <v>82</v>
      </c>
      <c r="D2117" s="21" t="s">
        <v>51</v>
      </c>
      <c r="E2117" s="21">
        <v>10.0</v>
      </c>
      <c r="F2117" s="21" t="s">
        <v>2289</v>
      </c>
      <c r="G2117" s="19"/>
      <c r="H2117" s="19"/>
      <c r="I2117" s="19"/>
    </row>
    <row r="2118" ht="56.25" customHeight="1">
      <c r="A2118" s="21" t="s">
        <v>4970</v>
      </c>
      <c r="B2118" s="19" t="str">
        <f>image("https://storage.googleapis.com/acdb/photos/BromideNpcNmlHrs12_Remake_4_0.png")</f>
        <v/>
      </c>
      <c r="C2118" s="21" t="s">
        <v>833</v>
      </c>
      <c r="D2118" s="21" t="s">
        <v>51</v>
      </c>
      <c r="E2118" s="21">
        <v>10.0</v>
      </c>
      <c r="F2118" s="21" t="s">
        <v>2289</v>
      </c>
      <c r="G2118" s="19"/>
      <c r="H2118" s="19"/>
      <c r="I2118" s="19"/>
    </row>
    <row r="2119" ht="56.25" customHeight="1">
      <c r="A2119" s="21" t="s">
        <v>4970</v>
      </c>
      <c r="B2119" s="19" t="str">
        <f>image("https://storage.googleapis.com/acdb/photos/BromideNpcNmlHrs12_Remake_5_0.png")</f>
        <v/>
      </c>
      <c r="C2119" s="21" t="s">
        <v>258</v>
      </c>
      <c r="D2119" s="21" t="s">
        <v>51</v>
      </c>
      <c r="E2119" s="21">
        <v>10.0</v>
      </c>
      <c r="F2119" s="21" t="s">
        <v>2289</v>
      </c>
      <c r="G2119" s="19"/>
      <c r="H2119" s="19"/>
      <c r="I2119" s="19"/>
    </row>
    <row r="2120" ht="56.25" customHeight="1">
      <c r="A2120" s="21" t="s">
        <v>4970</v>
      </c>
      <c r="B2120" s="19" t="str">
        <f>image("https://storage.googleapis.com/acdb/photos/BromideNpcNmlHrs12_Remake_6_0.png")</f>
        <v/>
      </c>
      <c r="C2120" s="21" t="s">
        <v>182</v>
      </c>
      <c r="D2120" s="21" t="s">
        <v>51</v>
      </c>
      <c r="E2120" s="21">
        <v>10.0</v>
      </c>
      <c r="F2120" s="21" t="s">
        <v>2289</v>
      </c>
      <c r="G2120" s="19"/>
      <c r="H2120" s="19"/>
      <c r="I2120" s="19"/>
    </row>
    <row r="2121" ht="56.25" customHeight="1">
      <c r="A2121" s="21" t="s">
        <v>4970</v>
      </c>
      <c r="B2121" s="19" t="str">
        <f>image("https://storage.googleapis.com/acdb/photos/BromideNpcNmlHrs12_Remake_7_0.png")</f>
        <v/>
      </c>
      <c r="C2121" s="21" t="s">
        <v>187</v>
      </c>
      <c r="D2121" s="21" t="s">
        <v>51</v>
      </c>
      <c r="E2121" s="21">
        <v>10.0</v>
      </c>
      <c r="F2121" s="21" t="s">
        <v>2289</v>
      </c>
      <c r="G2121" s="19"/>
      <c r="H2121" s="19"/>
      <c r="I2121" s="19"/>
    </row>
    <row r="2122" ht="56.25" customHeight="1">
      <c r="A2122" s="21" t="s">
        <v>4978</v>
      </c>
      <c r="B2122" s="19" t="str">
        <f>image("https://storage.googleapis.com/acdb/photos/BromideNpcNmlGoa08_Remake_0_0.png")</f>
        <v/>
      </c>
      <c r="C2122" s="21" t="s">
        <v>219</v>
      </c>
      <c r="D2122" s="21" t="s">
        <v>51</v>
      </c>
      <c r="E2122" s="21">
        <v>10.0</v>
      </c>
      <c r="F2122" s="21" t="s">
        <v>2289</v>
      </c>
      <c r="G2122" s="19"/>
      <c r="H2122" s="19"/>
      <c r="I2122" s="19"/>
    </row>
    <row r="2123" ht="56.25" customHeight="1">
      <c r="A2123" s="21" t="s">
        <v>4978</v>
      </c>
      <c r="B2123" s="19" t="str">
        <f>image("https://storage.googleapis.com/acdb/photos/BromideNpcNmlGoa08_Remake_1_0.png")</f>
        <v/>
      </c>
      <c r="C2123" s="21" t="s">
        <v>795</v>
      </c>
      <c r="D2123" s="21" t="s">
        <v>51</v>
      </c>
      <c r="E2123" s="21">
        <v>10.0</v>
      </c>
      <c r="F2123" s="21" t="s">
        <v>2289</v>
      </c>
      <c r="G2123" s="19"/>
      <c r="H2123" s="19"/>
      <c r="I2123" s="19"/>
    </row>
    <row r="2124" ht="56.25" customHeight="1">
      <c r="A2124" s="21" t="s">
        <v>4978</v>
      </c>
      <c r="B2124" s="19" t="str">
        <f>image("https://storage.googleapis.com/acdb/photos/BromideNpcNmlGoa08_Remake_2_0.png")</f>
        <v/>
      </c>
      <c r="C2124" s="21" t="s">
        <v>954</v>
      </c>
      <c r="D2124" s="21" t="s">
        <v>51</v>
      </c>
      <c r="E2124" s="21">
        <v>10.0</v>
      </c>
      <c r="F2124" s="21" t="s">
        <v>2289</v>
      </c>
      <c r="G2124" s="19"/>
      <c r="H2124" s="19"/>
      <c r="I2124" s="19"/>
    </row>
    <row r="2125" ht="56.25" customHeight="1">
      <c r="A2125" s="21" t="s">
        <v>4978</v>
      </c>
      <c r="B2125" s="19" t="str">
        <f>image("https://storage.googleapis.com/acdb/photos/BromideNpcNmlGoa08_Remake_3_0.png")</f>
        <v/>
      </c>
      <c r="C2125" s="21" t="s">
        <v>82</v>
      </c>
      <c r="D2125" s="21" t="s">
        <v>51</v>
      </c>
      <c r="E2125" s="21">
        <v>10.0</v>
      </c>
      <c r="F2125" s="21" t="s">
        <v>2289</v>
      </c>
      <c r="G2125" s="19"/>
      <c r="H2125" s="19"/>
      <c r="I2125" s="19"/>
    </row>
    <row r="2126" ht="56.25" customHeight="1">
      <c r="A2126" s="21" t="s">
        <v>4978</v>
      </c>
      <c r="B2126" s="19" t="str">
        <f>image("https://storage.googleapis.com/acdb/photos/BromideNpcNmlGoa08_Remake_4_0.png")</f>
        <v/>
      </c>
      <c r="C2126" s="21" t="s">
        <v>833</v>
      </c>
      <c r="D2126" s="21" t="s">
        <v>51</v>
      </c>
      <c r="E2126" s="21">
        <v>10.0</v>
      </c>
      <c r="F2126" s="21" t="s">
        <v>2289</v>
      </c>
      <c r="G2126" s="19"/>
      <c r="H2126" s="19"/>
      <c r="I2126" s="19"/>
    </row>
    <row r="2127" ht="56.25" customHeight="1">
      <c r="A2127" s="21" t="s">
        <v>4978</v>
      </c>
      <c r="B2127" s="19" t="str">
        <f>image("https://storage.googleapis.com/acdb/photos/BromideNpcNmlGoa08_Remake_5_0.png")</f>
        <v/>
      </c>
      <c r="C2127" s="21" t="s">
        <v>258</v>
      </c>
      <c r="D2127" s="21" t="s">
        <v>51</v>
      </c>
      <c r="E2127" s="21">
        <v>10.0</v>
      </c>
      <c r="F2127" s="21" t="s">
        <v>2289</v>
      </c>
      <c r="G2127" s="19"/>
      <c r="H2127" s="19"/>
      <c r="I2127" s="19"/>
    </row>
    <row r="2128" ht="56.25" customHeight="1">
      <c r="A2128" s="21" t="s">
        <v>4978</v>
      </c>
      <c r="B2128" s="19" t="str">
        <f>image("https://storage.googleapis.com/acdb/photos/BromideNpcNmlGoa08_Remake_6_0.png")</f>
        <v/>
      </c>
      <c r="C2128" s="21" t="s">
        <v>182</v>
      </c>
      <c r="D2128" s="21" t="s">
        <v>51</v>
      </c>
      <c r="E2128" s="21">
        <v>10.0</v>
      </c>
      <c r="F2128" s="21" t="s">
        <v>2289</v>
      </c>
      <c r="G2128" s="19"/>
      <c r="H2128" s="19"/>
      <c r="I2128" s="19"/>
    </row>
    <row r="2129" ht="56.25" customHeight="1">
      <c r="A2129" s="21" t="s">
        <v>4978</v>
      </c>
      <c r="B2129" s="19" t="str">
        <f>image("https://storage.googleapis.com/acdb/photos/BromideNpcNmlGoa08_Remake_7_0.png")</f>
        <v/>
      </c>
      <c r="C2129" s="21" t="s">
        <v>187</v>
      </c>
      <c r="D2129" s="21" t="s">
        <v>51</v>
      </c>
      <c r="E2129" s="21">
        <v>10.0</v>
      </c>
      <c r="F2129" s="21" t="s">
        <v>2289</v>
      </c>
      <c r="G2129" s="19"/>
      <c r="H2129" s="19"/>
      <c r="I2129" s="19"/>
    </row>
    <row r="2130" ht="56.25" customHeight="1">
      <c r="A2130" s="21" t="s">
        <v>4992</v>
      </c>
      <c r="B2130" s="19" t="str">
        <f>image("https://storage.googleapis.com/acdb/photos/BromideNpcNmlDuk02_Remake_0_0.png")</f>
        <v/>
      </c>
      <c r="C2130" s="21" t="s">
        <v>219</v>
      </c>
      <c r="D2130" s="21" t="s">
        <v>51</v>
      </c>
      <c r="E2130" s="21">
        <v>10.0</v>
      </c>
      <c r="F2130" s="21" t="s">
        <v>2289</v>
      </c>
      <c r="G2130" s="19"/>
      <c r="H2130" s="19"/>
      <c r="I2130" s="19"/>
    </row>
    <row r="2131" ht="56.25" customHeight="1">
      <c r="A2131" s="21" t="s">
        <v>4992</v>
      </c>
      <c r="B2131" s="19" t="str">
        <f>image("https://storage.googleapis.com/acdb/photos/BromideNpcNmlDuk02_Remake_1_0.png")</f>
        <v/>
      </c>
      <c r="C2131" s="21" t="s">
        <v>795</v>
      </c>
      <c r="D2131" s="21" t="s">
        <v>51</v>
      </c>
      <c r="E2131" s="21">
        <v>10.0</v>
      </c>
      <c r="F2131" s="21" t="s">
        <v>2289</v>
      </c>
      <c r="G2131" s="19"/>
      <c r="H2131" s="19"/>
      <c r="I2131" s="19"/>
    </row>
    <row r="2132" ht="56.25" customHeight="1">
      <c r="A2132" s="21" t="s">
        <v>4992</v>
      </c>
      <c r="B2132" s="19" t="str">
        <f>image("https://storage.googleapis.com/acdb/photos/BromideNpcNmlDuk02_Remake_2_0.png")</f>
        <v/>
      </c>
      <c r="C2132" s="21" t="s">
        <v>954</v>
      </c>
      <c r="D2132" s="21" t="s">
        <v>51</v>
      </c>
      <c r="E2132" s="21">
        <v>10.0</v>
      </c>
      <c r="F2132" s="21" t="s">
        <v>2289</v>
      </c>
      <c r="G2132" s="19"/>
      <c r="H2132" s="19"/>
      <c r="I2132" s="19"/>
    </row>
    <row r="2133" ht="56.25" customHeight="1">
      <c r="A2133" s="21" t="s">
        <v>4992</v>
      </c>
      <c r="B2133" s="19" t="str">
        <f>image("https://storage.googleapis.com/acdb/photos/BromideNpcNmlDuk02_Remake_3_0.png")</f>
        <v/>
      </c>
      <c r="C2133" s="21" t="s">
        <v>82</v>
      </c>
      <c r="D2133" s="21" t="s">
        <v>51</v>
      </c>
      <c r="E2133" s="21">
        <v>10.0</v>
      </c>
      <c r="F2133" s="21" t="s">
        <v>2289</v>
      </c>
      <c r="G2133" s="19"/>
      <c r="H2133" s="19"/>
      <c r="I2133" s="19"/>
    </row>
    <row r="2134" ht="56.25" customHeight="1">
      <c r="A2134" s="21" t="s">
        <v>4992</v>
      </c>
      <c r="B2134" s="19" t="str">
        <f>image("https://storage.googleapis.com/acdb/photos/BromideNpcNmlDuk02_Remake_4_0.png")</f>
        <v/>
      </c>
      <c r="C2134" s="21" t="s">
        <v>833</v>
      </c>
      <c r="D2134" s="21" t="s">
        <v>51</v>
      </c>
      <c r="E2134" s="21">
        <v>10.0</v>
      </c>
      <c r="F2134" s="21" t="s">
        <v>2289</v>
      </c>
      <c r="G2134" s="19"/>
      <c r="H2134" s="19"/>
      <c r="I2134" s="19"/>
    </row>
    <row r="2135" ht="56.25" customHeight="1">
      <c r="A2135" s="21" t="s">
        <v>4992</v>
      </c>
      <c r="B2135" s="19" t="str">
        <f>image("https://storage.googleapis.com/acdb/photos/BromideNpcNmlDuk02_Remake_5_0.png")</f>
        <v/>
      </c>
      <c r="C2135" s="21" t="s">
        <v>258</v>
      </c>
      <c r="D2135" s="21" t="s">
        <v>51</v>
      </c>
      <c r="E2135" s="21">
        <v>10.0</v>
      </c>
      <c r="F2135" s="21" t="s">
        <v>2289</v>
      </c>
      <c r="G2135" s="19"/>
      <c r="H2135" s="19"/>
      <c r="I2135" s="19"/>
    </row>
    <row r="2136" ht="56.25" customHeight="1">
      <c r="A2136" s="21" t="s">
        <v>4992</v>
      </c>
      <c r="B2136" s="19" t="str">
        <f>image("https://storage.googleapis.com/acdb/photos/BromideNpcNmlDuk02_Remake_6_0.png")</f>
        <v/>
      </c>
      <c r="C2136" s="21" t="s">
        <v>182</v>
      </c>
      <c r="D2136" s="21" t="s">
        <v>51</v>
      </c>
      <c r="E2136" s="21">
        <v>10.0</v>
      </c>
      <c r="F2136" s="21" t="s">
        <v>2289</v>
      </c>
      <c r="G2136" s="19"/>
      <c r="H2136" s="19"/>
      <c r="I2136" s="19"/>
    </row>
    <row r="2137" ht="56.25" customHeight="1">
      <c r="A2137" s="21" t="s">
        <v>4992</v>
      </c>
      <c r="B2137" s="19" t="str">
        <f>image("https://storage.googleapis.com/acdb/photos/BromideNpcNmlDuk02_Remake_7_0.png")</f>
        <v/>
      </c>
      <c r="C2137" s="21" t="s">
        <v>187</v>
      </c>
      <c r="D2137" s="21" t="s">
        <v>51</v>
      </c>
      <c r="E2137" s="21">
        <v>10.0</v>
      </c>
      <c r="F2137" s="21" t="s">
        <v>2289</v>
      </c>
      <c r="G2137" s="19"/>
      <c r="H2137" s="19"/>
      <c r="I2137" s="19"/>
    </row>
    <row r="2138" ht="56.25" customHeight="1">
      <c r="A2138" s="21" t="s">
        <v>5006</v>
      </c>
      <c r="B2138" s="19" t="str">
        <f>image("https://storage.googleapis.com/acdb/photos/BromideNpcNmlCow00_Remake_0_0.png")</f>
        <v/>
      </c>
      <c r="C2138" s="21" t="s">
        <v>219</v>
      </c>
      <c r="D2138" s="21" t="s">
        <v>51</v>
      </c>
      <c r="E2138" s="21">
        <v>10.0</v>
      </c>
      <c r="F2138" s="21" t="s">
        <v>2289</v>
      </c>
      <c r="G2138" s="19"/>
      <c r="H2138" s="19"/>
      <c r="I2138" s="19"/>
    </row>
    <row r="2139" ht="56.25" customHeight="1">
      <c r="A2139" s="21" t="s">
        <v>5006</v>
      </c>
      <c r="B2139" s="19" t="str">
        <f>image("https://storage.googleapis.com/acdb/photos/BromideNpcNmlCow00_Remake_1_0.png")</f>
        <v/>
      </c>
      <c r="C2139" s="21" t="s">
        <v>795</v>
      </c>
      <c r="D2139" s="21" t="s">
        <v>51</v>
      </c>
      <c r="E2139" s="21">
        <v>10.0</v>
      </c>
      <c r="F2139" s="21" t="s">
        <v>2289</v>
      </c>
      <c r="G2139" s="19"/>
      <c r="H2139" s="19"/>
      <c r="I2139" s="19"/>
    </row>
    <row r="2140" ht="56.25" customHeight="1">
      <c r="A2140" s="21" t="s">
        <v>5006</v>
      </c>
      <c r="B2140" s="19" t="str">
        <f>image("https://storage.googleapis.com/acdb/photos/BromideNpcNmlCow00_Remake_2_0.png")</f>
        <v/>
      </c>
      <c r="C2140" s="21" t="s">
        <v>954</v>
      </c>
      <c r="D2140" s="21" t="s">
        <v>51</v>
      </c>
      <c r="E2140" s="21">
        <v>10.0</v>
      </c>
      <c r="F2140" s="21" t="s">
        <v>2289</v>
      </c>
      <c r="G2140" s="19"/>
      <c r="H2140" s="19"/>
      <c r="I2140" s="19"/>
    </row>
    <row r="2141" ht="56.25" customHeight="1">
      <c r="A2141" s="21" t="s">
        <v>5006</v>
      </c>
      <c r="B2141" s="19" t="str">
        <f>image("https://storage.googleapis.com/acdb/photos/BromideNpcNmlCow00_Remake_3_0.png")</f>
        <v/>
      </c>
      <c r="C2141" s="21" t="s">
        <v>82</v>
      </c>
      <c r="D2141" s="21" t="s">
        <v>51</v>
      </c>
      <c r="E2141" s="21">
        <v>10.0</v>
      </c>
      <c r="F2141" s="21" t="s">
        <v>2289</v>
      </c>
      <c r="G2141" s="19"/>
      <c r="H2141" s="19"/>
      <c r="I2141" s="19"/>
    </row>
    <row r="2142" ht="56.25" customHeight="1">
      <c r="A2142" s="21" t="s">
        <v>5006</v>
      </c>
      <c r="B2142" s="19" t="str">
        <f>image("https://storage.googleapis.com/acdb/photos/BromideNpcNmlCow00_Remake_4_0.png")</f>
        <v/>
      </c>
      <c r="C2142" s="21" t="s">
        <v>833</v>
      </c>
      <c r="D2142" s="21" t="s">
        <v>51</v>
      </c>
      <c r="E2142" s="21">
        <v>10.0</v>
      </c>
      <c r="F2142" s="21" t="s">
        <v>2289</v>
      </c>
      <c r="G2142" s="19"/>
      <c r="H2142" s="19"/>
      <c r="I2142" s="19"/>
    </row>
    <row r="2143" ht="56.25" customHeight="1">
      <c r="A2143" s="21" t="s">
        <v>5006</v>
      </c>
      <c r="B2143" s="19" t="str">
        <f>image("https://storage.googleapis.com/acdb/photos/BromideNpcNmlCow00_Remake_5_0.png")</f>
        <v/>
      </c>
      <c r="C2143" s="21" t="s">
        <v>258</v>
      </c>
      <c r="D2143" s="21" t="s">
        <v>51</v>
      </c>
      <c r="E2143" s="21">
        <v>10.0</v>
      </c>
      <c r="F2143" s="21" t="s">
        <v>2289</v>
      </c>
      <c r="G2143" s="19"/>
      <c r="H2143" s="19"/>
      <c r="I2143" s="19"/>
    </row>
    <row r="2144" ht="56.25" customHeight="1">
      <c r="A2144" s="21" t="s">
        <v>5006</v>
      </c>
      <c r="B2144" s="19" t="str">
        <f>image("https://storage.googleapis.com/acdb/photos/BromideNpcNmlCow00_Remake_6_0.png")</f>
        <v/>
      </c>
      <c r="C2144" s="21" t="s">
        <v>182</v>
      </c>
      <c r="D2144" s="21" t="s">
        <v>51</v>
      </c>
      <c r="E2144" s="21">
        <v>10.0</v>
      </c>
      <c r="F2144" s="21" t="s">
        <v>2289</v>
      </c>
      <c r="G2144" s="19"/>
      <c r="H2144" s="19"/>
      <c r="I2144" s="19"/>
    </row>
    <row r="2145" ht="56.25" customHeight="1">
      <c r="A2145" s="21" t="s">
        <v>5006</v>
      </c>
      <c r="B2145" s="19" t="str">
        <f>image("https://storage.googleapis.com/acdb/photos/BromideNpcNmlCow00_Remake_7_0.png")</f>
        <v/>
      </c>
      <c r="C2145" s="21" t="s">
        <v>187</v>
      </c>
      <c r="D2145" s="21" t="s">
        <v>51</v>
      </c>
      <c r="E2145" s="21">
        <v>10.0</v>
      </c>
      <c r="F2145" s="21" t="s">
        <v>2289</v>
      </c>
      <c r="G2145" s="19"/>
      <c r="H2145" s="19"/>
      <c r="I2145" s="19"/>
    </row>
    <row r="2146" ht="56.25" customHeight="1">
      <c r="A2146" s="21" t="s">
        <v>5013</v>
      </c>
      <c r="B2146" s="19" t="str">
        <f>image("https://storage.googleapis.com/acdb/photos/BromideNpcNmlBea10_Remake_0_0.png")</f>
        <v/>
      </c>
      <c r="C2146" s="21" t="s">
        <v>219</v>
      </c>
      <c r="D2146" s="21" t="s">
        <v>51</v>
      </c>
      <c r="E2146" s="21">
        <v>10.0</v>
      </c>
      <c r="F2146" s="21" t="s">
        <v>2289</v>
      </c>
      <c r="G2146" s="19"/>
      <c r="H2146" s="19"/>
      <c r="I2146" s="19"/>
    </row>
    <row r="2147" ht="56.25" customHeight="1">
      <c r="A2147" s="21" t="s">
        <v>5013</v>
      </c>
      <c r="B2147" s="19" t="str">
        <f>image("https://storage.googleapis.com/acdb/photos/BromideNpcNmlBea10_Remake_1_0.png")</f>
        <v/>
      </c>
      <c r="C2147" s="21" t="s">
        <v>795</v>
      </c>
      <c r="D2147" s="21" t="s">
        <v>51</v>
      </c>
      <c r="E2147" s="21">
        <v>10.0</v>
      </c>
      <c r="F2147" s="21" t="s">
        <v>2289</v>
      </c>
      <c r="G2147" s="19"/>
      <c r="H2147" s="19"/>
      <c r="I2147" s="19"/>
    </row>
    <row r="2148" ht="56.25" customHeight="1">
      <c r="A2148" s="21" t="s">
        <v>5013</v>
      </c>
      <c r="B2148" s="19" t="str">
        <f>image("https://storage.googleapis.com/acdb/photos/BromideNpcNmlBea10_Remake_2_0.png")</f>
        <v/>
      </c>
      <c r="C2148" s="21" t="s">
        <v>954</v>
      </c>
      <c r="D2148" s="21" t="s">
        <v>51</v>
      </c>
      <c r="E2148" s="21">
        <v>10.0</v>
      </c>
      <c r="F2148" s="21" t="s">
        <v>2289</v>
      </c>
      <c r="G2148" s="19"/>
      <c r="H2148" s="19"/>
      <c r="I2148" s="19"/>
    </row>
    <row r="2149" ht="56.25" customHeight="1">
      <c r="A2149" s="21" t="s">
        <v>5013</v>
      </c>
      <c r="B2149" s="19" t="str">
        <f>image("https://storage.googleapis.com/acdb/photos/BromideNpcNmlBea10_Remake_3_0.png")</f>
        <v/>
      </c>
      <c r="C2149" s="21" t="s">
        <v>82</v>
      </c>
      <c r="D2149" s="21" t="s">
        <v>51</v>
      </c>
      <c r="E2149" s="21">
        <v>10.0</v>
      </c>
      <c r="F2149" s="21" t="s">
        <v>2289</v>
      </c>
      <c r="G2149" s="19"/>
      <c r="H2149" s="19"/>
      <c r="I2149" s="19"/>
    </row>
    <row r="2150" ht="56.25" customHeight="1">
      <c r="A2150" s="21" t="s">
        <v>5013</v>
      </c>
      <c r="B2150" s="19" t="str">
        <f>image("https://storage.googleapis.com/acdb/photos/BromideNpcNmlBea10_Remake_4_0.png")</f>
        <v/>
      </c>
      <c r="C2150" s="21" t="s">
        <v>833</v>
      </c>
      <c r="D2150" s="21" t="s">
        <v>51</v>
      </c>
      <c r="E2150" s="21">
        <v>10.0</v>
      </c>
      <c r="F2150" s="21" t="s">
        <v>2289</v>
      </c>
      <c r="G2150" s="19"/>
      <c r="H2150" s="19"/>
      <c r="I2150" s="19"/>
    </row>
    <row r="2151" ht="56.25" customHeight="1">
      <c r="A2151" s="21" t="s">
        <v>5013</v>
      </c>
      <c r="B2151" s="19" t="str">
        <f>image("https://storage.googleapis.com/acdb/photos/BromideNpcNmlBea10_Remake_5_0.png")</f>
        <v/>
      </c>
      <c r="C2151" s="21" t="s">
        <v>258</v>
      </c>
      <c r="D2151" s="21" t="s">
        <v>51</v>
      </c>
      <c r="E2151" s="21">
        <v>10.0</v>
      </c>
      <c r="F2151" s="21" t="s">
        <v>2289</v>
      </c>
      <c r="G2151" s="19"/>
      <c r="H2151" s="19"/>
      <c r="I2151" s="19"/>
    </row>
    <row r="2152" ht="56.25" customHeight="1">
      <c r="A2152" s="21" t="s">
        <v>5013</v>
      </c>
      <c r="B2152" s="19" t="str">
        <f>image("https://storage.googleapis.com/acdb/photos/BromideNpcNmlBea10_Remake_6_0.png")</f>
        <v/>
      </c>
      <c r="C2152" s="21" t="s">
        <v>182</v>
      </c>
      <c r="D2152" s="21" t="s">
        <v>51</v>
      </c>
      <c r="E2152" s="21">
        <v>10.0</v>
      </c>
      <c r="F2152" s="21" t="s">
        <v>2289</v>
      </c>
      <c r="G2152" s="19"/>
      <c r="H2152" s="19"/>
      <c r="I2152" s="19"/>
    </row>
    <row r="2153" ht="56.25" customHeight="1">
      <c r="A2153" s="21" t="s">
        <v>5013</v>
      </c>
      <c r="B2153" s="19" t="str">
        <f>image("https://storage.googleapis.com/acdb/photos/BromideNpcNmlBea10_Remake_7_0.png")</f>
        <v/>
      </c>
      <c r="C2153" s="21" t="s">
        <v>187</v>
      </c>
      <c r="D2153" s="21" t="s">
        <v>51</v>
      </c>
      <c r="E2153" s="21">
        <v>10.0</v>
      </c>
      <c r="F2153" s="21" t="s">
        <v>2289</v>
      </c>
      <c r="G2153" s="19"/>
      <c r="H2153" s="19"/>
      <c r="I2153" s="19"/>
    </row>
    <row r="2154" ht="56.25" customHeight="1">
      <c r="A2154" s="21" t="s">
        <v>5028</v>
      </c>
      <c r="B2154" s="19" t="str">
        <f>image("https://storage.googleapis.com/acdb/photos/BromideNpcNmlHrs08_Remake_0_0.png")</f>
        <v/>
      </c>
      <c r="C2154" s="21" t="s">
        <v>219</v>
      </c>
      <c r="D2154" s="21" t="s">
        <v>51</v>
      </c>
      <c r="E2154" s="21">
        <v>10.0</v>
      </c>
      <c r="F2154" s="21" t="s">
        <v>2289</v>
      </c>
      <c r="G2154" s="19"/>
      <c r="H2154" s="19"/>
      <c r="I2154" s="19"/>
    </row>
    <row r="2155" ht="56.25" customHeight="1">
      <c r="A2155" s="21" t="s">
        <v>5028</v>
      </c>
      <c r="B2155" s="19" t="str">
        <f>image("https://storage.googleapis.com/acdb/photos/BromideNpcNmlHrs08_Remake_1_0.png")</f>
        <v/>
      </c>
      <c r="C2155" s="21" t="s">
        <v>795</v>
      </c>
      <c r="D2155" s="21" t="s">
        <v>51</v>
      </c>
      <c r="E2155" s="21">
        <v>10.0</v>
      </c>
      <c r="F2155" s="21" t="s">
        <v>2289</v>
      </c>
      <c r="G2155" s="19"/>
      <c r="H2155" s="19"/>
      <c r="I2155" s="19"/>
    </row>
    <row r="2156" ht="56.25" customHeight="1">
      <c r="A2156" s="21" t="s">
        <v>5028</v>
      </c>
      <c r="B2156" s="19" t="str">
        <f>image("https://storage.googleapis.com/acdb/photos/BromideNpcNmlHrs08_Remake_2_0.png")</f>
        <v/>
      </c>
      <c r="C2156" s="21" t="s">
        <v>954</v>
      </c>
      <c r="D2156" s="21" t="s">
        <v>51</v>
      </c>
      <c r="E2156" s="21">
        <v>10.0</v>
      </c>
      <c r="F2156" s="21" t="s">
        <v>2289</v>
      </c>
      <c r="G2156" s="19"/>
      <c r="H2156" s="19"/>
      <c r="I2156" s="19"/>
    </row>
    <row r="2157" ht="56.25" customHeight="1">
      <c r="A2157" s="21" t="s">
        <v>5028</v>
      </c>
      <c r="B2157" s="19" t="str">
        <f>image("https://storage.googleapis.com/acdb/photos/BromideNpcNmlHrs08_Remake_3_0.png")</f>
        <v/>
      </c>
      <c r="C2157" s="21" t="s">
        <v>82</v>
      </c>
      <c r="D2157" s="21" t="s">
        <v>51</v>
      </c>
      <c r="E2157" s="21">
        <v>10.0</v>
      </c>
      <c r="F2157" s="21" t="s">
        <v>2289</v>
      </c>
      <c r="G2157" s="19"/>
      <c r="H2157" s="19"/>
      <c r="I2157" s="19"/>
    </row>
    <row r="2158" ht="56.25" customHeight="1">
      <c r="A2158" s="21" t="s">
        <v>5028</v>
      </c>
      <c r="B2158" s="19" t="str">
        <f>image("https://storage.googleapis.com/acdb/photos/BromideNpcNmlHrs08_Remake_4_0.png")</f>
        <v/>
      </c>
      <c r="C2158" s="21" t="s">
        <v>833</v>
      </c>
      <c r="D2158" s="21" t="s">
        <v>51</v>
      </c>
      <c r="E2158" s="21">
        <v>10.0</v>
      </c>
      <c r="F2158" s="21" t="s">
        <v>2289</v>
      </c>
      <c r="G2158" s="19"/>
      <c r="H2158" s="19"/>
      <c r="I2158" s="19"/>
    </row>
    <row r="2159" ht="56.25" customHeight="1">
      <c r="A2159" s="21" t="s">
        <v>5028</v>
      </c>
      <c r="B2159" s="19" t="str">
        <f>image("https://storage.googleapis.com/acdb/photos/BromideNpcNmlHrs08_Remake_5_0.png")</f>
        <v/>
      </c>
      <c r="C2159" s="21" t="s">
        <v>258</v>
      </c>
      <c r="D2159" s="21" t="s">
        <v>51</v>
      </c>
      <c r="E2159" s="21">
        <v>10.0</v>
      </c>
      <c r="F2159" s="21" t="s">
        <v>2289</v>
      </c>
      <c r="G2159" s="19"/>
      <c r="H2159" s="19"/>
      <c r="I2159" s="19"/>
    </row>
    <row r="2160" ht="56.25" customHeight="1">
      <c r="A2160" s="21" t="s">
        <v>5028</v>
      </c>
      <c r="B2160" s="19" t="str">
        <f>image("https://storage.googleapis.com/acdb/photos/BromideNpcNmlHrs08_Remake_6_0.png")</f>
        <v/>
      </c>
      <c r="C2160" s="21" t="s">
        <v>182</v>
      </c>
      <c r="D2160" s="21" t="s">
        <v>51</v>
      </c>
      <c r="E2160" s="21">
        <v>10.0</v>
      </c>
      <c r="F2160" s="21" t="s">
        <v>2289</v>
      </c>
      <c r="G2160" s="19"/>
      <c r="H2160" s="19"/>
      <c r="I2160" s="19"/>
    </row>
    <row r="2161" ht="56.25" customHeight="1">
      <c r="A2161" s="21" t="s">
        <v>5028</v>
      </c>
      <c r="B2161" s="19" t="str">
        <f>image("https://storage.googleapis.com/acdb/photos/BromideNpcNmlHrs08_Remake_7_0.png")</f>
        <v/>
      </c>
      <c r="C2161" s="21" t="s">
        <v>187</v>
      </c>
      <c r="D2161" s="21" t="s">
        <v>51</v>
      </c>
      <c r="E2161" s="21">
        <v>10.0</v>
      </c>
      <c r="F2161" s="21" t="s">
        <v>2289</v>
      </c>
      <c r="G2161" s="19"/>
      <c r="H2161" s="19"/>
      <c r="I2161" s="19"/>
    </row>
    <row r="2162" ht="56.25" customHeight="1">
      <c r="A2162" s="21" t="s">
        <v>5037</v>
      </c>
      <c r="B2162" s="19" t="str">
        <f>image("https://storage.googleapis.com/acdb/photos/BromideNpcNmlSqu00_Remake_0_0.png")</f>
        <v/>
      </c>
      <c r="C2162" s="21" t="s">
        <v>219</v>
      </c>
      <c r="D2162" s="21" t="s">
        <v>51</v>
      </c>
      <c r="E2162" s="21">
        <v>10.0</v>
      </c>
      <c r="F2162" s="21" t="s">
        <v>2289</v>
      </c>
      <c r="G2162" s="19"/>
      <c r="H2162" s="19"/>
      <c r="I2162" s="19"/>
    </row>
    <row r="2163" ht="56.25" customHeight="1">
      <c r="A2163" s="21" t="s">
        <v>5037</v>
      </c>
      <c r="B2163" s="19" t="str">
        <f>image("https://storage.googleapis.com/acdb/photos/BromideNpcNmlSqu00_Remake_1_0.png")</f>
        <v/>
      </c>
      <c r="C2163" s="21" t="s">
        <v>795</v>
      </c>
      <c r="D2163" s="21" t="s">
        <v>51</v>
      </c>
      <c r="E2163" s="21">
        <v>10.0</v>
      </c>
      <c r="F2163" s="21" t="s">
        <v>2289</v>
      </c>
      <c r="G2163" s="19"/>
      <c r="H2163" s="19"/>
      <c r="I2163" s="19"/>
    </row>
    <row r="2164" ht="56.25" customHeight="1">
      <c r="A2164" s="21" t="s">
        <v>5037</v>
      </c>
      <c r="B2164" s="19" t="str">
        <f>image("https://storage.googleapis.com/acdb/photos/BromideNpcNmlSqu00_Remake_2_0.png")</f>
        <v/>
      </c>
      <c r="C2164" s="21" t="s">
        <v>954</v>
      </c>
      <c r="D2164" s="21" t="s">
        <v>51</v>
      </c>
      <c r="E2164" s="21">
        <v>10.0</v>
      </c>
      <c r="F2164" s="21" t="s">
        <v>2289</v>
      </c>
      <c r="G2164" s="19"/>
      <c r="H2164" s="19"/>
      <c r="I2164" s="19"/>
    </row>
    <row r="2165" ht="56.25" customHeight="1">
      <c r="A2165" s="21" t="s">
        <v>5037</v>
      </c>
      <c r="B2165" s="19" t="str">
        <f>image("https://storage.googleapis.com/acdb/photos/BromideNpcNmlSqu00_Remake_3_0.png")</f>
        <v/>
      </c>
      <c r="C2165" s="21" t="s">
        <v>82</v>
      </c>
      <c r="D2165" s="21" t="s">
        <v>51</v>
      </c>
      <c r="E2165" s="21">
        <v>10.0</v>
      </c>
      <c r="F2165" s="21" t="s">
        <v>2289</v>
      </c>
      <c r="G2165" s="19"/>
      <c r="H2165" s="19"/>
      <c r="I2165" s="19"/>
    </row>
    <row r="2166" ht="56.25" customHeight="1">
      <c r="A2166" s="21" t="s">
        <v>5037</v>
      </c>
      <c r="B2166" s="19" t="str">
        <f>image("https://storage.googleapis.com/acdb/photos/BromideNpcNmlSqu00_Remake_4_0.png")</f>
        <v/>
      </c>
      <c r="C2166" s="21" t="s">
        <v>833</v>
      </c>
      <c r="D2166" s="21" t="s">
        <v>51</v>
      </c>
      <c r="E2166" s="21">
        <v>10.0</v>
      </c>
      <c r="F2166" s="21" t="s">
        <v>2289</v>
      </c>
      <c r="G2166" s="19"/>
      <c r="H2166" s="19"/>
      <c r="I2166" s="19"/>
    </row>
    <row r="2167" ht="56.25" customHeight="1">
      <c r="A2167" s="21" t="s">
        <v>5037</v>
      </c>
      <c r="B2167" s="19" t="str">
        <f>image("https://storage.googleapis.com/acdb/photos/BromideNpcNmlSqu00_Remake_5_0.png")</f>
        <v/>
      </c>
      <c r="C2167" s="21" t="s">
        <v>258</v>
      </c>
      <c r="D2167" s="21" t="s">
        <v>51</v>
      </c>
      <c r="E2167" s="21">
        <v>10.0</v>
      </c>
      <c r="F2167" s="21" t="s">
        <v>2289</v>
      </c>
      <c r="G2167" s="19"/>
      <c r="H2167" s="19"/>
      <c r="I2167" s="19"/>
    </row>
    <row r="2168" ht="56.25" customHeight="1">
      <c r="A2168" s="21" t="s">
        <v>5037</v>
      </c>
      <c r="B2168" s="19" t="str">
        <f>image("https://storage.googleapis.com/acdb/photos/BromideNpcNmlSqu00_Remake_6_0.png")</f>
        <v/>
      </c>
      <c r="C2168" s="21" t="s">
        <v>182</v>
      </c>
      <c r="D2168" s="21" t="s">
        <v>51</v>
      </c>
      <c r="E2168" s="21">
        <v>10.0</v>
      </c>
      <c r="F2168" s="21" t="s">
        <v>2289</v>
      </c>
      <c r="G2168" s="19"/>
      <c r="H2168" s="19"/>
      <c r="I2168" s="19"/>
    </row>
    <row r="2169" ht="56.25" customHeight="1">
      <c r="A2169" s="21" t="s">
        <v>5037</v>
      </c>
      <c r="B2169" s="19" t="str">
        <f>image("https://storage.googleapis.com/acdb/photos/BromideNpcNmlSqu00_Remake_7_0.png")</f>
        <v/>
      </c>
      <c r="C2169" s="21" t="s">
        <v>187</v>
      </c>
      <c r="D2169" s="21" t="s">
        <v>51</v>
      </c>
      <c r="E2169" s="21">
        <v>10.0</v>
      </c>
      <c r="F2169" s="21" t="s">
        <v>2289</v>
      </c>
      <c r="G2169" s="19"/>
      <c r="H2169" s="19"/>
      <c r="I2169" s="19"/>
    </row>
    <row r="2170" ht="56.25" customHeight="1">
      <c r="A2170" s="21" t="s">
        <v>5050</v>
      </c>
      <c r="B2170" s="19" t="str">
        <f>image("https://storage.googleapis.com/acdb/photos/BromideNpcNmlSqu03_Remake_0_0.png")</f>
        <v/>
      </c>
      <c r="C2170" s="21" t="s">
        <v>219</v>
      </c>
      <c r="D2170" s="21" t="s">
        <v>51</v>
      </c>
      <c r="E2170" s="21">
        <v>10.0</v>
      </c>
      <c r="F2170" s="21" t="s">
        <v>2289</v>
      </c>
      <c r="G2170" s="19"/>
      <c r="H2170" s="19"/>
      <c r="I2170" s="19"/>
    </row>
    <row r="2171" ht="56.25" customHeight="1">
      <c r="A2171" s="21" t="s">
        <v>5050</v>
      </c>
      <c r="B2171" s="19" t="str">
        <f>image("https://storage.googleapis.com/acdb/photos/BromideNpcNmlSqu03_Remake_1_0.png")</f>
        <v/>
      </c>
      <c r="C2171" s="21" t="s">
        <v>795</v>
      </c>
      <c r="D2171" s="21" t="s">
        <v>51</v>
      </c>
      <c r="E2171" s="21">
        <v>10.0</v>
      </c>
      <c r="F2171" s="21" t="s">
        <v>2289</v>
      </c>
      <c r="G2171" s="19"/>
      <c r="H2171" s="19"/>
      <c r="I2171" s="19"/>
    </row>
    <row r="2172" ht="56.25" customHeight="1">
      <c r="A2172" s="21" t="s">
        <v>5050</v>
      </c>
      <c r="B2172" s="19" t="str">
        <f>image("https://storage.googleapis.com/acdb/photos/BromideNpcNmlSqu03_Remake_2_0.png")</f>
        <v/>
      </c>
      <c r="C2172" s="21" t="s">
        <v>954</v>
      </c>
      <c r="D2172" s="21" t="s">
        <v>51</v>
      </c>
      <c r="E2172" s="21">
        <v>10.0</v>
      </c>
      <c r="F2172" s="21" t="s">
        <v>2289</v>
      </c>
      <c r="G2172" s="19"/>
      <c r="H2172" s="19"/>
      <c r="I2172" s="19"/>
    </row>
    <row r="2173" ht="56.25" customHeight="1">
      <c r="A2173" s="21" t="s">
        <v>5050</v>
      </c>
      <c r="B2173" s="19" t="str">
        <f>image("https://storage.googleapis.com/acdb/photos/BromideNpcNmlSqu03_Remake_3_0.png")</f>
        <v/>
      </c>
      <c r="C2173" s="21" t="s">
        <v>82</v>
      </c>
      <c r="D2173" s="21" t="s">
        <v>51</v>
      </c>
      <c r="E2173" s="21">
        <v>10.0</v>
      </c>
      <c r="F2173" s="21" t="s">
        <v>2289</v>
      </c>
      <c r="G2173" s="19"/>
      <c r="H2173" s="19"/>
      <c r="I2173" s="19"/>
    </row>
    <row r="2174" ht="56.25" customHeight="1">
      <c r="A2174" s="21" t="s">
        <v>5050</v>
      </c>
      <c r="B2174" s="19" t="str">
        <f>image("https://storage.googleapis.com/acdb/photos/BromideNpcNmlSqu03_Remake_4_0.png")</f>
        <v/>
      </c>
      <c r="C2174" s="21" t="s">
        <v>833</v>
      </c>
      <c r="D2174" s="21" t="s">
        <v>51</v>
      </c>
      <c r="E2174" s="21">
        <v>10.0</v>
      </c>
      <c r="F2174" s="21" t="s">
        <v>2289</v>
      </c>
      <c r="G2174" s="19"/>
      <c r="H2174" s="19"/>
      <c r="I2174" s="19"/>
    </row>
    <row r="2175" ht="56.25" customHeight="1">
      <c r="A2175" s="21" t="s">
        <v>5050</v>
      </c>
      <c r="B2175" s="19" t="str">
        <f>image("https://storage.googleapis.com/acdb/photos/BromideNpcNmlSqu03_Remake_5_0.png")</f>
        <v/>
      </c>
      <c r="C2175" s="21" t="s">
        <v>258</v>
      </c>
      <c r="D2175" s="21" t="s">
        <v>51</v>
      </c>
      <c r="E2175" s="21">
        <v>10.0</v>
      </c>
      <c r="F2175" s="21" t="s">
        <v>2289</v>
      </c>
      <c r="G2175" s="19"/>
      <c r="H2175" s="19"/>
      <c r="I2175" s="19"/>
    </row>
    <row r="2176" ht="56.25" customHeight="1">
      <c r="A2176" s="21" t="s">
        <v>5050</v>
      </c>
      <c r="B2176" s="19" t="str">
        <f>image("https://storage.googleapis.com/acdb/photos/BromideNpcNmlSqu03_Remake_6_0.png")</f>
        <v/>
      </c>
      <c r="C2176" s="21" t="s">
        <v>182</v>
      </c>
      <c r="D2176" s="21" t="s">
        <v>51</v>
      </c>
      <c r="E2176" s="21">
        <v>10.0</v>
      </c>
      <c r="F2176" s="21" t="s">
        <v>2289</v>
      </c>
      <c r="G2176" s="19"/>
      <c r="H2176" s="19"/>
      <c r="I2176" s="19"/>
    </row>
    <row r="2177" ht="56.25" customHeight="1">
      <c r="A2177" s="21" t="s">
        <v>5050</v>
      </c>
      <c r="B2177" s="19" t="str">
        <f>image("https://storage.googleapis.com/acdb/photos/BromideNpcNmlSqu03_Remake_7_0.png")</f>
        <v/>
      </c>
      <c r="C2177" s="21" t="s">
        <v>187</v>
      </c>
      <c r="D2177" s="21" t="s">
        <v>51</v>
      </c>
      <c r="E2177" s="21">
        <v>10.0</v>
      </c>
      <c r="F2177" s="21" t="s">
        <v>2289</v>
      </c>
      <c r="G2177" s="19"/>
      <c r="H2177" s="19"/>
      <c r="I2177" s="19"/>
    </row>
    <row r="2178" ht="56.25" customHeight="1">
      <c r="A2178" s="21" t="s">
        <v>5060</v>
      </c>
      <c r="B2178" s="19" t="str">
        <f>image("https://storage.googleapis.com/acdb/photos/BromideNpcNmlBrd17_Remake_0_0.png")</f>
        <v/>
      </c>
      <c r="C2178" s="21" t="s">
        <v>219</v>
      </c>
      <c r="D2178" s="21" t="s">
        <v>51</v>
      </c>
      <c r="E2178" s="21">
        <v>10.0</v>
      </c>
      <c r="F2178" s="21" t="s">
        <v>2289</v>
      </c>
      <c r="G2178" s="19"/>
      <c r="H2178" s="19"/>
      <c r="I2178" s="19"/>
    </row>
    <row r="2179" ht="56.25" customHeight="1">
      <c r="A2179" s="21" t="s">
        <v>5060</v>
      </c>
      <c r="B2179" s="19" t="str">
        <f>image("https://storage.googleapis.com/acdb/photos/BromideNpcNmlBrd17_Remake_1_0.png")</f>
        <v/>
      </c>
      <c r="C2179" s="21" t="s">
        <v>795</v>
      </c>
      <c r="D2179" s="21" t="s">
        <v>51</v>
      </c>
      <c r="E2179" s="21">
        <v>10.0</v>
      </c>
      <c r="F2179" s="21" t="s">
        <v>2289</v>
      </c>
      <c r="G2179" s="19"/>
      <c r="H2179" s="19"/>
      <c r="I2179" s="19"/>
    </row>
    <row r="2180" ht="56.25" customHeight="1">
      <c r="A2180" s="21" t="s">
        <v>5060</v>
      </c>
      <c r="B2180" s="19" t="str">
        <f>image("https://storage.googleapis.com/acdb/photos/BromideNpcNmlBrd17_Remake_2_0.png")</f>
        <v/>
      </c>
      <c r="C2180" s="21" t="s">
        <v>954</v>
      </c>
      <c r="D2180" s="21" t="s">
        <v>51</v>
      </c>
      <c r="E2180" s="21">
        <v>10.0</v>
      </c>
      <c r="F2180" s="21" t="s">
        <v>2289</v>
      </c>
      <c r="G2180" s="19"/>
      <c r="H2180" s="19"/>
      <c r="I2180" s="19"/>
    </row>
    <row r="2181" ht="56.25" customHeight="1">
      <c r="A2181" s="21" t="s">
        <v>5060</v>
      </c>
      <c r="B2181" s="19" t="str">
        <f>image("https://storage.googleapis.com/acdb/photos/BromideNpcNmlBrd17_Remake_3_0.png")</f>
        <v/>
      </c>
      <c r="C2181" s="21" t="s">
        <v>82</v>
      </c>
      <c r="D2181" s="21" t="s">
        <v>51</v>
      </c>
      <c r="E2181" s="21">
        <v>10.0</v>
      </c>
      <c r="F2181" s="21" t="s">
        <v>2289</v>
      </c>
      <c r="G2181" s="19"/>
      <c r="H2181" s="19"/>
      <c r="I2181" s="19"/>
    </row>
    <row r="2182" ht="56.25" customHeight="1">
      <c r="A2182" s="21" t="s">
        <v>5060</v>
      </c>
      <c r="B2182" s="19" t="str">
        <f>image("https://storage.googleapis.com/acdb/photos/BromideNpcNmlBrd17_Remake_4_0.png")</f>
        <v/>
      </c>
      <c r="C2182" s="21" t="s">
        <v>833</v>
      </c>
      <c r="D2182" s="21" t="s">
        <v>51</v>
      </c>
      <c r="E2182" s="21">
        <v>10.0</v>
      </c>
      <c r="F2182" s="21" t="s">
        <v>2289</v>
      </c>
      <c r="G2182" s="19"/>
      <c r="H2182" s="19"/>
      <c r="I2182" s="19"/>
    </row>
    <row r="2183" ht="56.25" customHeight="1">
      <c r="A2183" s="21" t="s">
        <v>5060</v>
      </c>
      <c r="B2183" s="19" t="str">
        <f>image("https://storage.googleapis.com/acdb/photos/BromideNpcNmlBrd17_Remake_5_0.png")</f>
        <v/>
      </c>
      <c r="C2183" s="21" t="s">
        <v>258</v>
      </c>
      <c r="D2183" s="21" t="s">
        <v>51</v>
      </c>
      <c r="E2183" s="21">
        <v>10.0</v>
      </c>
      <c r="F2183" s="21" t="s">
        <v>2289</v>
      </c>
      <c r="G2183" s="19"/>
      <c r="H2183" s="19"/>
      <c r="I2183" s="19"/>
    </row>
    <row r="2184" ht="56.25" customHeight="1">
      <c r="A2184" s="21" t="s">
        <v>5060</v>
      </c>
      <c r="B2184" s="19" t="str">
        <f>image("https://storage.googleapis.com/acdb/photos/BromideNpcNmlBrd17_Remake_6_0.png")</f>
        <v/>
      </c>
      <c r="C2184" s="21" t="s">
        <v>182</v>
      </c>
      <c r="D2184" s="21" t="s">
        <v>51</v>
      </c>
      <c r="E2184" s="21">
        <v>10.0</v>
      </c>
      <c r="F2184" s="21" t="s">
        <v>2289</v>
      </c>
      <c r="G2184" s="19"/>
      <c r="H2184" s="19"/>
      <c r="I2184" s="19"/>
    </row>
    <row r="2185" ht="56.25" customHeight="1">
      <c r="A2185" s="21" t="s">
        <v>5060</v>
      </c>
      <c r="B2185" s="19" t="str">
        <f>image("https://storage.googleapis.com/acdb/photos/BromideNpcNmlBrd17_Remake_7_0.png")</f>
        <v/>
      </c>
      <c r="C2185" s="21" t="s">
        <v>187</v>
      </c>
      <c r="D2185" s="21" t="s">
        <v>51</v>
      </c>
      <c r="E2185" s="21">
        <v>10.0</v>
      </c>
      <c r="F2185" s="21" t="s">
        <v>2289</v>
      </c>
      <c r="G2185" s="19"/>
      <c r="H2185" s="19"/>
      <c r="I2185" s="19"/>
    </row>
    <row r="2186" ht="56.25" customHeight="1">
      <c r="A2186" s="21" t="s">
        <v>5073</v>
      </c>
      <c r="B2186" s="19" t="str">
        <f>image("https://storage.googleapis.com/acdb/photos/BromideNpcNmlGor01_Remake_0_0.png")</f>
        <v/>
      </c>
      <c r="C2186" s="21" t="s">
        <v>219</v>
      </c>
      <c r="D2186" s="21" t="s">
        <v>51</v>
      </c>
      <c r="E2186" s="21">
        <v>10.0</v>
      </c>
      <c r="F2186" s="21" t="s">
        <v>2289</v>
      </c>
      <c r="G2186" s="19"/>
      <c r="H2186" s="19"/>
      <c r="I2186" s="19"/>
    </row>
    <row r="2187" ht="56.25" customHeight="1">
      <c r="A2187" s="21" t="s">
        <v>5073</v>
      </c>
      <c r="B2187" s="19" t="str">
        <f>image("https://storage.googleapis.com/acdb/photos/BromideNpcNmlGor01_Remake_1_0.png")</f>
        <v/>
      </c>
      <c r="C2187" s="21" t="s">
        <v>795</v>
      </c>
      <c r="D2187" s="21" t="s">
        <v>51</v>
      </c>
      <c r="E2187" s="21">
        <v>10.0</v>
      </c>
      <c r="F2187" s="21" t="s">
        <v>2289</v>
      </c>
      <c r="G2187" s="19"/>
      <c r="H2187" s="19"/>
      <c r="I2187" s="19"/>
    </row>
    <row r="2188" ht="56.25" customHeight="1">
      <c r="A2188" s="21" t="s">
        <v>5073</v>
      </c>
      <c r="B2188" s="19" t="str">
        <f>image("https://storage.googleapis.com/acdb/photos/BromideNpcNmlGor01_Remake_2_0.png")</f>
        <v/>
      </c>
      <c r="C2188" s="21" t="s">
        <v>954</v>
      </c>
      <c r="D2188" s="21" t="s">
        <v>51</v>
      </c>
      <c r="E2188" s="21">
        <v>10.0</v>
      </c>
      <c r="F2188" s="21" t="s">
        <v>2289</v>
      </c>
      <c r="G2188" s="19"/>
      <c r="H2188" s="19"/>
      <c r="I2188" s="19"/>
    </row>
    <row r="2189" ht="56.25" customHeight="1">
      <c r="A2189" s="21" t="s">
        <v>5073</v>
      </c>
      <c r="B2189" s="19" t="str">
        <f>image("https://storage.googleapis.com/acdb/photos/BromideNpcNmlGor01_Remake_3_0.png")</f>
        <v/>
      </c>
      <c r="C2189" s="21" t="s">
        <v>82</v>
      </c>
      <c r="D2189" s="21" t="s">
        <v>51</v>
      </c>
      <c r="E2189" s="21">
        <v>10.0</v>
      </c>
      <c r="F2189" s="21" t="s">
        <v>2289</v>
      </c>
      <c r="G2189" s="19"/>
      <c r="H2189" s="19"/>
      <c r="I2189" s="19"/>
    </row>
    <row r="2190" ht="56.25" customHeight="1">
      <c r="A2190" s="21" t="s">
        <v>5073</v>
      </c>
      <c r="B2190" s="19" t="str">
        <f>image("https://storage.googleapis.com/acdb/photos/BromideNpcNmlGor01_Remake_4_0.png")</f>
        <v/>
      </c>
      <c r="C2190" s="21" t="s">
        <v>833</v>
      </c>
      <c r="D2190" s="21" t="s">
        <v>51</v>
      </c>
      <c r="E2190" s="21">
        <v>10.0</v>
      </c>
      <c r="F2190" s="21" t="s">
        <v>2289</v>
      </c>
      <c r="G2190" s="19"/>
      <c r="H2190" s="19"/>
      <c r="I2190" s="19"/>
    </row>
    <row r="2191" ht="56.25" customHeight="1">
      <c r="A2191" s="21" t="s">
        <v>5073</v>
      </c>
      <c r="B2191" s="19" t="str">
        <f>image("https://storage.googleapis.com/acdb/photos/BromideNpcNmlGor01_Remake_5_0.png")</f>
        <v/>
      </c>
      <c r="C2191" s="21" t="s">
        <v>258</v>
      </c>
      <c r="D2191" s="21" t="s">
        <v>51</v>
      </c>
      <c r="E2191" s="21">
        <v>10.0</v>
      </c>
      <c r="F2191" s="21" t="s">
        <v>2289</v>
      </c>
      <c r="G2191" s="19"/>
      <c r="H2191" s="19"/>
      <c r="I2191" s="19"/>
    </row>
    <row r="2192" ht="56.25" customHeight="1">
      <c r="A2192" s="21" t="s">
        <v>5073</v>
      </c>
      <c r="B2192" s="19" t="str">
        <f>image("https://storage.googleapis.com/acdb/photos/BromideNpcNmlGor01_Remake_6_0.png")</f>
        <v/>
      </c>
      <c r="C2192" s="21" t="s">
        <v>182</v>
      </c>
      <c r="D2192" s="21" t="s">
        <v>51</v>
      </c>
      <c r="E2192" s="21">
        <v>10.0</v>
      </c>
      <c r="F2192" s="21" t="s">
        <v>2289</v>
      </c>
      <c r="G2192" s="19"/>
      <c r="H2192" s="19"/>
      <c r="I2192" s="19"/>
    </row>
    <row r="2193" ht="56.25" customHeight="1">
      <c r="A2193" s="21" t="s">
        <v>5073</v>
      </c>
      <c r="B2193" s="19" t="str">
        <f>image("https://storage.googleapis.com/acdb/photos/BromideNpcNmlGor01_Remake_7_0.png")</f>
        <v/>
      </c>
      <c r="C2193" s="21" t="s">
        <v>187</v>
      </c>
      <c r="D2193" s="21" t="s">
        <v>51</v>
      </c>
      <c r="E2193" s="21">
        <v>10.0</v>
      </c>
      <c r="F2193" s="21" t="s">
        <v>2289</v>
      </c>
      <c r="G2193" s="19"/>
      <c r="H2193" s="19"/>
      <c r="I2193" s="19"/>
    </row>
    <row r="2194" ht="56.25" customHeight="1">
      <c r="A2194" s="21" t="s">
        <v>5088</v>
      </c>
      <c r="B2194" s="19" t="str">
        <f>image("https://storage.googleapis.com/acdb/photos/BromideNpcNmlPig11_Remake_0_0.png")</f>
        <v/>
      </c>
      <c r="C2194" s="21" t="s">
        <v>219</v>
      </c>
      <c r="D2194" s="21" t="s">
        <v>51</v>
      </c>
      <c r="E2194" s="21">
        <v>10.0</v>
      </c>
      <c r="F2194" s="21" t="s">
        <v>2289</v>
      </c>
      <c r="G2194" s="19"/>
      <c r="H2194" s="19"/>
      <c r="I2194" s="19"/>
    </row>
    <row r="2195" ht="56.25" customHeight="1">
      <c r="A2195" s="21" t="s">
        <v>5088</v>
      </c>
      <c r="B2195" s="19" t="str">
        <f>image("https://storage.googleapis.com/acdb/photos/BromideNpcNmlPig11_Remake_1_0.png")</f>
        <v/>
      </c>
      <c r="C2195" s="21" t="s">
        <v>795</v>
      </c>
      <c r="D2195" s="21" t="s">
        <v>51</v>
      </c>
      <c r="E2195" s="21">
        <v>10.0</v>
      </c>
      <c r="F2195" s="21" t="s">
        <v>2289</v>
      </c>
      <c r="G2195" s="19"/>
      <c r="H2195" s="19"/>
      <c r="I2195" s="19"/>
    </row>
    <row r="2196" ht="56.25" customHeight="1">
      <c r="A2196" s="21" t="s">
        <v>5088</v>
      </c>
      <c r="B2196" s="19" t="str">
        <f>image("https://storage.googleapis.com/acdb/photos/BromideNpcNmlPig11_Remake_2_0.png")</f>
        <v/>
      </c>
      <c r="C2196" s="21" t="s">
        <v>954</v>
      </c>
      <c r="D2196" s="21" t="s">
        <v>51</v>
      </c>
      <c r="E2196" s="21">
        <v>10.0</v>
      </c>
      <c r="F2196" s="21" t="s">
        <v>2289</v>
      </c>
      <c r="G2196" s="19"/>
      <c r="H2196" s="19"/>
      <c r="I2196" s="19"/>
    </row>
    <row r="2197" ht="56.25" customHeight="1">
      <c r="A2197" s="21" t="s">
        <v>5088</v>
      </c>
      <c r="B2197" s="19" t="str">
        <f>image("https://storage.googleapis.com/acdb/photos/BromideNpcNmlPig11_Remake_3_0.png")</f>
        <v/>
      </c>
      <c r="C2197" s="21" t="s">
        <v>82</v>
      </c>
      <c r="D2197" s="21" t="s">
        <v>51</v>
      </c>
      <c r="E2197" s="21">
        <v>10.0</v>
      </c>
      <c r="F2197" s="21" t="s">
        <v>2289</v>
      </c>
      <c r="G2197" s="19"/>
      <c r="H2197" s="19"/>
      <c r="I2197" s="19"/>
    </row>
    <row r="2198" ht="56.25" customHeight="1">
      <c r="A2198" s="21" t="s">
        <v>5088</v>
      </c>
      <c r="B2198" s="19" t="str">
        <f>image("https://storage.googleapis.com/acdb/photos/BromideNpcNmlPig11_Remake_4_0.png")</f>
        <v/>
      </c>
      <c r="C2198" s="21" t="s">
        <v>833</v>
      </c>
      <c r="D2198" s="21" t="s">
        <v>51</v>
      </c>
      <c r="E2198" s="21">
        <v>10.0</v>
      </c>
      <c r="F2198" s="21" t="s">
        <v>2289</v>
      </c>
      <c r="G2198" s="19"/>
      <c r="H2198" s="19"/>
      <c r="I2198" s="19"/>
    </row>
    <row r="2199" ht="56.25" customHeight="1">
      <c r="A2199" s="21" t="s">
        <v>5088</v>
      </c>
      <c r="B2199" s="19" t="str">
        <f>image("https://storage.googleapis.com/acdb/photos/BromideNpcNmlPig11_Remake_5_0.png")</f>
        <v/>
      </c>
      <c r="C2199" s="21" t="s">
        <v>258</v>
      </c>
      <c r="D2199" s="21" t="s">
        <v>51</v>
      </c>
      <c r="E2199" s="21">
        <v>10.0</v>
      </c>
      <c r="F2199" s="21" t="s">
        <v>2289</v>
      </c>
      <c r="G2199" s="19"/>
      <c r="H2199" s="19"/>
      <c r="I2199" s="19"/>
    </row>
    <row r="2200" ht="56.25" customHeight="1">
      <c r="A2200" s="21" t="s">
        <v>5088</v>
      </c>
      <c r="B2200" s="19" t="str">
        <f>image("https://storage.googleapis.com/acdb/photos/BromideNpcNmlPig11_Remake_6_0.png")</f>
        <v/>
      </c>
      <c r="C2200" s="21" t="s">
        <v>182</v>
      </c>
      <c r="D2200" s="21" t="s">
        <v>51</v>
      </c>
      <c r="E2200" s="21">
        <v>10.0</v>
      </c>
      <c r="F2200" s="21" t="s">
        <v>2289</v>
      </c>
      <c r="G2200" s="19"/>
      <c r="H2200" s="19"/>
      <c r="I2200" s="19"/>
    </row>
    <row r="2201" ht="56.25" customHeight="1">
      <c r="A2201" s="21" t="s">
        <v>5088</v>
      </c>
      <c r="B2201" s="19" t="str">
        <f>image("https://storage.googleapis.com/acdb/photos/BromideNpcNmlPig11_Remake_7_0.png")</f>
        <v/>
      </c>
      <c r="C2201" s="21" t="s">
        <v>187</v>
      </c>
      <c r="D2201" s="21" t="s">
        <v>51</v>
      </c>
      <c r="E2201" s="21">
        <v>10.0</v>
      </c>
      <c r="F2201" s="21" t="s">
        <v>2289</v>
      </c>
      <c r="G2201" s="19"/>
      <c r="H2201" s="19"/>
      <c r="I2201" s="19"/>
    </row>
    <row r="2202" ht="56.25" customHeight="1">
      <c r="A2202" s="21" t="s">
        <v>5103</v>
      </c>
      <c r="B2202" s="19" t="str">
        <f>image("https://storage.googleapis.com/acdb/photos/BromideNpcNmlCbr14_Remake_0_0.png")</f>
        <v/>
      </c>
      <c r="C2202" s="21" t="s">
        <v>219</v>
      </c>
      <c r="D2202" s="21" t="s">
        <v>51</v>
      </c>
      <c r="E2202" s="21">
        <v>10.0</v>
      </c>
      <c r="F2202" s="21" t="s">
        <v>2289</v>
      </c>
      <c r="G2202" s="19"/>
      <c r="H2202" s="19"/>
      <c r="I2202" s="19"/>
    </row>
    <row r="2203" ht="56.25" customHeight="1">
      <c r="A2203" s="21" t="s">
        <v>5103</v>
      </c>
      <c r="B2203" s="19" t="str">
        <f>image("https://storage.googleapis.com/acdb/photos/BromideNpcNmlCbr14_Remake_1_0.png")</f>
        <v/>
      </c>
      <c r="C2203" s="21" t="s">
        <v>795</v>
      </c>
      <c r="D2203" s="21" t="s">
        <v>51</v>
      </c>
      <c r="E2203" s="21">
        <v>10.0</v>
      </c>
      <c r="F2203" s="21" t="s">
        <v>2289</v>
      </c>
      <c r="G2203" s="19"/>
      <c r="H2203" s="19"/>
      <c r="I2203" s="19"/>
    </row>
    <row r="2204" ht="56.25" customHeight="1">
      <c r="A2204" s="21" t="s">
        <v>5103</v>
      </c>
      <c r="B2204" s="19" t="str">
        <f>image("https://storage.googleapis.com/acdb/photos/BromideNpcNmlCbr14_Remake_2_0.png")</f>
        <v/>
      </c>
      <c r="C2204" s="21" t="s">
        <v>954</v>
      </c>
      <c r="D2204" s="21" t="s">
        <v>51</v>
      </c>
      <c r="E2204" s="21">
        <v>10.0</v>
      </c>
      <c r="F2204" s="21" t="s">
        <v>2289</v>
      </c>
      <c r="G2204" s="19"/>
      <c r="H2204" s="19"/>
      <c r="I2204" s="19"/>
    </row>
    <row r="2205" ht="56.25" customHeight="1">
      <c r="A2205" s="21" t="s">
        <v>5103</v>
      </c>
      <c r="B2205" s="19" t="str">
        <f>image("https://storage.googleapis.com/acdb/photos/BromideNpcNmlCbr14_Remake_3_0.png")</f>
        <v/>
      </c>
      <c r="C2205" s="21" t="s">
        <v>82</v>
      </c>
      <c r="D2205" s="21" t="s">
        <v>51</v>
      </c>
      <c r="E2205" s="21">
        <v>10.0</v>
      </c>
      <c r="F2205" s="21" t="s">
        <v>2289</v>
      </c>
      <c r="G2205" s="19"/>
      <c r="H2205" s="19"/>
      <c r="I2205" s="19"/>
    </row>
    <row r="2206" ht="56.25" customHeight="1">
      <c r="A2206" s="21" t="s">
        <v>5103</v>
      </c>
      <c r="B2206" s="19" t="str">
        <f>image("https://storage.googleapis.com/acdb/photos/BromideNpcNmlCbr14_Remake_4_0.png")</f>
        <v/>
      </c>
      <c r="C2206" s="21" t="s">
        <v>833</v>
      </c>
      <c r="D2206" s="21" t="s">
        <v>51</v>
      </c>
      <c r="E2206" s="21">
        <v>10.0</v>
      </c>
      <c r="F2206" s="21" t="s">
        <v>2289</v>
      </c>
      <c r="G2206" s="19"/>
      <c r="H2206" s="19"/>
      <c r="I2206" s="19"/>
    </row>
    <row r="2207" ht="56.25" customHeight="1">
      <c r="A2207" s="21" t="s">
        <v>5103</v>
      </c>
      <c r="B2207" s="19" t="str">
        <f>image("https://storage.googleapis.com/acdb/photos/BromideNpcNmlCbr14_Remake_5_0.png")</f>
        <v/>
      </c>
      <c r="C2207" s="21" t="s">
        <v>258</v>
      </c>
      <c r="D2207" s="21" t="s">
        <v>51</v>
      </c>
      <c r="E2207" s="21">
        <v>10.0</v>
      </c>
      <c r="F2207" s="21" t="s">
        <v>2289</v>
      </c>
      <c r="G2207" s="19"/>
      <c r="H2207" s="19"/>
      <c r="I2207" s="19"/>
    </row>
    <row r="2208" ht="56.25" customHeight="1">
      <c r="A2208" s="21" t="s">
        <v>5103</v>
      </c>
      <c r="B2208" s="19" t="str">
        <f>image("https://storage.googleapis.com/acdb/photos/BromideNpcNmlCbr14_Remake_6_0.png")</f>
        <v/>
      </c>
      <c r="C2208" s="21" t="s">
        <v>182</v>
      </c>
      <c r="D2208" s="21" t="s">
        <v>51</v>
      </c>
      <c r="E2208" s="21">
        <v>10.0</v>
      </c>
      <c r="F2208" s="21" t="s">
        <v>2289</v>
      </c>
      <c r="G2208" s="19"/>
      <c r="H2208" s="19"/>
      <c r="I2208" s="19"/>
    </row>
    <row r="2209" ht="56.25" customHeight="1">
      <c r="A2209" s="21" t="s">
        <v>5103</v>
      </c>
      <c r="B2209" s="19" t="str">
        <f>image("https://storage.googleapis.com/acdb/photos/BromideNpcNmlCbr14_Remake_7_0.png")</f>
        <v/>
      </c>
      <c r="C2209" s="21" t="s">
        <v>187</v>
      </c>
      <c r="D2209" s="21" t="s">
        <v>51</v>
      </c>
      <c r="E2209" s="21">
        <v>10.0</v>
      </c>
      <c r="F2209" s="21" t="s">
        <v>2289</v>
      </c>
      <c r="G2209" s="19"/>
      <c r="H2209" s="19"/>
      <c r="I2209" s="19"/>
    </row>
    <row r="2210" ht="56.25" customHeight="1">
      <c r="A2210" s="21" t="s">
        <v>5117</v>
      </c>
      <c r="B2210" s="19" t="str">
        <f>image("https://storage.googleapis.com/acdb/photos/BromideNpcNmlMus17_Remake_0_0.png")</f>
        <v/>
      </c>
      <c r="C2210" s="21" t="s">
        <v>219</v>
      </c>
      <c r="D2210" s="21" t="s">
        <v>51</v>
      </c>
      <c r="E2210" s="21">
        <v>10.0</v>
      </c>
      <c r="F2210" s="21" t="s">
        <v>2289</v>
      </c>
      <c r="G2210" s="19"/>
      <c r="H2210" s="19"/>
      <c r="I2210" s="19"/>
    </row>
    <row r="2211" ht="56.25" customHeight="1">
      <c r="A2211" s="21" t="s">
        <v>5117</v>
      </c>
      <c r="B2211" s="19" t="str">
        <f>image("https://storage.googleapis.com/acdb/photos/BromideNpcNmlMus17_Remake_1_0.png")</f>
        <v/>
      </c>
      <c r="C2211" s="21" t="s">
        <v>795</v>
      </c>
      <c r="D2211" s="21" t="s">
        <v>51</v>
      </c>
      <c r="E2211" s="21">
        <v>10.0</v>
      </c>
      <c r="F2211" s="21" t="s">
        <v>2289</v>
      </c>
      <c r="G2211" s="19"/>
      <c r="H2211" s="19"/>
      <c r="I2211" s="19"/>
    </row>
    <row r="2212" ht="56.25" customHeight="1">
      <c r="A2212" s="21" t="s">
        <v>5117</v>
      </c>
      <c r="B2212" s="19" t="str">
        <f>image("https://storage.googleapis.com/acdb/photos/BromideNpcNmlMus17_Remake_2_0.png")</f>
        <v/>
      </c>
      <c r="C2212" s="21" t="s">
        <v>954</v>
      </c>
      <c r="D2212" s="21" t="s">
        <v>51</v>
      </c>
      <c r="E2212" s="21">
        <v>10.0</v>
      </c>
      <c r="F2212" s="21" t="s">
        <v>2289</v>
      </c>
      <c r="G2212" s="19"/>
      <c r="H2212" s="19"/>
      <c r="I2212" s="19"/>
    </row>
    <row r="2213" ht="56.25" customHeight="1">
      <c r="A2213" s="21" t="s">
        <v>5117</v>
      </c>
      <c r="B2213" s="19" t="str">
        <f>image("https://storage.googleapis.com/acdb/photos/BromideNpcNmlMus17_Remake_3_0.png")</f>
        <v/>
      </c>
      <c r="C2213" s="21" t="s">
        <v>82</v>
      </c>
      <c r="D2213" s="21" t="s">
        <v>51</v>
      </c>
      <c r="E2213" s="21">
        <v>10.0</v>
      </c>
      <c r="F2213" s="21" t="s">
        <v>2289</v>
      </c>
      <c r="G2213" s="19"/>
      <c r="H2213" s="19"/>
      <c r="I2213" s="19"/>
    </row>
    <row r="2214" ht="56.25" customHeight="1">
      <c r="A2214" s="21" t="s">
        <v>5117</v>
      </c>
      <c r="B2214" s="19" t="str">
        <f>image("https://storage.googleapis.com/acdb/photos/BromideNpcNmlMus17_Remake_4_0.png")</f>
        <v/>
      </c>
      <c r="C2214" s="21" t="s">
        <v>833</v>
      </c>
      <c r="D2214" s="21" t="s">
        <v>51</v>
      </c>
      <c r="E2214" s="21">
        <v>10.0</v>
      </c>
      <c r="F2214" s="21" t="s">
        <v>2289</v>
      </c>
      <c r="G2214" s="19"/>
      <c r="H2214" s="19"/>
      <c r="I2214" s="19"/>
    </row>
    <row r="2215" ht="56.25" customHeight="1">
      <c r="A2215" s="21" t="s">
        <v>5117</v>
      </c>
      <c r="B2215" s="19" t="str">
        <f>image("https://storage.googleapis.com/acdb/photos/BromideNpcNmlMus17_Remake_5_0.png")</f>
        <v/>
      </c>
      <c r="C2215" s="21" t="s">
        <v>258</v>
      </c>
      <c r="D2215" s="21" t="s">
        <v>51</v>
      </c>
      <c r="E2215" s="21">
        <v>10.0</v>
      </c>
      <c r="F2215" s="21" t="s">
        <v>2289</v>
      </c>
      <c r="G2215" s="19"/>
      <c r="H2215" s="19"/>
      <c r="I2215" s="19"/>
    </row>
    <row r="2216" ht="56.25" customHeight="1">
      <c r="A2216" s="21" t="s">
        <v>5117</v>
      </c>
      <c r="B2216" s="19" t="str">
        <f>image("https://storage.googleapis.com/acdb/photos/BromideNpcNmlMus17_Remake_6_0.png")</f>
        <v/>
      </c>
      <c r="C2216" s="21" t="s">
        <v>182</v>
      </c>
      <c r="D2216" s="21" t="s">
        <v>51</v>
      </c>
      <c r="E2216" s="21">
        <v>10.0</v>
      </c>
      <c r="F2216" s="21" t="s">
        <v>2289</v>
      </c>
      <c r="G2216" s="19"/>
      <c r="H2216" s="19"/>
      <c r="I2216" s="19"/>
    </row>
    <row r="2217" ht="56.25" customHeight="1">
      <c r="A2217" s="21" t="s">
        <v>5117</v>
      </c>
      <c r="B2217" s="19" t="str">
        <f>image("https://storage.googleapis.com/acdb/photos/BromideNpcNmlMus17_Remake_7_0.png")</f>
        <v/>
      </c>
      <c r="C2217" s="21" t="s">
        <v>187</v>
      </c>
      <c r="D2217" s="21" t="s">
        <v>51</v>
      </c>
      <c r="E2217" s="21">
        <v>10.0</v>
      </c>
      <c r="F2217" s="21" t="s">
        <v>2289</v>
      </c>
      <c r="G2217" s="19"/>
      <c r="H2217" s="19"/>
      <c r="I2217" s="19"/>
    </row>
    <row r="2218" ht="56.25" customHeight="1">
      <c r="A2218" s="21" t="s">
        <v>5125</v>
      </c>
      <c r="B2218" s="19" t="str">
        <f>image("https://storage.googleapis.com/acdb/photos/BromideNpcNmlOst07_Remake_0_0.png")</f>
        <v/>
      </c>
      <c r="C2218" s="21" t="s">
        <v>219</v>
      </c>
      <c r="D2218" s="21" t="s">
        <v>51</v>
      </c>
      <c r="E2218" s="21">
        <v>10.0</v>
      </c>
      <c r="F2218" s="21" t="s">
        <v>2289</v>
      </c>
      <c r="G2218" s="19"/>
      <c r="H2218" s="19"/>
      <c r="I2218" s="19"/>
    </row>
    <row r="2219" ht="56.25" customHeight="1">
      <c r="A2219" s="21" t="s">
        <v>5125</v>
      </c>
      <c r="B2219" s="19" t="str">
        <f>image("https://storage.googleapis.com/acdb/photos/BromideNpcNmlOst07_Remake_1_0.png")</f>
        <v/>
      </c>
      <c r="C2219" s="21" t="s">
        <v>795</v>
      </c>
      <c r="D2219" s="21" t="s">
        <v>51</v>
      </c>
      <c r="E2219" s="21">
        <v>10.0</v>
      </c>
      <c r="F2219" s="21" t="s">
        <v>2289</v>
      </c>
      <c r="G2219" s="19"/>
      <c r="H2219" s="19"/>
      <c r="I2219" s="19"/>
    </row>
    <row r="2220" ht="56.25" customHeight="1">
      <c r="A2220" s="21" t="s">
        <v>5125</v>
      </c>
      <c r="B2220" s="19" t="str">
        <f>image("https://storage.googleapis.com/acdb/photos/BromideNpcNmlOst07_Remake_2_0.png")</f>
        <v/>
      </c>
      <c r="C2220" s="21" t="s">
        <v>954</v>
      </c>
      <c r="D2220" s="21" t="s">
        <v>51</v>
      </c>
      <c r="E2220" s="21">
        <v>10.0</v>
      </c>
      <c r="F2220" s="21" t="s">
        <v>2289</v>
      </c>
      <c r="G2220" s="19"/>
      <c r="H2220" s="19"/>
      <c r="I2220" s="19"/>
    </row>
    <row r="2221" ht="56.25" customHeight="1">
      <c r="A2221" s="21" t="s">
        <v>5125</v>
      </c>
      <c r="B2221" s="19" t="str">
        <f>image("https://storage.googleapis.com/acdb/photos/BromideNpcNmlOst07_Remake_3_0.png")</f>
        <v/>
      </c>
      <c r="C2221" s="21" t="s">
        <v>82</v>
      </c>
      <c r="D2221" s="21" t="s">
        <v>51</v>
      </c>
      <c r="E2221" s="21">
        <v>10.0</v>
      </c>
      <c r="F2221" s="21" t="s">
        <v>2289</v>
      </c>
      <c r="G2221" s="19"/>
      <c r="H2221" s="19"/>
      <c r="I2221" s="19"/>
    </row>
    <row r="2222" ht="56.25" customHeight="1">
      <c r="A2222" s="21" t="s">
        <v>5125</v>
      </c>
      <c r="B2222" s="19" t="str">
        <f>image("https://storage.googleapis.com/acdb/photos/BromideNpcNmlOst07_Remake_4_0.png")</f>
        <v/>
      </c>
      <c r="C2222" s="21" t="s">
        <v>833</v>
      </c>
      <c r="D2222" s="21" t="s">
        <v>51</v>
      </c>
      <c r="E2222" s="21">
        <v>10.0</v>
      </c>
      <c r="F2222" s="21" t="s">
        <v>2289</v>
      </c>
      <c r="G2222" s="19"/>
      <c r="H2222" s="19"/>
      <c r="I2222" s="19"/>
    </row>
    <row r="2223" ht="56.25" customHeight="1">
      <c r="A2223" s="21" t="s">
        <v>5125</v>
      </c>
      <c r="B2223" s="19" t="str">
        <f>image("https://storage.googleapis.com/acdb/photos/BromideNpcNmlOst07_Remake_5_0.png")</f>
        <v/>
      </c>
      <c r="C2223" s="21" t="s">
        <v>258</v>
      </c>
      <c r="D2223" s="21" t="s">
        <v>51</v>
      </c>
      <c r="E2223" s="21">
        <v>10.0</v>
      </c>
      <c r="F2223" s="21" t="s">
        <v>2289</v>
      </c>
      <c r="G2223" s="19"/>
      <c r="H2223" s="19"/>
      <c r="I2223" s="19"/>
    </row>
    <row r="2224" ht="56.25" customHeight="1">
      <c r="A2224" s="21" t="s">
        <v>5125</v>
      </c>
      <c r="B2224" s="19" t="str">
        <f>image("https://storage.googleapis.com/acdb/photos/BromideNpcNmlOst07_Remake_6_0.png")</f>
        <v/>
      </c>
      <c r="C2224" s="21" t="s">
        <v>182</v>
      </c>
      <c r="D2224" s="21" t="s">
        <v>51</v>
      </c>
      <c r="E2224" s="21">
        <v>10.0</v>
      </c>
      <c r="F2224" s="21" t="s">
        <v>2289</v>
      </c>
      <c r="G2224" s="19"/>
      <c r="H2224" s="19"/>
      <c r="I2224" s="19"/>
    </row>
    <row r="2225" ht="56.25" customHeight="1">
      <c r="A2225" s="21" t="s">
        <v>5125</v>
      </c>
      <c r="B2225" s="19" t="str">
        <f>image("https://storage.googleapis.com/acdb/photos/BromideNpcNmlOst07_Remake_7_0.png")</f>
        <v/>
      </c>
      <c r="C2225" s="21" t="s">
        <v>187</v>
      </c>
      <c r="D2225" s="21" t="s">
        <v>51</v>
      </c>
      <c r="E2225" s="21">
        <v>10.0</v>
      </c>
      <c r="F2225" s="21" t="s">
        <v>2289</v>
      </c>
      <c r="G2225" s="19"/>
      <c r="H2225" s="19"/>
      <c r="I2225" s="19"/>
    </row>
    <row r="2226" ht="56.25" customHeight="1">
      <c r="A2226" s="21" t="s">
        <v>5128</v>
      </c>
      <c r="B2226" s="19" t="str">
        <f>image("https://storage.googleapis.com/acdb/photos/BromideNpcNmlOst10_Remake_0_0.png")</f>
        <v/>
      </c>
      <c r="C2226" s="21" t="s">
        <v>219</v>
      </c>
      <c r="D2226" s="21" t="s">
        <v>51</v>
      </c>
      <c r="E2226" s="21">
        <v>10.0</v>
      </c>
      <c r="F2226" s="21" t="s">
        <v>2289</v>
      </c>
      <c r="G2226" s="19"/>
      <c r="H2226" s="19"/>
      <c r="I2226" s="19"/>
    </row>
    <row r="2227" ht="56.25" customHeight="1">
      <c r="A2227" s="21" t="s">
        <v>5128</v>
      </c>
      <c r="B2227" s="19" t="str">
        <f>image("https://storage.googleapis.com/acdb/photos/BromideNpcNmlOst10_Remake_1_0.png")</f>
        <v/>
      </c>
      <c r="C2227" s="21" t="s">
        <v>795</v>
      </c>
      <c r="D2227" s="21" t="s">
        <v>51</v>
      </c>
      <c r="E2227" s="21">
        <v>10.0</v>
      </c>
      <c r="F2227" s="21" t="s">
        <v>2289</v>
      </c>
      <c r="G2227" s="19"/>
      <c r="H2227" s="19"/>
      <c r="I2227" s="19"/>
    </row>
    <row r="2228" ht="56.25" customHeight="1">
      <c r="A2228" s="21" t="s">
        <v>5128</v>
      </c>
      <c r="B2228" s="19" t="str">
        <f>image("https://storage.googleapis.com/acdb/photos/BromideNpcNmlOst10_Remake_2_0.png")</f>
        <v/>
      </c>
      <c r="C2228" s="21" t="s">
        <v>954</v>
      </c>
      <c r="D2228" s="21" t="s">
        <v>51</v>
      </c>
      <c r="E2228" s="21">
        <v>10.0</v>
      </c>
      <c r="F2228" s="21" t="s">
        <v>2289</v>
      </c>
      <c r="G2228" s="19"/>
      <c r="H2228" s="19"/>
      <c r="I2228" s="19"/>
    </row>
    <row r="2229" ht="56.25" customHeight="1">
      <c r="A2229" s="21" t="s">
        <v>5128</v>
      </c>
      <c r="B2229" s="19" t="str">
        <f>image("https://storage.googleapis.com/acdb/photos/BromideNpcNmlOst10_Remake_3_0.png")</f>
        <v/>
      </c>
      <c r="C2229" s="21" t="s">
        <v>82</v>
      </c>
      <c r="D2229" s="21" t="s">
        <v>51</v>
      </c>
      <c r="E2229" s="21">
        <v>10.0</v>
      </c>
      <c r="F2229" s="21" t="s">
        <v>2289</v>
      </c>
      <c r="G2229" s="19"/>
      <c r="H2229" s="19"/>
      <c r="I2229" s="19"/>
    </row>
    <row r="2230" ht="56.25" customHeight="1">
      <c r="A2230" s="21" t="s">
        <v>5128</v>
      </c>
      <c r="B2230" s="19" t="str">
        <f>image("https://storage.googleapis.com/acdb/photos/BromideNpcNmlOst10_Remake_4_0.png")</f>
        <v/>
      </c>
      <c r="C2230" s="21" t="s">
        <v>833</v>
      </c>
      <c r="D2230" s="21" t="s">
        <v>51</v>
      </c>
      <c r="E2230" s="21">
        <v>10.0</v>
      </c>
      <c r="F2230" s="21" t="s">
        <v>2289</v>
      </c>
      <c r="G2230" s="19"/>
      <c r="H2230" s="19"/>
      <c r="I2230" s="19"/>
    </row>
    <row r="2231" ht="56.25" customHeight="1">
      <c r="A2231" s="21" t="s">
        <v>5128</v>
      </c>
      <c r="B2231" s="19" t="str">
        <f>image("https://storage.googleapis.com/acdb/photos/BromideNpcNmlOst10_Remake_5_0.png")</f>
        <v/>
      </c>
      <c r="C2231" s="21" t="s">
        <v>258</v>
      </c>
      <c r="D2231" s="21" t="s">
        <v>51</v>
      </c>
      <c r="E2231" s="21">
        <v>10.0</v>
      </c>
      <c r="F2231" s="21" t="s">
        <v>2289</v>
      </c>
      <c r="G2231" s="19"/>
      <c r="H2231" s="19"/>
      <c r="I2231" s="19"/>
    </row>
    <row r="2232" ht="56.25" customHeight="1">
      <c r="A2232" s="21" t="s">
        <v>5128</v>
      </c>
      <c r="B2232" s="19" t="str">
        <f>image("https://storage.googleapis.com/acdb/photos/BromideNpcNmlOst10_Remake_6_0.png")</f>
        <v/>
      </c>
      <c r="C2232" s="21" t="s">
        <v>182</v>
      </c>
      <c r="D2232" s="21" t="s">
        <v>51</v>
      </c>
      <c r="E2232" s="21">
        <v>10.0</v>
      </c>
      <c r="F2232" s="21" t="s">
        <v>2289</v>
      </c>
      <c r="G2232" s="19"/>
      <c r="H2232" s="19"/>
      <c r="I2232" s="19"/>
    </row>
    <row r="2233" ht="56.25" customHeight="1">
      <c r="A2233" s="21" t="s">
        <v>5128</v>
      </c>
      <c r="B2233" s="19" t="str">
        <f>image("https://storage.googleapis.com/acdb/photos/BromideNpcNmlOst10_Remake_7_0.png")</f>
        <v/>
      </c>
      <c r="C2233" s="21" t="s">
        <v>187</v>
      </c>
      <c r="D2233" s="21" t="s">
        <v>51</v>
      </c>
      <c r="E2233" s="21">
        <v>10.0</v>
      </c>
      <c r="F2233" s="21" t="s">
        <v>2289</v>
      </c>
      <c r="G2233" s="19"/>
      <c r="H2233" s="19"/>
      <c r="I2233" s="19"/>
    </row>
    <row r="2234" ht="56.25" customHeight="1">
      <c r="A2234" s="21" t="s">
        <v>5131</v>
      </c>
      <c r="B2234" s="19" t="str">
        <f>image("https://storage.googleapis.com/acdb/photos/BromideNpcNmlPbr02_Remake_0_0.png")</f>
        <v/>
      </c>
      <c r="C2234" s="21" t="s">
        <v>219</v>
      </c>
      <c r="D2234" s="21" t="s">
        <v>51</v>
      </c>
      <c r="E2234" s="21">
        <v>10.0</v>
      </c>
      <c r="F2234" s="21" t="s">
        <v>2289</v>
      </c>
      <c r="G2234" s="19"/>
      <c r="H2234" s="19"/>
      <c r="I2234" s="19"/>
    </row>
    <row r="2235" ht="56.25" customHeight="1">
      <c r="A2235" s="21" t="s">
        <v>5131</v>
      </c>
      <c r="B2235" s="19" t="str">
        <f>image("https://storage.googleapis.com/acdb/photos/BromideNpcNmlPbr02_Remake_1_0.png")</f>
        <v/>
      </c>
      <c r="C2235" s="21" t="s">
        <v>795</v>
      </c>
      <c r="D2235" s="21" t="s">
        <v>51</v>
      </c>
      <c r="E2235" s="21">
        <v>10.0</v>
      </c>
      <c r="F2235" s="21" t="s">
        <v>2289</v>
      </c>
      <c r="G2235" s="19"/>
      <c r="H2235" s="19"/>
      <c r="I2235" s="19"/>
    </row>
    <row r="2236" ht="56.25" customHeight="1">
      <c r="A2236" s="21" t="s">
        <v>5131</v>
      </c>
      <c r="B2236" s="19" t="str">
        <f>image("https://storage.googleapis.com/acdb/photos/BromideNpcNmlPbr02_Remake_2_0.png")</f>
        <v/>
      </c>
      <c r="C2236" s="21" t="s">
        <v>954</v>
      </c>
      <c r="D2236" s="21" t="s">
        <v>51</v>
      </c>
      <c r="E2236" s="21">
        <v>10.0</v>
      </c>
      <c r="F2236" s="21" t="s">
        <v>2289</v>
      </c>
      <c r="G2236" s="19"/>
      <c r="H2236" s="19"/>
      <c r="I2236" s="19"/>
    </row>
    <row r="2237" ht="56.25" customHeight="1">
      <c r="A2237" s="21" t="s">
        <v>5131</v>
      </c>
      <c r="B2237" s="19" t="str">
        <f>image("https://storage.googleapis.com/acdb/photos/BromideNpcNmlPbr02_Remake_3_0.png")</f>
        <v/>
      </c>
      <c r="C2237" s="21" t="s">
        <v>82</v>
      </c>
      <c r="D2237" s="21" t="s">
        <v>51</v>
      </c>
      <c r="E2237" s="21">
        <v>10.0</v>
      </c>
      <c r="F2237" s="21" t="s">
        <v>2289</v>
      </c>
      <c r="G2237" s="19"/>
      <c r="H2237" s="19"/>
      <c r="I2237" s="19"/>
    </row>
    <row r="2238" ht="56.25" customHeight="1">
      <c r="A2238" s="21" t="s">
        <v>5131</v>
      </c>
      <c r="B2238" s="19" t="str">
        <f>image("https://storage.googleapis.com/acdb/photos/BromideNpcNmlPbr02_Remake_4_0.png")</f>
        <v/>
      </c>
      <c r="C2238" s="21" t="s">
        <v>833</v>
      </c>
      <c r="D2238" s="21" t="s">
        <v>51</v>
      </c>
      <c r="E2238" s="21">
        <v>10.0</v>
      </c>
      <c r="F2238" s="21" t="s">
        <v>2289</v>
      </c>
      <c r="G2238" s="19"/>
      <c r="H2238" s="19"/>
      <c r="I2238" s="19"/>
    </row>
    <row r="2239" ht="56.25" customHeight="1">
      <c r="A2239" s="21" t="s">
        <v>5131</v>
      </c>
      <c r="B2239" s="19" t="str">
        <f>image("https://storage.googleapis.com/acdb/photos/BromideNpcNmlPbr02_Remake_5_0.png")</f>
        <v/>
      </c>
      <c r="C2239" s="21" t="s">
        <v>258</v>
      </c>
      <c r="D2239" s="21" t="s">
        <v>51</v>
      </c>
      <c r="E2239" s="21">
        <v>10.0</v>
      </c>
      <c r="F2239" s="21" t="s">
        <v>2289</v>
      </c>
      <c r="G2239" s="19"/>
      <c r="H2239" s="19"/>
      <c r="I2239" s="19"/>
    </row>
    <row r="2240" ht="56.25" customHeight="1">
      <c r="A2240" s="21" t="s">
        <v>5131</v>
      </c>
      <c r="B2240" s="19" t="str">
        <f>image("https://storage.googleapis.com/acdb/photos/BromideNpcNmlPbr02_Remake_6_0.png")</f>
        <v/>
      </c>
      <c r="C2240" s="21" t="s">
        <v>182</v>
      </c>
      <c r="D2240" s="21" t="s">
        <v>51</v>
      </c>
      <c r="E2240" s="21">
        <v>10.0</v>
      </c>
      <c r="F2240" s="21" t="s">
        <v>2289</v>
      </c>
      <c r="G2240" s="19"/>
      <c r="H2240" s="19"/>
      <c r="I2240" s="19"/>
    </row>
    <row r="2241" ht="56.25" customHeight="1">
      <c r="A2241" s="21" t="s">
        <v>5131</v>
      </c>
      <c r="B2241" s="19" t="str">
        <f>image("https://storage.googleapis.com/acdb/photos/BromideNpcNmlPbr02_Remake_7_0.png")</f>
        <v/>
      </c>
      <c r="C2241" s="21" t="s">
        <v>187</v>
      </c>
      <c r="D2241" s="21" t="s">
        <v>51</v>
      </c>
      <c r="E2241" s="21">
        <v>10.0</v>
      </c>
      <c r="F2241" s="21" t="s">
        <v>2289</v>
      </c>
      <c r="G2241" s="19"/>
      <c r="H2241" s="19"/>
      <c r="I2241" s="19"/>
    </row>
    <row r="2242" ht="56.25" customHeight="1">
      <c r="A2242" s="21" t="s">
        <v>5134</v>
      </c>
      <c r="B2242" s="19" t="str">
        <f>image("https://storage.googleapis.com/acdb/photos/BromideNpcNmlShp13_Remake_0_0.png")</f>
        <v/>
      </c>
      <c r="C2242" s="21" t="s">
        <v>219</v>
      </c>
      <c r="D2242" s="21" t="s">
        <v>51</v>
      </c>
      <c r="E2242" s="21">
        <v>10.0</v>
      </c>
      <c r="F2242" s="21" t="s">
        <v>2289</v>
      </c>
      <c r="G2242" s="19"/>
      <c r="H2242" s="19"/>
      <c r="I2242" s="19"/>
    </row>
    <row r="2243" ht="56.25" customHeight="1">
      <c r="A2243" s="21" t="s">
        <v>5134</v>
      </c>
      <c r="B2243" s="19" t="str">
        <f>image("https://storage.googleapis.com/acdb/photos/BromideNpcNmlShp13_Remake_1_0.png")</f>
        <v/>
      </c>
      <c r="C2243" s="21" t="s">
        <v>795</v>
      </c>
      <c r="D2243" s="21" t="s">
        <v>51</v>
      </c>
      <c r="E2243" s="21">
        <v>10.0</v>
      </c>
      <c r="F2243" s="21" t="s">
        <v>2289</v>
      </c>
      <c r="G2243" s="19"/>
      <c r="H2243" s="19"/>
      <c r="I2243" s="19"/>
    </row>
    <row r="2244" ht="56.25" customHeight="1">
      <c r="A2244" s="21" t="s">
        <v>5134</v>
      </c>
      <c r="B2244" s="19" t="str">
        <f>image("https://storage.googleapis.com/acdb/photos/BromideNpcNmlShp13_Remake_2_0.png")</f>
        <v/>
      </c>
      <c r="C2244" s="21" t="s">
        <v>954</v>
      </c>
      <c r="D2244" s="21" t="s">
        <v>51</v>
      </c>
      <c r="E2244" s="21">
        <v>10.0</v>
      </c>
      <c r="F2244" s="21" t="s">
        <v>2289</v>
      </c>
      <c r="G2244" s="19"/>
      <c r="H2244" s="19"/>
      <c r="I2244" s="19"/>
    </row>
    <row r="2245" ht="56.25" customHeight="1">
      <c r="A2245" s="21" t="s">
        <v>5134</v>
      </c>
      <c r="B2245" s="19" t="str">
        <f>image("https://storage.googleapis.com/acdb/photos/BromideNpcNmlShp13_Remake_3_0.png")</f>
        <v/>
      </c>
      <c r="C2245" s="21" t="s">
        <v>82</v>
      </c>
      <c r="D2245" s="21" t="s">
        <v>51</v>
      </c>
      <c r="E2245" s="21">
        <v>10.0</v>
      </c>
      <c r="F2245" s="21" t="s">
        <v>2289</v>
      </c>
      <c r="G2245" s="19"/>
      <c r="H2245" s="19"/>
      <c r="I2245" s="19"/>
    </row>
    <row r="2246" ht="56.25" customHeight="1">
      <c r="A2246" s="21" t="s">
        <v>5134</v>
      </c>
      <c r="B2246" s="19" t="str">
        <f>image("https://storage.googleapis.com/acdb/photos/BromideNpcNmlShp13_Remake_4_0.png")</f>
        <v/>
      </c>
      <c r="C2246" s="21" t="s">
        <v>833</v>
      </c>
      <c r="D2246" s="21" t="s">
        <v>51</v>
      </c>
      <c r="E2246" s="21">
        <v>10.0</v>
      </c>
      <c r="F2246" s="21" t="s">
        <v>2289</v>
      </c>
      <c r="G2246" s="19"/>
      <c r="H2246" s="19"/>
      <c r="I2246" s="19"/>
    </row>
    <row r="2247" ht="56.25" customHeight="1">
      <c r="A2247" s="21" t="s">
        <v>5134</v>
      </c>
      <c r="B2247" s="19" t="str">
        <f>image("https://storage.googleapis.com/acdb/photos/BromideNpcNmlShp13_Remake_5_0.png")</f>
        <v/>
      </c>
      <c r="C2247" s="21" t="s">
        <v>258</v>
      </c>
      <c r="D2247" s="21" t="s">
        <v>51</v>
      </c>
      <c r="E2247" s="21">
        <v>10.0</v>
      </c>
      <c r="F2247" s="21" t="s">
        <v>2289</v>
      </c>
      <c r="G2247" s="19"/>
      <c r="H2247" s="19"/>
      <c r="I2247" s="19"/>
    </row>
    <row r="2248" ht="56.25" customHeight="1">
      <c r="A2248" s="21" t="s">
        <v>5134</v>
      </c>
      <c r="B2248" s="19" t="str">
        <f>image("https://storage.googleapis.com/acdb/photos/BromideNpcNmlShp13_Remake_6_0.png")</f>
        <v/>
      </c>
      <c r="C2248" s="21" t="s">
        <v>182</v>
      </c>
      <c r="D2248" s="21" t="s">
        <v>51</v>
      </c>
      <c r="E2248" s="21">
        <v>10.0</v>
      </c>
      <c r="F2248" s="21" t="s">
        <v>2289</v>
      </c>
      <c r="G2248" s="19"/>
      <c r="H2248" s="19"/>
      <c r="I2248" s="19"/>
    </row>
    <row r="2249" ht="56.25" customHeight="1">
      <c r="A2249" s="21" t="s">
        <v>5134</v>
      </c>
      <c r="B2249" s="19" t="str">
        <f>image("https://storage.googleapis.com/acdb/photos/BromideNpcNmlShp13_Remake_7_0.png")</f>
        <v/>
      </c>
      <c r="C2249" s="21" t="s">
        <v>187</v>
      </c>
      <c r="D2249" s="21" t="s">
        <v>51</v>
      </c>
      <c r="E2249" s="21">
        <v>10.0</v>
      </c>
      <c r="F2249" s="21" t="s">
        <v>2289</v>
      </c>
      <c r="G2249" s="19"/>
      <c r="H2249" s="19"/>
      <c r="I2249" s="19"/>
    </row>
    <row r="2250" ht="56.25" customHeight="1">
      <c r="A2250" s="21" t="s">
        <v>5137</v>
      </c>
      <c r="B2250" s="19" t="str">
        <f>image("https://storage.googleapis.com/acdb/photos/BromideNpcNmlBea01_Remake_0_0.png")</f>
        <v/>
      </c>
      <c r="C2250" s="21" t="s">
        <v>219</v>
      </c>
      <c r="D2250" s="21" t="s">
        <v>51</v>
      </c>
      <c r="E2250" s="21">
        <v>10.0</v>
      </c>
      <c r="F2250" s="21" t="s">
        <v>2289</v>
      </c>
      <c r="G2250" s="19"/>
      <c r="H2250" s="19"/>
      <c r="I2250" s="19"/>
    </row>
    <row r="2251" ht="56.25" customHeight="1">
      <c r="A2251" s="21" t="s">
        <v>5137</v>
      </c>
      <c r="B2251" s="19" t="str">
        <f>image("https://storage.googleapis.com/acdb/photos/BromideNpcNmlBea01_Remake_1_0.png")</f>
        <v/>
      </c>
      <c r="C2251" s="21" t="s">
        <v>795</v>
      </c>
      <c r="D2251" s="21" t="s">
        <v>51</v>
      </c>
      <c r="E2251" s="21">
        <v>10.0</v>
      </c>
      <c r="F2251" s="21" t="s">
        <v>2289</v>
      </c>
      <c r="G2251" s="19"/>
      <c r="H2251" s="19"/>
      <c r="I2251" s="19"/>
    </row>
    <row r="2252" ht="56.25" customHeight="1">
      <c r="A2252" s="21" t="s">
        <v>5137</v>
      </c>
      <c r="B2252" s="19" t="str">
        <f>image("https://storage.googleapis.com/acdb/photos/BromideNpcNmlBea01_Remake_2_0.png")</f>
        <v/>
      </c>
      <c r="C2252" s="21" t="s">
        <v>954</v>
      </c>
      <c r="D2252" s="21" t="s">
        <v>51</v>
      </c>
      <c r="E2252" s="21">
        <v>10.0</v>
      </c>
      <c r="F2252" s="21" t="s">
        <v>2289</v>
      </c>
      <c r="G2252" s="19"/>
      <c r="H2252" s="19"/>
      <c r="I2252" s="19"/>
    </row>
    <row r="2253" ht="56.25" customHeight="1">
      <c r="A2253" s="21" t="s">
        <v>5137</v>
      </c>
      <c r="B2253" s="19" t="str">
        <f>image("https://storage.googleapis.com/acdb/photos/BromideNpcNmlBea01_Remake_3_0.png")</f>
        <v/>
      </c>
      <c r="C2253" s="21" t="s">
        <v>82</v>
      </c>
      <c r="D2253" s="21" t="s">
        <v>51</v>
      </c>
      <c r="E2253" s="21">
        <v>10.0</v>
      </c>
      <c r="F2253" s="21" t="s">
        <v>2289</v>
      </c>
      <c r="G2253" s="19"/>
      <c r="H2253" s="19"/>
      <c r="I2253" s="19"/>
    </row>
    <row r="2254" ht="56.25" customHeight="1">
      <c r="A2254" s="21" t="s">
        <v>5137</v>
      </c>
      <c r="B2254" s="19" t="str">
        <f>image("https://storage.googleapis.com/acdb/photos/BromideNpcNmlBea01_Remake_4_0.png")</f>
        <v/>
      </c>
      <c r="C2254" s="21" t="s">
        <v>833</v>
      </c>
      <c r="D2254" s="21" t="s">
        <v>51</v>
      </c>
      <c r="E2254" s="21">
        <v>10.0</v>
      </c>
      <c r="F2254" s="21" t="s">
        <v>2289</v>
      </c>
      <c r="G2254" s="19"/>
      <c r="H2254" s="19"/>
      <c r="I2254" s="19"/>
    </row>
    <row r="2255" ht="56.25" customHeight="1">
      <c r="A2255" s="21" t="s">
        <v>5137</v>
      </c>
      <c r="B2255" s="19" t="str">
        <f>image("https://storage.googleapis.com/acdb/photos/BromideNpcNmlBea01_Remake_5_0.png")</f>
        <v/>
      </c>
      <c r="C2255" s="21" t="s">
        <v>258</v>
      </c>
      <c r="D2255" s="21" t="s">
        <v>51</v>
      </c>
      <c r="E2255" s="21">
        <v>10.0</v>
      </c>
      <c r="F2255" s="21" t="s">
        <v>2289</v>
      </c>
      <c r="G2255" s="19"/>
      <c r="H2255" s="19"/>
      <c r="I2255" s="19"/>
    </row>
    <row r="2256" ht="56.25" customHeight="1">
      <c r="A2256" s="21" t="s">
        <v>5137</v>
      </c>
      <c r="B2256" s="19" t="str">
        <f>image("https://storage.googleapis.com/acdb/photos/BromideNpcNmlBea01_Remake_6_0.png")</f>
        <v/>
      </c>
      <c r="C2256" s="21" t="s">
        <v>182</v>
      </c>
      <c r="D2256" s="21" t="s">
        <v>51</v>
      </c>
      <c r="E2256" s="21">
        <v>10.0</v>
      </c>
      <c r="F2256" s="21" t="s">
        <v>2289</v>
      </c>
      <c r="G2256" s="19"/>
      <c r="H2256" s="19"/>
      <c r="I2256" s="19"/>
    </row>
    <row r="2257" ht="56.25" customHeight="1">
      <c r="A2257" s="21" t="s">
        <v>5137</v>
      </c>
      <c r="B2257" s="19" t="str">
        <f>image("https://storage.googleapis.com/acdb/photos/BromideNpcNmlBea01_Remake_7_0.png")</f>
        <v/>
      </c>
      <c r="C2257" s="21" t="s">
        <v>187</v>
      </c>
      <c r="D2257" s="21" t="s">
        <v>51</v>
      </c>
      <c r="E2257" s="21">
        <v>10.0</v>
      </c>
      <c r="F2257" s="21" t="s">
        <v>2289</v>
      </c>
      <c r="G2257" s="19"/>
      <c r="H2257" s="19"/>
      <c r="I2257" s="19"/>
    </row>
    <row r="2258" ht="56.25" customHeight="1">
      <c r="A2258" s="21" t="s">
        <v>5145</v>
      </c>
      <c r="B2258" s="19" t="str">
        <f>image("https://storage.googleapis.com/acdb/photos/BromideNpcNmlBrd05_Remake_0_0.png")</f>
        <v/>
      </c>
      <c r="C2258" s="21" t="s">
        <v>219</v>
      </c>
      <c r="D2258" s="21" t="s">
        <v>51</v>
      </c>
      <c r="E2258" s="21">
        <v>10.0</v>
      </c>
      <c r="F2258" s="21" t="s">
        <v>2289</v>
      </c>
      <c r="G2258" s="19"/>
      <c r="H2258" s="19"/>
      <c r="I2258" s="19"/>
    </row>
    <row r="2259" ht="56.25" customHeight="1">
      <c r="A2259" s="21" t="s">
        <v>5145</v>
      </c>
      <c r="B2259" s="19" t="str">
        <f>image("https://storage.googleapis.com/acdb/photos/BromideNpcNmlBrd05_Remake_1_0.png")</f>
        <v/>
      </c>
      <c r="C2259" s="21" t="s">
        <v>795</v>
      </c>
      <c r="D2259" s="21" t="s">
        <v>51</v>
      </c>
      <c r="E2259" s="21">
        <v>10.0</v>
      </c>
      <c r="F2259" s="21" t="s">
        <v>2289</v>
      </c>
      <c r="G2259" s="19"/>
      <c r="H2259" s="19"/>
      <c r="I2259" s="19"/>
    </row>
    <row r="2260" ht="56.25" customHeight="1">
      <c r="A2260" s="21" t="s">
        <v>5145</v>
      </c>
      <c r="B2260" s="19" t="str">
        <f>image("https://storage.googleapis.com/acdb/photos/BromideNpcNmlBrd05_Remake_2_0.png")</f>
        <v/>
      </c>
      <c r="C2260" s="21" t="s">
        <v>954</v>
      </c>
      <c r="D2260" s="21" t="s">
        <v>51</v>
      </c>
      <c r="E2260" s="21">
        <v>10.0</v>
      </c>
      <c r="F2260" s="21" t="s">
        <v>2289</v>
      </c>
      <c r="G2260" s="19"/>
      <c r="H2260" s="19"/>
      <c r="I2260" s="19"/>
    </row>
    <row r="2261" ht="56.25" customHeight="1">
      <c r="A2261" s="21" t="s">
        <v>5145</v>
      </c>
      <c r="B2261" s="19" t="str">
        <f>image("https://storage.googleapis.com/acdb/photos/BromideNpcNmlBrd05_Remake_3_0.png")</f>
        <v/>
      </c>
      <c r="C2261" s="21" t="s">
        <v>82</v>
      </c>
      <c r="D2261" s="21" t="s">
        <v>51</v>
      </c>
      <c r="E2261" s="21">
        <v>10.0</v>
      </c>
      <c r="F2261" s="21" t="s">
        <v>2289</v>
      </c>
      <c r="G2261" s="19"/>
      <c r="H2261" s="19"/>
      <c r="I2261" s="19"/>
    </row>
    <row r="2262" ht="56.25" customHeight="1">
      <c r="A2262" s="21" t="s">
        <v>5145</v>
      </c>
      <c r="B2262" s="19" t="str">
        <f>image("https://storage.googleapis.com/acdb/photos/BromideNpcNmlBrd05_Remake_4_0.png")</f>
        <v/>
      </c>
      <c r="C2262" s="21" t="s">
        <v>833</v>
      </c>
      <c r="D2262" s="21" t="s">
        <v>51</v>
      </c>
      <c r="E2262" s="21">
        <v>10.0</v>
      </c>
      <c r="F2262" s="21" t="s">
        <v>2289</v>
      </c>
      <c r="G2262" s="19"/>
      <c r="H2262" s="19"/>
      <c r="I2262" s="19"/>
    </row>
    <row r="2263" ht="56.25" customHeight="1">
      <c r="A2263" s="21" t="s">
        <v>5145</v>
      </c>
      <c r="B2263" s="19" t="str">
        <f>image("https://storage.googleapis.com/acdb/photos/BromideNpcNmlBrd05_Remake_5_0.png")</f>
        <v/>
      </c>
      <c r="C2263" s="21" t="s">
        <v>258</v>
      </c>
      <c r="D2263" s="21" t="s">
        <v>51</v>
      </c>
      <c r="E2263" s="21">
        <v>10.0</v>
      </c>
      <c r="F2263" s="21" t="s">
        <v>2289</v>
      </c>
      <c r="G2263" s="19"/>
      <c r="H2263" s="19"/>
      <c r="I2263" s="19"/>
    </row>
    <row r="2264" ht="56.25" customHeight="1">
      <c r="A2264" s="21" t="s">
        <v>5145</v>
      </c>
      <c r="B2264" s="19" t="str">
        <f>image("https://storage.googleapis.com/acdb/photos/BromideNpcNmlBrd05_Remake_6_0.png")</f>
        <v/>
      </c>
      <c r="C2264" s="21" t="s">
        <v>182</v>
      </c>
      <c r="D2264" s="21" t="s">
        <v>51</v>
      </c>
      <c r="E2264" s="21">
        <v>10.0</v>
      </c>
      <c r="F2264" s="21" t="s">
        <v>2289</v>
      </c>
      <c r="G2264" s="19"/>
      <c r="H2264" s="19"/>
      <c r="I2264" s="19"/>
    </row>
    <row r="2265" ht="56.25" customHeight="1">
      <c r="A2265" s="21" t="s">
        <v>5145</v>
      </c>
      <c r="B2265" s="19" t="str">
        <f>image("https://storage.googleapis.com/acdb/photos/BromideNpcNmlBrd05_Remake_7_0.png")</f>
        <v/>
      </c>
      <c r="C2265" s="21" t="s">
        <v>187</v>
      </c>
      <c r="D2265" s="21" t="s">
        <v>51</v>
      </c>
      <c r="E2265" s="21">
        <v>10.0</v>
      </c>
      <c r="F2265" s="21" t="s">
        <v>2289</v>
      </c>
      <c r="G2265" s="19"/>
      <c r="H2265" s="19"/>
      <c r="I2265" s="19"/>
    </row>
    <row r="2266" ht="56.25" customHeight="1">
      <c r="A2266" s="21" t="s">
        <v>5154</v>
      </c>
      <c r="B2266" s="19" t="str">
        <f>image("https://storage.googleapis.com/acdb/photos/BromideNpcNmlRbt06_Remake_0_0.png")</f>
        <v/>
      </c>
      <c r="C2266" s="21" t="s">
        <v>219</v>
      </c>
      <c r="D2266" s="21" t="s">
        <v>51</v>
      </c>
      <c r="E2266" s="21">
        <v>10.0</v>
      </c>
      <c r="F2266" s="21" t="s">
        <v>2289</v>
      </c>
      <c r="G2266" s="19"/>
      <c r="H2266" s="19"/>
      <c r="I2266" s="19"/>
    </row>
    <row r="2267" ht="56.25" customHeight="1">
      <c r="A2267" s="21" t="s">
        <v>5154</v>
      </c>
      <c r="B2267" s="19" t="str">
        <f>image("https://storage.googleapis.com/acdb/photos/BromideNpcNmlRbt06_Remake_1_0.png")</f>
        <v/>
      </c>
      <c r="C2267" s="21" t="s">
        <v>795</v>
      </c>
      <c r="D2267" s="21" t="s">
        <v>51</v>
      </c>
      <c r="E2267" s="21">
        <v>10.0</v>
      </c>
      <c r="F2267" s="21" t="s">
        <v>2289</v>
      </c>
      <c r="G2267" s="19"/>
      <c r="H2267" s="19"/>
      <c r="I2267" s="19"/>
    </row>
    <row r="2268" ht="56.25" customHeight="1">
      <c r="A2268" s="21" t="s">
        <v>5154</v>
      </c>
      <c r="B2268" s="19" t="str">
        <f>image("https://storage.googleapis.com/acdb/photos/BromideNpcNmlRbt06_Remake_2_0.png")</f>
        <v/>
      </c>
      <c r="C2268" s="21" t="s">
        <v>954</v>
      </c>
      <c r="D2268" s="21" t="s">
        <v>51</v>
      </c>
      <c r="E2268" s="21">
        <v>10.0</v>
      </c>
      <c r="F2268" s="21" t="s">
        <v>2289</v>
      </c>
      <c r="G2268" s="19"/>
      <c r="H2268" s="19"/>
      <c r="I2268" s="19"/>
    </row>
    <row r="2269" ht="56.25" customHeight="1">
      <c r="A2269" s="21" t="s">
        <v>5154</v>
      </c>
      <c r="B2269" s="19" t="str">
        <f>image("https://storage.googleapis.com/acdb/photos/BromideNpcNmlRbt06_Remake_3_0.png")</f>
        <v/>
      </c>
      <c r="C2269" s="21" t="s">
        <v>82</v>
      </c>
      <c r="D2269" s="21" t="s">
        <v>51</v>
      </c>
      <c r="E2269" s="21">
        <v>10.0</v>
      </c>
      <c r="F2269" s="21" t="s">
        <v>2289</v>
      </c>
      <c r="G2269" s="19"/>
      <c r="H2269" s="19"/>
      <c r="I2269" s="19"/>
    </row>
    <row r="2270" ht="56.25" customHeight="1">
      <c r="A2270" s="21" t="s">
        <v>5154</v>
      </c>
      <c r="B2270" s="19" t="str">
        <f>image("https://storage.googleapis.com/acdb/photos/BromideNpcNmlRbt06_Remake_4_0.png")</f>
        <v/>
      </c>
      <c r="C2270" s="21" t="s">
        <v>833</v>
      </c>
      <c r="D2270" s="21" t="s">
        <v>51</v>
      </c>
      <c r="E2270" s="21">
        <v>10.0</v>
      </c>
      <c r="F2270" s="21" t="s">
        <v>2289</v>
      </c>
      <c r="G2270" s="19"/>
      <c r="H2270" s="19"/>
      <c r="I2270" s="19"/>
    </row>
    <row r="2271" ht="56.25" customHeight="1">
      <c r="A2271" s="21" t="s">
        <v>5154</v>
      </c>
      <c r="B2271" s="19" t="str">
        <f>image("https://storage.googleapis.com/acdb/photos/BromideNpcNmlRbt06_Remake_5_0.png")</f>
        <v/>
      </c>
      <c r="C2271" s="21" t="s">
        <v>258</v>
      </c>
      <c r="D2271" s="21" t="s">
        <v>51</v>
      </c>
      <c r="E2271" s="21">
        <v>10.0</v>
      </c>
      <c r="F2271" s="21" t="s">
        <v>2289</v>
      </c>
      <c r="G2271" s="19"/>
      <c r="H2271" s="19"/>
      <c r="I2271" s="19"/>
    </row>
    <row r="2272" ht="56.25" customHeight="1">
      <c r="A2272" s="21" t="s">
        <v>5154</v>
      </c>
      <c r="B2272" s="19" t="str">
        <f>image("https://storage.googleapis.com/acdb/photos/BromideNpcNmlRbt06_Remake_6_0.png")</f>
        <v/>
      </c>
      <c r="C2272" s="21" t="s">
        <v>182</v>
      </c>
      <c r="D2272" s="21" t="s">
        <v>51</v>
      </c>
      <c r="E2272" s="21">
        <v>10.0</v>
      </c>
      <c r="F2272" s="21" t="s">
        <v>2289</v>
      </c>
      <c r="G2272" s="19"/>
      <c r="H2272" s="19"/>
      <c r="I2272" s="19"/>
    </row>
    <row r="2273" ht="56.25" customHeight="1">
      <c r="A2273" s="21" t="s">
        <v>5154</v>
      </c>
      <c r="B2273" s="19" t="str">
        <f>image("https://storage.googleapis.com/acdb/photos/BromideNpcNmlRbt06_Remake_7_0.png")</f>
        <v/>
      </c>
      <c r="C2273" s="21" t="s">
        <v>187</v>
      </c>
      <c r="D2273" s="21" t="s">
        <v>51</v>
      </c>
      <c r="E2273" s="21">
        <v>10.0</v>
      </c>
      <c r="F2273" s="21" t="s">
        <v>2289</v>
      </c>
      <c r="G2273" s="19"/>
      <c r="H2273" s="19"/>
      <c r="I2273" s="19"/>
    </row>
    <row r="2274" ht="56.25" customHeight="1">
      <c r="A2274" s="21" t="s">
        <v>5171</v>
      </c>
      <c r="B2274" s="19" t="str">
        <f>image("https://storage.googleapis.com/acdb/photos/BromideNpcNmlChn10_Remake_0_0.png")</f>
        <v/>
      </c>
      <c r="C2274" s="21" t="s">
        <v>219</v>
      </c>
      <c r="D2274" s="21" t="s">
        <v>51</v>
      </c>
      <c r="E2274" s="21">
        <v>10.0</v>
      </c>
      <c r="F2274" s="21" t="s">
        <v>2289</v>
      </c>
      <c r="G2274" s="19"/>
      <c r="H2274" s="19"/>
      <c r="I2274" s="19"/>
    </row>
    <row r="2275" ht="56.25" customHeight="1">
      <c r="A2275" s="21" t="s">
        <v>5171</v>
      </c>
      <c r="B2275" s="19" t="str">
        <f>image("https://storage.googleapis.com/acdb/photos/BromideNpcNmlChn10_Remake_1_0.png")</f>
        <v/>
      </c>
      <c r="C2275" s="21" t="s">
        <v>795</v>
      </c>
      <c r="D2275" s="21" t="s">
        <v>51</v>
      </c>
      <c r="E2275" s="21">
        <v>10.0</v>
      </c>
      <c r="F2275" s="21" t="s">
        <v>2289</v>
      </c>
      <c r="G2275" s="19"/>
      <c r="H2275" s="19"/>
      <c r="I2275" s="19"/>
    </row>
    <row r="2276" ht="56.25" customHeight="1">
      <c r="A2276" s="21" t="s">
        <v>5171</v>
      </c>
      <c r="B2276" s="19" t="str">
        <f>image("https://storage.googleapis.com/acdb/photos/BromideNpcNmlChn10_Remake_2_0.png")</f>
        <v/>
      </c>
      <c r="C2276" s="21" t="s">
        <v>954</v>
      </c>
      <c r="D2276" s="21" t="s">
        <v>51</v>
      </c>
      <c r="E2276" s="21">
        <v>10.0</v>
      </c>
      <c r="F2276" s="21" t="s">
        <v>2289</v>
      </c>
      <c r="G2276" s="19"/>
      <c r="H2276" s="19"/>
      <c r="I2276" s="19"/>
    </row>
    <row r="2277" ht="56.25" customHeight="1">
      <c r="A2277" s="21" t="s">
        <v>5171</v>
      </c>
      <c r="B2277" s="19" t="str">
        <f>image("https://storage.googleapis.com/acdb/photos/BromideNpcNmlChn10_Remake_3_0.png")</f>
        <v/>
      </c>
      <c r="C2277" s="21" t="s">
        <v>82</v>
      </c>
      <c r="D2277" s="21" t="s">
        <v>51</v>
      </c>
      <c r="E2277" s="21">
        <v>10.0</v>
      </c>
      <c r="F2277" s="21" t="s">
        <v>2289</v>
      </c>
      <c r="G2277" s="19"/>
      <c r="H2277" s="19"/>
      <c r="I2277" s="19"/>
    </row>
    <row r="2278" ht="56.25" customHeight="1">
      <c r="A2278" s="21" t="s">
        <v>5171</v>
      </c>
      <c r="B2278" s="19" t="str">
        <f>image("https://storage.googleapis.com/acdb/photos/BromideNpcNmlChn10_Remake_4_0.png")</f>
        <v/>
      </c>
      <c r="C2278" s="21" t="s">
        <v>833</v>
      </c>
      <c r="D2278" s="21" t="s">
        <v>51</v>
      </c>
      <c r="E2278" s="21">
        <v>10.0</v>
      </c>
      <c r="F2278" s="21" t="s">
        <v>2289</v>
      </c>
      <c r="G2278" s="19"/>
      <c r="H2278" s="19"/>
      <c r="I2278" s="19"/>
    </row>
    <row r="2279" ht="56.25" customHeight="1">
      <c r="A2279" s="21" t="s">
        <v>5171</v>
      </c>
      <c r="B2279" s="19" t="str">
        <f>image("https://storage.googleapis.com/acdb/photos/BromideNpcNmlChn10_Remake_5_0.png")</f>
        <v/>
      </c>
      <c r="C2279" s="21" t="s">
        <v>258</v>
      </c>
      <c r="D2279" s="21" t="s">
        <v>51</v>
      </c>
      <c r="E2279" s="21">
        <v>10.0</v>
      </c>
      <c r="F2279" s="21" t="s">
        <v>2289</v>
      </c>
      <c r="G2279" s="19"/>
      <c r="H2279" s="19"/>
      <c r="I2279" s="19"/>
    </row>
    <row r="2280" ht="56.25" customHeight="1">
      <c r="A2280" s="21" t="s">
        <v>5171</v>
      </c>
      <c r="B2280" s="19" t="str">
        <f>image("https://storage.googleapis.com/acdb/photos/BromideNpcNmlChn10_Remake_6_0.png")</f>
        <v/>
      </c>
      <c r="C2280" s="21" t="s">
        <v>182</v>
      </c>
      <c r="D2280" s="21" t="s">
        <v>51</v>
      </c>
      <c r="E2280" s="21">
        <v>10.0</v>
      </c>
      <c r="F2280" s="21" t="s">
        <v>2289</v>
      </c>
      <c r="G2280" s="19"/>
      <c r="H2280" s="19"/>
      <c r="I2280" s="19"/>
    </row>
    <row r="2281" ht="56.25" customHeight="1">
      <c r="A2281" s="21" t="s">
        <v>5171</v>
      </c>
      <c r="B2281" s="19" t="str">
        <f>image("https://storage.googleapis.com/acdb/photos/BromideNpcNmlChn10_Remake_7_0.png")</f>
        <v/>
      </c>
      <c r="C2281" s="21" t="s">
        <v>187</v>
      </c>
      <c r="D2281" s="21" t="s">
        <v>51</v>
      </c>
      <c r="E2281" s="21">
        <v>10.0</v>
      </c>
      <c r="F2281" s="21" t="s">
        <v>2289</v>
      </c>
      <c r="G2281" s="19"/>
      <c r="H2281" s="19"/>
      <c r="I2281" s="19"/>
    </row>
    <row r="2282" ht="56.25" customHeight="1">
      <c r="A2282" s="21" t="s">
        <v>5183</v>
      </c>
      <c r="B2282" s="19" t="str">
        <f>image("https://storage.googleapis.com/acdb/photos/BromideNpcNmlDuk05_Remake_0_0.png")</f>
        <v/>
      </c>
      <c r="C2282" s="21" t="s">
        <v>219</v>
      </c>
      <c r="D2282" s="21" t="s">
        <v>51</v>
      </c>
      <c r="E2282" s="21">
        <v>10.0</v>
      </c>
      <c r="F2282" s="21" t="s">
        <v>2289</v>
      </c>
      <c r="G2282" s="19"/>
      <c r="H2282" s="19"/>
      <c r="I2282" s="19"/>
    </row>
    <row r="2283" ht="56.25" customHeight="1">
      <c r="A2283" s="21" t="s">
        <v>5183</v>
      </c>
      <c r="B2283" s="19" t="str">
        <f>image("https://storage.googleapis.com/acdb/photos/BromideNpcNmlDuk05_Remake_1_0.png")</f>
        <v/>
      </c>
      <c r="C2283" s="21" t="s">
        <v>795</v>
      </c>
      <c r="D2283" s="21" t="s">
        <v>51</v>
      </c>
      <c r="E2283" s="21">
        <v>10.0</v>
      </c>
      <c r="F2283" s="21" t="s">
        <v>2289</v>
      </c>
      <c r="G2283" s="19"/>
      <c r="H2283" s="19"/>
      <c r="I2283" s="19"/>
    </row>
    <row r="2284" ht="56.25" customHeight="1">
      <c r="A2284" s="21" t="s">
        <v>5183</v>
      </c>
      <c r="B2284" s="19" t="str">
        <f>image("https://storage.googleapis.com/acdb/photos/BromideNpcNmlDuk05_Remake_2_0.png")</f>
        <v/>
      </c>
      <c r="C2284" s="21" t="s">
        <v>954</v>
      </c>
      <c r="D2284" s="21" t="s">
        <v>51</v>
      </c>
      <c r="E2284" s="21">
        <v>10.0</v>
      </c>
      <c r="F2284" s="21" t="s">
        <v>2289</v>
      </c>
      <c r="G2284" s="19"/>
      <c r="H2284" s="19"/>
      <c r="I2284" s="19"/>
    </row>
    <row r="2285" ht="56.25" customHeight="1">
      <c r="A2285" s="21" t="s">
        <v>5183</v>
      </c>
      <c r="B2285" s="19" t="str">
        <f>image("https://storage.googleapis.com/acdb/photos/BromideNpcNmlDuk05_Remake_3_0.png")</f>
        <v/>
      </c>
      <c r="C2285" s="21" t="s">
        <v>82</v>
      </c>
      <c r="D2285" s="21" t="s">
        <v>51</v>
      </c>
      <c r="E2285" s="21">
        <v>10.0</v>
      </c>
      <c r="F2285" s="21" t="s">
        <v>2289</v>
      </c>
      <c r="G2285" s="19"/>
      <c r="H2285" s="19"/>
      <c r="I2285" s="19"/>
    </row>
    <row r="2286" ht="56.25" customHeight="1">
      <c r="A2286" s="21" t="s">
        <v>5183</v>
      </c>
      <c r="B2286" s="19" t="str">
        <f>image("https://storage.googleapis.com/acdb/photos/BromideNpcNmlDuk05_Remake_4_0.png")</f>
        <v/>
      </c>
      <c r="C2286" s="21" t="s">
        <v>833</v>
      </c>
      <c r="D2286" s="21" t="s">
        <v>51</v>
      </c>
      <c r="E2286" s="21">
        <v>10.0</v>
      </c>
      <c r="F2286" s="21" t="s">
        <v>2289</v>
      </c>
      <c r="G2286" s="19"/>
      <c r="H2286" s="19"/>
      <c r="I2286" s="19"/>
    </row>
    <row r="2287" ht="56.25" customHeight="1">
      <c r="A2287" s="21" t="s">
        <v>5183</v>
      </c>
      <c r="B2287" s="19" t="str">
        <f>image("https://storage.googleapis.com/acdb/photos/BromideNpcNmlDuk05_Remake_5_0.png")</f>
        <v/>
      </c>
      <c r="C2287" s="21" t="s">
        <v>258</v>
      </c>
      <c r="D2287" s="21" t="s">
        <v>51</v>
      </c>
      <c r="E2287" s="21">
        <v>10.0</v>
      </c>
      <c r="F2287" s="21" t="s">
        <v>2289</v>
      </c>
      <c r="G2287" s="19"/>
      <c r="H2287" s="19"/>
      <c r="I2287" s="19"/>
    </row>
    <row r="2288" ht="56.25" customHeight="1">
      <c r="A2288" s="21" t="s">
        <v>5183</v>
      </c>
      <c r="B2288" s="19" t="str">
        <f>image("https://storage.googleapis.com/acdb/photos/BromideNpcNmlDuk05_Remake_6_0.png")</f>
        <v/>
      </c>
      <c r="C2288" s="21" t="s">
        <v>182</v>
      </c>
      <c r="D2288" s="21" t="s">
        <v>51</v>
      </c>
      <c r="E2288" s="21">
        <v>10.0</v>
      </c>
      <c r="F2288" s="21" t="s">
        <v>2289</v>
      </c>
      <c r="G2288" s="19"/>
      <c r="H2288" s="19"/>
      <c r="I2288" s="19"/>
    </row>
    <row r="2289" ht="56.25" customHeight="1">
      <c r="A2289" s="21" t="s">
        <v>5183</v>
      </c>
      <c r="B2289" s="19" t="str">
        <f>image("https://storage.googleapis.com/acdb/photos/BromideNpcNmlDuk05_Remake_7_0.png")</f>
        <v/>
      </c>
      <c r="C2289" s="21" t="s">
        <v>187</v>
      </c>
      <c r="D2289" s="21" t="s">
        <v>51</v>
      </c>
      <c r="E2289" s="21">
        <v>10.0</v>
      </c>
      <c r="F2289" s="21" t="s">
        <v>2289</v>
      </c>
      <c r="G2289" s="19"/>
      <c r="H2289" s="19"/>
      <c r="I2289" s="19"/>
    </row>
    <row r="2290" ht="56.25" customHeight="1">
      <c r="A2290" s="21" t="s">
        <v>5189</v>
      </c>
      <c r="B2290" s="19" t="str">
        <f>image("https://storage.googleapis.com/acdb/photos/BromideNpcNmlCbr02_Remake_0_0.png")</f>
        <v/>
      </c>
      <c r="C2290" s="21" t="s">
        <v>219</v>
      </c>
      <c r="D2290" s="21" t="s">
        <v>51</v>
      </c>
      <c r="E2290" s="21">
        <v>10.0</v>
      </c>
      <c r="F2290" s="21" t="s">
        <v>2289</v>
      </c>
      <c r="G2290" s="19"/>
      <c r="H2290" s="19"/>
      <c r="I2290" s="19"/>
    </row>
    <row r="2291" ht="56.25" customHeight="1">
      <c r="A2291" s="21" t="s">
        <v>5189</v>
      </c>
      <c r="B2291" s="19" t="str">
        <f>image("https://storage.googleapis.com/acdb/photos/BromideNpcNmlCbr02_Remake_1_0.png")</f>
        <v/>
      </c>
      <c r="C2291" s="21" t="s">
        <v>795</v>
      </c>
      <c r="D2291" s="21" t="s">
        <v>51</v>
      </c>
      <c r="E2291" s="21">
        <v>10.0</v>
      </c>
      <c r="F2291" s="21" t="s">
        <v>2289</v>
      </c>
      <c r="G2291" s="19"/>
      <c r="H2291" s="19"/>
      <c r="I2291" s="19"/>
    </row>
    <row r="2292" ht="56.25" customHeight="1">
      <c r="A2292" s="21" t="s">
        <v>5189</v>
      </c>
      <c r="B2292" s="19" t="str">
        <f>image("https://storage.googleapis.com/acdb/photos/BromideNpcNmlCbr02_Remake_2_0.png")</f>
        <v/>
      </c>
      <c r="C2292" s="21" t="s">
        <v>954</v>
      </c>
      <c r="D2292" s="21" t="s">
        <v>51</v>
      </c>
      <c r="E2292" s="21">
        <v>10.0</v>
      </c>
      <c r="F2292" s="21" t="s">
        <v>2289</v>
      </c>
      <c r="G2292" s="19"/>
      <c r="H2292" s="19"/>
      <c r="I2292" s="19"/>
    </row>
    <row r="2293" ht="56.25" customHeight="1">
      <c r="A2293" s="21" t="s">
        <v>5189</v>
      </c>
      <c r="B2293" s="19" t="str">
        <f>image("https://storage.googleapis.com/acdb/photos/BromideNpcNmlCbr02_Remake_3_0.png")</f>
        <v/>
      </c>
      <c r="C2293" s="21" t="s">
        <v>82</v>
      </c>
      <c r="D2293" s="21" t="s">
        <v>51</v>
      </c>
      <c r="E2293" s="21">
        <v>10.0</v>
      </c>
      <c r="F2293" s="21" t="s">
        <v>2289</v>
      </c>
      <c r="G2293" s="19"/>
      <c r="H2293" s="19"/>
      <c r="I2293" s="19"/>
    </row>
    <row r="2294" ht="56.25" customHeight="1">
      <c r="A2294" s="21" t="s">
        <v>5189</v>
      </c>
      <c r="B2294" s="19" t="str">
        <f>image("https://storage.googleapis.com/acdb/photos/BromideNpcNmlCbr02_Remake_4_0.png")</f>
        <v/>
      </c>
      <c r="C2294" s="21" t="s">
        <v>833</v>
      </c>
      <c r="D2294" s="21" t="s">
        <v>51</v>
      </c>
      <c r="E2294" s="21">
        <v>10.0</v>
      </c>
      <c r="F2294" s="21" t="s">
        <v>2289</v>
      </c>
      <c r="G2294" s="19"/>
      <c r="H2294" s="19"/>
      <c r="I2294" s="19"/>
    </row>
    <row r="2295" ht="56.25" customHeight="1">
      <c r="A2295" s="21" t="s">
        <v>5189</v>
      </c>
      <c r="B2295" s="19" t="str">
        <f>image("https://storage.googleapis.com/acdb/photos/BromideNpcNmlCbr02_Remake_5_0.png")</f>
        <v/>
      </c>
      <c r="C2295" s="21" t="s">
        <v>258</v>
      </c>
      <c r="D2295" s="21" t="s">
        <v>51</v>
      </c>
      <c r="E2295" s="21">
        <v>10.0</v>
      </c>
      <c r="F2295" s="21" t="s">
        <v>2289</v>
      </c>
      <c r="G2295" s="19"/>
      <c r="H2295" s="19"/>
      <c r="I2295" s="19"/>
    </row>
    <row r="2296" ht="56.25" customHeight="1">
      <c r="A2296" s="21" t="s">
        <v>5189</v>
      </c>
      <c r="B2296" s="19" t="str">
        <f>image("https://storage.googleapis.com/acdb/photos/BromideNpcNmlCbr02_Remake_6_0.png")</f>
        <v/>
      </c>
      <c r="C2296" s="21" t="s">
        <v>182</v>
      </c>
      <c r="D2296" s="21" t="s">
        <v>51</v>
      </c>
      <c r="E2296" s="21">
        <v>10.0</v>
      </c>
      <c r="F2296" s="21" t="s">
        <v>2289</v>
      </c>
      <c r="G2296" s="19"/>
      <c r="H2296" s="19"/>
      <c r="I2296" s="19"/>
    </row>
    <row r="2297" ht="56.25" customHeight="1">
      <c r="A2297" s="21" t="s">
        <v>5189</v>
      </c>
      <c r="B2297" s="19" t="str">
        <f>image("https://storage.googleapis.com/acdb/photos/BromideNpcNmlCbr02_Remake_7_0.png")</f>
        <v/>
      </c>
      <c r="C2297" s="21" t="s">
        <v>187</v>
      </c>
      <c r="D2297" s="21" t="s">
        <v>51</v>
      </c>
      <c r="E2297" s="21">
        <v>10.0</v>
      </c>
      <c r="F2297" s="21" t="s">
        <v>2289</v>
      </c>
      <c r="G2297" s="19"/>
      <c r="H2297" s="19"/>
      <c r="I2297" s="19"/>
    </row>
    <row r="2298" ht="56.25" customHeight="1">
      <c r="A2298" s="21" t="s">
        <v>5201</v>
      </c>
      <c r="B2298" s="19" t="str">
        <f>image("https://storage.googleapis.com/acdb/photos/BromideNpcNmlSqu15_Remake_0_0.png")</f>
        <v/>
      </c>
      <c r="C2298" s="21" t="s">
        <v>219</v>
      </c>
      <c r="D2298" s="21" t="s">
        <v>51</v>
      </c>
      <c r="E2298" s="21">
        <v>10.0</v>
      </c>
      <c r="F2298" s="21" t="s">
        <v>2289</v>
      </c>
      <c r="G2298" s="19"/>
      <c r="H2298" s="19"/>
      <c r="I2298" s="19"/>
    </row>
    <row r="2299" ht="56.25" customHeight="1">
      <c r="A2299" s="21" t="s">
        <v>5201</v>
      </c>
      <c r="B2299" s="19" t="str">
        <f>image("https://storage.googleapis.com/acdb/photos/BromideNpcNmlSqu15_Remake_1_0.png")</f>
        <v/>
      </c>
      <c r="C2299" s="21" t="s">
        <v>795</v>
      </c>
      <c r="D2299" s="21" t="s">
        <v>51</v>
      </c>
      <c r="E2299" s="21">
        <v>10.0</v>
      </c>
      <c r="F2299" s="21" t="s">
        <v>2289</v>
      </c>
      <c r="G2299" s="19"/>
      <c r="H2299" s="19"/>
      <c r="I2299" s="19"/>
    </row>
    <row r="2300" ht="56.25" customHeight="1">
      <c r="A2300" s="21" t="s">
        <v>5201</v>
      </c>
      <c r="B2300" s="19" t="str">
        <f>image("https://storage.googleapis.com/acdb/photos/BromideNpcNmlSqu15_Remake_2_0.png")</f>
        <v/>
      </c>
      <c r="C2300" s="21" t="s">
        <v>954</v>
      </c>
      <c r="D2300" s="21" t="s">
        <v>51</v>
      </c>
      <c r="E2300" s="21">
        <v>10.0</v>
      </c>
      <c r="F2300" s="21" t="s">
        <v>2289</v>
      </c>
      <c r="G2300" s="19"/>
      <c r="H2300" s="19"/>
      <c r="I2300" s="19"/>
    </row>
    <row r="2301" ht="56.25" customHeight="1">
      <c r="A2301" s="21" t="s">
        <v>5201</v>
      </c>
      <c r="B2301" s="19" t="str">
        <f>image("https://storage.googleapis.com/acdb/photos/BromideNpcNmlSqu15_Remake_3_0.png")</f>
        <v/>
      </c>
      <c r="C2301" s="21" t="s">
        <v>82</v>
      </c>
      <c r="D2301" s="21" t="s">
        <v>51</v>
      </c>
      <c r="E2301" s="21">
        <v>10.0</v>
      </c>
      <c r="F2301" s="21" t="s">
        <v>2289</v>
      </c>
      <c r="G2301" s="19"/>
      <c r="H2301" s="19"/>
      <c r="I2301" s="19"/>
    </row>
    <row r="2302" ht="56.25" customHeight="1">
      <c r="A2302" s="21" t="s">
        <v>5201</v>
      </c>
      <c r="B2302" s="19" t="str">
        <f>image("https://storage.googleapis.com/acdb/photos/BromideNpcNmlSqu15_Remake_4_0.png")</f>
        <v/>
      </c>
      <c r="C2302" s="21" t="s">
        <v>833</v>
      </c>
      <c r="D2302" s="21" t="s">
        <v>51</v>
      </c>
      <c r="E2302" s="21">
        <v>10.0</v>
      </c>
      <c r="F2302" s="21" t="s">
        <v>2289</v>
      </c>
      <c r="G2302" s="19"/>
      <c r="H2302" s="19"/>
      <c r="I2302" s="19"/>
    </row>
    <row r="2303" ht="56.25" customHeight="1">
      <c r="A2303" s="21" t="s">
        <v>5201</v>
      </c>
      <c r="B2303" s="19" t="str">
        <f>image("https://storage.googleapis.com/acdb/photos/BromideNpcNmlSqu15_Remake_5_0.png")</f>
        <v/>
      </c>
      <c r="C2303" s="21" t="s">
        <v>258</v>
      </c>
      <c r="D2303" s="21" t="s">
        <v>51</v>
      </c>
      <c r="E2303" s="21">
        <v>10.0</v>
      </c>
      <c r="F2303" s="21" t="s">
        <v>2289</v>
      </c>
      <c r="G2303" s="19"/>
      <c r="H2303" s="19"/>
      <c r="I2303" s="19"/>
    </row>
    <row r="2304" ht="56.25" customHeight="1">
      <c r="A2304" s="21" t="s">
        <v>5201</v>
      </c>
      <c r="B2304" s="19" t="str">
        <f>image("https://storage.googleapis.com/acdb/photos/BromideNpcNmlSqu15_Remake_6_0.png")</f>
        <v/>
      </c>
      <c r="C2304" s="21" t="s">
        <v>182</v>
      </c>
      <c r="D2304" s="21" t="s">
        <v>51</v>
      </c>
      <c r="E2304" s="21">
        <v>10.0</v>
      </c>
      <c r="F2304" s="21" t="s">
        <v>2289</v>
      </c>
      <c r="G2304" s="19"/>
      <c r="H2304" s="19"/>
      <c r="I2304" s="19"/>
    </row>
    <row r="2305" ht="56.25" customHeight="1">
      <c r="A2305" s="21" t="s">
        <v>5201</v>
      </c>
      <c r="B2305" s="19" t="str">
        <f>image("https://storage.googleapis.com/acdb/photos/BromideNpcNmlSqu15_Remake_7_0.png")</f>
        <v/>
      </c>
      <c r="C2305" s="21" t="s">
        <v>187</v>
      </c>
      <c r="D2305" s="21" t="s">
        <v>51</v>
      </c>
      <c r="E2305" s="21">
        <v>10.0</v>
      </c>
      <c r="F2305" s="21" t="s">
        <v>2289</v>
      </c>
      <c r="G2305" s="19"/>
      <c r="H2305" s="19"/>
      <c r="I2305" s="19"/>
    </row>
    <row r="2306" ht="56.25" customHeight="1">
      <c r="A2306" s="21" t="s">
        <v>5205</v>
      </c>
      <c r="B2306" s="19" t="str">
        <f>image("https://storage.googleapis.com/acdb/photos/BromideNpcNmlDog05_Remake_0_0.png")</f>
        <v/>
      </c>
      <c r="C2306" s="21" t="s">
        <v>219</v>
      </c>
      <c r="D2306" s="21" t="s">
        <v>51</v>
      </c>
      <c r="E2306" s="21">
        <v>10.0</v>
      </c>
      <c r="F2306" s="21" t="s">
        <v>2289</v>
      </c>
      <c r="G2306" s="19"/>
      <c r="H2306" s="19"/>
      <c r="I2306" s="19"/>
    </row>
    <row r="2307" ht="56.25" customHeight="1">
      <c r="A2307" s="21" t="s">
        <v>5205</v>
      </c>
      <c r="B2307" s="19" t="str">
        <f>image("https://storage.googleapis.com/acdb/photos/BromideNpcNmlDog05_Remake_1_0.png")</f>
        <v/>
      </c>
      <c r="C2307" s="21" t="s">
        <v>795</v>
      </c>
      <c r="D2307" s="21" t="s">
        <v>51</v>
      </c>
      <c r="E2307" s="21">
        <v>10.0</v>
      </c>
      <c r="F2307" s="21" t="s">
        <v>2289</v>
      </c>
      <c r="G2307" s="19"/>
      <c r="H2307" s="19"/>
      <c r="I2307" s="19"/>
    </row>
    <row r="2308" ht="56.25" customHeight="1">
      <c r="A2308" s="21" t="s">
        <v>5205</v>
      </c>
      <c r="B2308" s="19" t="str">
        <f>image("https://storage.googleapis.com/acdb/photos/BromideNpcNmlDog05_Remake_2_0.png")</f>
        <v/>
      </c>
      <c r="C2308" s="21" t="s">
        <v>954</v>
      </c>
      <c r="D2308" s="21" t="s">
        <v>51</v>
      </c>
      <c r="E2308" s="21">
        <v>10.0</v>
      </c>
      <c r="F2308" s="21" t="s">
        <v>2289</v>
      </c>
      <c r="G2308" s="19"/>
      <c r="H2308" s="19"/>
      <c r="I2308" s="19"/>
    </row>
    <row r="2309" ht="56.25" customHeight="1">
      <c r="A2309" s="21" t="s">
        <v>5205</v>
      </c>
      <c r="B2309" s="19" t="str">
        <f>image("https://storage.googleapis.com/acdb/photos/BromideNpcNmlDog05_Remake_3_0.png")</f>
        <v/>
      </c>
      <c r="C2309" s="21" t="s">
        <v>82</v>
      </c>
      <c r="D2309" s="21" t="s">
        <v>51</v>
      </c>
      <c r="E2309" s="21">
        <v>10.0</v>
      </c>
      <c r="F2309" s="21" t="s">
        <v>2289</v>
      </c>
      <c r="G2309" s="19"/>
      <c r="H2309" s="19"/>
      <c r="I2309" s="19"/>
    </row>
    <row r="2310" ht="56.25" customHeight="1">
      <c r="A2310" s="21" t="s">
        <v>5205</v>
      </c>
      <c r="B2310" s="19" t="str">
        <f>image("https://storage.googleapis.com/acdb/photos/BromideNpcNmlDog05_Remake_4_0.png")</f>
        <v/>
      </c>
      <c r="C2310" s="21" t="s">
        <v>833</v>
      </c>
      <c r="D2310" s="21" t="s">
        <v>51</v>
      </c>
      <c r="E2310" s="21">
        <v>10.0</v>
      </c>
      <c r="F2310" s="21" t="s">
        <v>2289</v>
      </c>
      <c r="G2310" s="19"/>
      <c r="H2310" s="19"/>
      <c r="I2310" s="19"/>
    </row>
    <row r="2311" ht="56.25" customHeight="1">
      <c r="A2311" s="21" t="s">
        <v>5205</v>
      </c>
      <c r="B2311" s="19" t="str">
        <f>image("https://storage.googleapis.com/acdb/photos/BromideNpcNmlDog05_Remake_5_0.png")</f>
        <v/>
      </c>
      <c r="C2311" s="21" t="s">
        <v>258</v>
      </c>
      <c r="D2311" s="21" t="s">
        <v>51</v>
      </c>
      <c r="E2311" s="21">
        <v>10.0</v>
      </c>
      <c r="F2311" s="21" t="s">
        <v>2289</v>
      </c>
      <c r="G2311" s="19"/>
      <c r="H2311" s="19"/>
      <c r="I2311" s="19"/>
    </row>
    <row r="2312" ht="56.25" customHeight="1">
      <c r="A2312" s="21" t="s">
        <v>5205</v>
      </c>
      <c r="B2312" s="19" t="str">
        <f>image("https://storage.googleapis.com/acdb/photos/BromideNpcNmlDog05_Remake_6_0.png")</f>
        <v/>
      </c>
      <c r="C2312" s="21" t="s">
        <v>182</v>
      </c>
      <c r="D2312" s="21" t="s">
        <v>51</v>
      </c>
      <c r="E2312" s="21">
        <v>10.0</v>
      </c>
      <c r="F2312" s="21" t="s">
        <v>2289</v>
      </c>
      <c r="G2312" s="19"/>
      <c r="H2312" s="19"/>
      <c r="I2312" s="19"/>
    </row>
    <row r="2313" ht="56.25" customHeight="1">
      <c r="A2313" s="21" t="s">
        <v>5205</v>
      </c>
      <c r="B2313" s="19" t="str">
        <f>image("https://storage.googleapis.com/acdb/photos/BromideNpcNmlDog05_Remake_7_0.png")</f>
        <v/>
      </c>
      <c r="C2313" s="21" t="s">
        <v>187</v>
      </c>
      <c r="D2313" s="21" t="s">
        <v>51</v>
      </c>
      <c r="E2313" s="21">
        <v>10.0</v>
      </c>
      <c r="F2313" s="21" t="s">
        <v>2289</v>
      </c>
      <c r="G2313" s="19"/>
      <c r="H2313" s="19"/>
      <c r="I2313" s="19"/>
    </row>
    <row r="2314" ht="56.25" customHeight="1">
      <c r="A2314" s="21" t="s">
        <v>5209</v>
      </c>
      <c r="B2314" s="19" t="str">
        <f>image("https://storage.googleapis.com/acdb/photos/BromideNpcNmlFlg12_Remake_0_0.png")</f>
        <v/>
      </c>
      <c r="C2314" s="21" t="s">
        <v>219</v>
      </c>
      <c r="D2314" s="21" t="s">
        <v>51</v>
      </c>
      <c r="E2314" s="21">
        <v>10.0</v>
      </c>
      <c r="F2314" s="21" t="s">
        <v>2289</v>
      </c>
      <c r="G2314" s="19"/>
      <c r="H2314" s="19"/>
      <c r="I2314" s="19"/>
    </row>
    <row r="2315" ht="56.25" customHeight="1">
      <c r="A2315" s="21" t="s">
        <v>5209</v>
      </c>
      <c r="B2315" s="19" t="str">
        <f>image("https://storage.googleapis.com/acdb/photos/BromideNpcNmlFlg12_Remake_1_0.png")</f>
        <v/>
      </c>
      <c r="C2315" s="21" t="s">
        <v>795</v>
      </c>
      <c r="D2315" s="21" t="s">
        <v>51</v>
      </c>
      <c r="E2315" s="21">
        <v>10.0</v>
      </c>
      <c r="F2315" s="21" t="s">
        <v>2289</v>
      </c>
      <c r="G2315" s="19"/>
      <c r="H2315" s="19"/>
      <c r="I2315" s="19"/>
    </row>
    <row r="2316" ht="56.25" customHeight="1">
      <c r="A2316" s="21" t="s">
        <v>5209</v>
      </c>
      <c r="B2316" s="19" t="str">
        <f>image("https://storage.googleapis.com/acdb/photos/BromideNpcNmlFlg12_Remake_2_0.png")</f>
        <v/>
      </c>
      <c r="C2316" s="21" t="s">
        <v>954</v>
      </c>
      <c r="D2316" s="21" t="s">
        <v>51</v>
      </c>
      <c r="E2316" s="21">
        <v>10.0</v>
      </c>
      <c r="F2316" s="21" t="s">
        <v>2289</v>
      </c>
      <c r="G2316" s="19"/>
      <c r="H2316" s="19"/>
      <c r="I2316" s="19"/>
    </row>
    <row r="2317" ht="56.25" customHeight="1">
      <c r="A2317" s="21" t="s">
        <v>5209</v>
      </c>
      <c r="B2317" s="19" t="str">
        <f>image("https://storage.googleapis.com/acdb/photos/BromideNpcNmlFlg12_Remake_3_0.png")</f>
        <v/>
      </c>
      <c r="C2317" s="21" t="s">
        <v>82</v>
      </c>
      <c r="D2317" s="21" t="s">
        <v>51</v>
      </c>
      <c r="E2317" s="21">
        <v>10.0</v>
      </c>
      <c r="F2317" s="21" t="s">
        <v>2289</v>
      </c>
      <c r="G2317" s="19"/>
      <c r="H2317" s="19"/>
      <c r="I2317" s="19"/>
    </row>
    <row r="2318" ht="56.25" customHeight="1">
      <c r="A2318" s="21" t="s">
        <v>5209</v>
      </c>
      <c r="B2318" s="19" t="str">
        <f>image("https://storage.googleapis.com/acdb/photos/BromideNpcNmlFlg12_Remake_4_0.png")</f>
        <v/>
      </c>
      <c r="C2318" s="21" t="s">
        <v>833</v>
      </c>
      <c r="D2318" s="21" t="s">
        <v>51</v>
      </c>
      <c r="E2318" s="21">
        <v>10.0</v>
      </c>
      <c r="F2318" s="21" t="s">
        <v>2289</v>
      </c>
      <c r="G2318" s="19"/>
      <c r="H2318" s="19"/>
      <c r="I2318" s="19"/>
    </row>
    <row r="2319" ht="56.25" customHeight="1">
      <c r="A2319" s="21" t="s">
        <v>5209</v>
      </c>
      <c r="B2319" s="19" t="str">
        <f>image("https://storage.googleapis.com/acdb/photos/BromideNpcNmlFlg12_Remake_5_0.png")</f>
        <v/>
      </c>
      <c r="C2319" s="21" t="s">
        <v>258</v>
      </c>
      <c r="D2319" s="21" t="s">
        <v>51</v>
      </c>
      <c r="E2319" s="21">
        <v>10.0</v>
      </c>
      <c r="F2319" s="21" t="s">
        <v>2289</v>
      </c>
      <c r="G2319" s="19"/>
      <c r="H2319" s="19"/>
      <c r="I2319" s="19"/>
    </row>
    <row r="2320" ht="56.25" customHeight="1">
      <c r="A2320" s="21" t="s">
        <v>5209</v>
      </c>
      <c r="B2320" s="19" t="str">
        <f>image("https://storage.googleapis.com/acdb/photos/BromideNpcNmlFlg12_Remake_6_0.png")</f>
        <v/>
      </c>
      <c r="C2320" s="21" t="s">
        <v>182</v>
      </c>
      <c r="D2320" s="21" t="s">
        <v>51</v>
      </c>
      <c r="E2320" s="21">
        <v>10.0</v>
      </c>
      <c r="F2320" s="21" t="s">
        <v>2289</v>
      </c>
      <c r="G2320" s="19"/>
      <c r="H2320" s="19"/>
      <c r="I2320" s="19"/>
    </row>
    <row r="2321" ht="56.25" customHeight="1">
      <c r="A2321" s="21" t="s">
        <v>5209</v>
      </c>
      <c r="B2321" s="19" t="str">
        <f>image("https://storage.googleapis.com/acdb/photos/BromideNpcNmlFlg12_Remake_7_0.png")</f>
        <v/>
      </c>
      <c r="C2321" s="21" t="s">
        <v>187</v>
      </c>
      <c r="D2321" s="21" t="s">
        <v>51</v>
      </c>
      <c r="E2321" s="21">
        <v>10.0</v>
      </c>
      <c r="F2321" s="21" t="s">
        <v>2289</v>
      </c>
      <c r="G2321" s="19"/>
      <c r="H2321" s="19"/>
      <c r="I2321" s="19"/>
    </row>
    <row r="2322" ht="56.25" customHeight="1">
      <c r="A2322" s="21" t="s">
        <v>5211</v>
      </c>
      <c r="B2322" s="19" t="str">
        <f>image("https://storage.googleapis.com/acdb/photos/BromideNpcNmlPgn06_Remake_0_0.png")</f>
        <v/>
      </c>
      <c r="C2322" s="21" t="s">
        <v>219</v>
      </c>
      <c r="D2322" s="21" t="s">
        <v>51</v>
      </c>
      <c r="E2322" s="21">
        <v>10.0</v>
      </c>
      <c r="F2322" s="21" t="s">
        <v>2289</v>
      </c>
      <c r="G2322" s="19"/>
      <c r="H2322" s="19"/>
      <c r="I2322" s="19"/>
    </row>
    <row r="2323" ht="56.25" customHeight="1">
      <c r="A2323" s="21" t="s">
        <v>5211</v>
      </c>
      <c r="B2323" s="19" t="str">
        <f>image("https://storage.googleapis.com/acdb/photos/BromideNpcNmlPgn06_Remake_1_0.png")</f>
        <v/>
      </c>
      <c r="C2323" s="21" t="s">
        <v>795</v>
      </c>
      <c r="D2323" s="21" t="s">
        <v>51</v>
      </c>
      <c r="E2323" s="21">
        <v>10.0</v>
      </c>
      <c r="F2323" s="21" t="s">
        <v>2289</v>
      </c>
      <c r="G2323" s="19"/>
      <c r="H2323" s="19"/>
      <c r="I2323" s="19"/>
    </row>
    <row r="2324" ht="56.25" customHeight="1">
      <c r="A2324" s="21" t="s">
        <v>5211</v>
      </c>
      <c r="B2324" s="19" t="str">
        <f>image("https://storage.googleapis.com/acdb/photos/BromideNpcNmlPgn06_Remake_2_0.png")</f>
        <v/>
      </c>
      <c r="C2324" s="21" t="s">
        <v>954</v>
      </c>
      <c r="D2324" s="21" t="s">
        <v>51</v>
      </c>
      <c r="E2324" s="21">
        <v>10.0</v>
      </c>
      <c r="F2324" s="21" t="s">
        <v>2289</v>
      </c>
      <c r="G2324" s="19"/>
      <c r="H2324" s="19"/>
      <c r="I2324" s="19"/>
    </row>
    <row r="2325" ht="56.25" customHeight="1">
      <c r="A2325" s="21" t="s">
        <v>5211</v>
      </c>
      <c r="B2325" s="19" t="str">
        <f>image("https://storage.googleapis.com/acdb/photos/BromideNpcNmlPgn06_Remake_3_0.png")</f>
        <v/>
      </c>
      <c r="C2325" s="21" t="s">
        <v>82</v>
      </c>
      <c r="D2325" s="21" t="s">
        <v>51</v>
      </c>
      <c r="E2325" s="21">
        <v>10.0</v>
      </c>
      <c r="F2325" s="21" t="s">
        <v>2289</v>
      </c>
      <c r="G2325" s="19"/>
      <c r="H2325" s="19"/>
      <c r="I2325" s="19"/>
    </row>
    <row r="2326" ht="56.25" customHeight="1">
      <c r="A2326" s="21" t="s">
        <v>5211</v>
      </c>
      <c r="B2326" s="19" t="str">
        <f>image("https://storage.googleapis.com/acdb/photos/BromideNpcNmlPgn06_Remake_4_0.png")</f>
        <v/>
      </c>
      <c r="C2326" s="21" t="s">
        <v>833</v>
      </c>
      <c r="D2326" s="21" t="s">
        <v>51</v>
      </c>
      <c r="E2326" s="21">
        <v>10.0</v>
      </c>
      <c r="F2326" s="21" t="s">
        <v>2289</v>
      </c>
      <c r="G2326" s="19"/>
      <c r="H2326" s="19"/>
      <c r="I2326" s="19"/>
    </row>
    <row r="2327" ht="56.25" customHeight="1">
      <c r="A2327" s="21" t="s">
        <v>5211</v>
      </c>
      <c r="B2327" s="19" t="str">
        <f>image("https://storage.googleapis.com/acdb/photos/BromideNpcNmlPgn06_Remake_5_0.png")</f>
        <v/>
      </c>
      <c r="C2327" s="21" t="s">
        <v>258</v>
      </c>
      <c r="D2327" s="21" t="s">
        <v>51</v>
      </c>
      <c r="E2327" s="21">
        <v>10.0</v>
      </c>
      <c r="F2327" s="21" t="s">
        <v>2289</v>
      </c>
      <c r="G2327" s="19"/>
      <c r="H2327" s="19"/>
      <c r="I2327" s="19"/>
    </row>
    <row r="2328" ht="56.25" customHeight="1">
      <c r="A2328" s="21" t="s">
        <v>5211</v>
      </c>
      <c r="B2328" s="19" t="str">
        <f>image("https://storage.googleapis.com/acdb/photos/BromideNpcNmlPgn06_Remake_6_0.png")</f>
        <v/>
      </c>
      <c r="C2328" s="21" t="s">
        <v>182</v>
      </c>
      <c r="D2328" s="21" t="s">
        <v>51</v>
      </c>
      <c r="E2328" s="21">
        <v>10.0</v>
      </c>
      <c r="F2328" s="21" t="s">
        <v>2289</v>
      </c>
      <c r="G2328" s="19"/>
      <c r="H2328" s="19"/>
      <c r="I2328" s="19"/>
    </row>
    <row r="2329" ht="56.25" customHeight="1">
      <c r="A2329" s="21" t="s">
        <v>5211</v>
      </c>
      <c r="B2329" s="19" t="str">
        <f>image("https://storage.googleapis.com/acdb/photos/BromideNpcNmlPgn06_Remake_7_0.png")</f>
        <v/>
      </c>
      <c r="C2329" s="21" t="s">
        <v>187</v>
      </c>
      <c r="D2329" s="21" t="s">
        <v>51</v>
      </c>
      <c r="E2329" s="21">
        <v>10.0</v>
      </c>
      <c r="F2329" s="21" t="s">
        <v>2289</v>
      </c>
      <c r="G2329" s="19"/>
      <c r="H2329" s="19"/>
      <c r="I2329" s="19"/>
    </row>
    <row r="2330" ht="56.25" customHeight="1">
      <c r="A2330" s="21" t="s">
        <v>5212</v>
      </c>
      <c r="B2330" s="19" t="str">
        <f>image("https://storage.googleapis.com/acdb/photos/BromideNpcNmlFlg06_Remake_0_0.png")</f>
        <v/>
      </c>
      <c r="C2330" s="21" t="s">
        <v>219</v>
      </c>
      <c r="D2330" s="21" t="s">
        <v>51</v>
      </c>
      <c r="E2330" s="21">
        <v>10.0</v>
      </c>
      <c r="F2330" s="21" t="s">
        <v>2289</v>
      </c>
      <c r="G2330" s="19"/>
      <c r="H2330" s="19"/>
      <c r="I2330" s="19"/>
    </row>
    <row r="2331" ht="56.25" customHeight="1">
      <c r="A2331" s="21" t="s">
        <v>5212</v>
      </c>
      <c r="B2331" s="19" t="str">
        <f>image("https://storage.googleapis.com/acdb/photos/BromideNpcNmlFlg06_Remake_1_0.png")</f>
        <v/>
      </c>
      <c r="C2331" s="21" t="s">
        <v>795</v>
      </c>
      <c r="D2331" s="21" t="s">
        <v>51</v>
      </c>
      <c r="E2331" s="21">
        <v>10.0</v>
      </c>
      <c r="F2331" s="21" t="s">
        <v>2289</v>
      </c>
      <c r="G2331" s="19"/>
      <c r="H2331" s="19"/>
      <c r="I2331" s="19"/>
    </row>
    <row r="2332" ht="56.25" customHeight="1">
      <c r="A2332" s="21" t="s">
        <v>5212</v>
      </c>
      <c r="B2332" s="19" t="str">
        <f>image("https://storage.googleapis.com/acdb/photos/BromideNpcNmlFlg06_Remake_2_0.png")</f>
        <v/>
      </c>
      <c r="C2332" s="21" t="s">
        <v>954</v>
      </c>
      <c r="D2332" s="21" t="s">
        <v>51</v>
      </c>
      <c r="E2332" s="21">
        <v>10.0</v>
      </c>
      <c r="F2332" s="21" t="s">
        <v>2289</v>
      </c>
      <c r="G2332" s="19"/>
      <c r="H2332" s="19"/>
      <c r="I2332" s="19"/>
    </row>
    <row r="2333" ht="56.25" customHeight="1">
      <c r="A2333" s="21" t="s">
        <v>5212</v>
      </c>
      <c r="B2333" s="19" t="str">
        <f>image("https://storage.googleapis.com/acdb/photos/BromideNpcNmlFlg06_Remake_3_0.png")</f>
        <v/>
      </c>
      <c r="C2333" s="21" t="s">
        <v>82</v>
      </c>
      <c r="D2333" s="21" t="s">
        <v>51</v>
      </c>
      <c r="E2333" s="21">
        <v>10.0</v>
      </c>
      <c r="F2333" s="21" t="s">
        <v>2289</v>
      </c>
      <c r="G2333" s="19"/>
      <c r="H2333" s="19"/>
      <c r="I2333" s="19"/>
    </row>
    <row r="2334" ht="56.25" customHeight="1">
      <c r="A2334" s="21" t="s">
        <v>5212</v>
      </c>
      <c r="B2334" s="19" t="str">
        <f>image("https://storage.googleapis.com/acdb/photos/BromideNpcNmlFlg06_Remake_4_0.png")</f>
        <v/>
      </c>
      <c r="C2334" s="21" t="s">
        <v>833</v>
      </c>
      <c r="D2334" s="21" t="s">
        <v>51</v>
      </c>
      <c r="E2334" s="21">
        <v>10.0</v>
      </c>
      <c r="F2334" s="21" t="s">
        <v>2289</v>
      </c>
      <c r="G2334" s="19"/>
      <c r="H2334" s="19"/>
      <c r="I2334" s="19"/>
    </row>
    <row r="2335" ht="56.25" customHeight="1">
      <c r="A2335" s="21" t="s">
        <v>5212</v>
      </c>
      <c r="B2335" s="19" t="str">
        <f>image("https://storage.googleapis.com/acdb/photos/BromideNpcNmlFlg06_Remake_5_0.png")</f>
        <v/>
      </c>
      <c r="C2335" s="21" t="s">
        <v>258</v>
      </c>
      <c r="D2335" s="21" t="s">
        <v>51</v>
      </c>
      <c r="E2335" s="21">
        <v>10.0</v>
      </c>
      <c r="F2335" s="21" t="s">
        <v>2289</v>
      </c>
      <c r="G2335" s="19"/>
      <c r="H2335" s="19"/>
      <c r="I2335" s="19"/>
    </row>
    <row r="2336" ht="56.25" customHeight="1">
      <c r="A2336" s="21" t="s">
        <v>5212</v>
      </c>
      <c r="B2336" s="19" t="str">
        <f>image("https://storage.googleapis.com/acdb/photos/BromideNpcNmlFlg06_Remake_6_0.png")</f>
        <v/>
      </c>
      <c r="C2336" s="21" t="s">
        <v>182</v>
      </c>
      <c r="D2336" s="21" t="s">
        <v>51</v>
      </c>
      <c r="E2336" s="21">
        <v>10.0</v>
      </c>
      <c r="F2336" s="21" t="s">
        <v>2289</v>
      </c>
      <c r="G2336" s="19"/>
      <c r="H2336" s="19"/>
      <c r="I2336" s="19"/>
    </row>
    <row r="2337" ht="56.25" customHeight="1">
      <c r="A2337" s="21" t="s">
        <v>5212</v>
      </c>
      <c r="B2337" s="19" t="str">
        <f>image("https://storage.googleapis.com/acdb/photos/BromideNpcNmlFlg06_Remake_7_0.png")</f>
        <v/>
      </c>
      <c r="C2337" s="21" t="s">
        <v>187</v>
      </c>
      <c r="D2337" s="21" t="s">
        <v>51</v>
      </c>
      <c r="E2337" s="21">
        <v>10.0</v>
      </c>
      <c r="F2337" s="21" t="s">
        <v>2289</v>
      </c>
      <c r="G2337" s="19"/>
      <c r="H2337" s="19"/>
      <c r="I2337" s="19"/>
    </row>
    <row r="2338" ht="56.25" customHeight="1">
      <c r="A2338" s="21" t="s">
        <v>5213</v>
      </c>
      <c r="B2338" s="19" t="str">
        <f>image("https://storage.googleapis.com/acdb/photos/BromideNpcNmlCbr03_Remake_0_0.png")</f>
        <v/>
      </c>
      <c r="C2338" s="21" t="s">
        <v>219</v>
      </c>
      <c r="D2338" s="21" t="s">
        <v>51</v>
      </c>
      <c r="E2338" s="21">
        <v>10.0</v>
      </c>
      <c r="F2338" s="21" t="s">
        <v>2289</v>
      </c>
      <c r="G2338" s="19"/>
      <c r="H2338" s="19"/>
      <c r="I2338" s="19"/>
    </row>
    <row r="2339" ht="56.25" customHeight="1">
      <c r="A2339" s="21" t="s">
        <v>5213</v>
      </c>
      <c r="B2339" s="19" t="str">
        <f>image("https://storage.googleapis.com/acdb/photos/BromideNpcNmlCbr03_Remake_1_0.png")</f>
        <v/>
      </c>
      <c r="C2339" s="21" t="s">
        <v>795</v>
      </c>
      <c r="D2339" s="21" t="s">
        <v>51</v>
      </c>
      <c r="E2339" s="21">
        <v>10.0</v>
      </c>
      <c r="F2339" s="21" t="s">
        <v>2289</v>
      </c>
      <c r="G2339" s="19"/>
      <c r="H2339" s="19"/>
      <c r="I2339" s="19"/>
    </row>
    <row r="2340" ht="56.25" customHeight="1">
      <c r="A2340" s="21" t="s">
        <v>5213</v>
      </c>
      <c r="B2340" s="19" t="str">
        <f>image("https://storage.googleapis.com/acdb/photos/BromideNpcNmlCbr03_Remake_2_0.png")</f>
        <v/>
      </c>
      <c r="C2340" s="21" t="s">
        <v>954</v>
      </c>
      <c r="D2340" s="21" t="s">
        <v>51</v>
      </c>
      <c r="E2340" s="21">
        <v>10.0</v>
      </c>
      <c r="F2340" s="21" t="s">
        <v>2289</v>
      </c>
      <c r="G2340" s="19"/>
      <c r="H2340" s="19"/>
      <c r="I2340" s="19"/>
    </row>
    <row r="2341" ht="56.25" customHeight="1">
      <c r="A2341" s="21" t="s">
        <v>5213</v>
      </c>
      <c r="B2341" s="19" t="str">
        <f>image("https://storage.googleapis.com/acdb/photos/BromideNpcNmlCbr03_Remake_3_0.png")</f>
        <v/>
      </c>
      <c r="C2341" s="21" t="s">
        <v>82</v>
      </c>
      <c r="D2341" s="21" t="s">
        <v>51</v>
      </c>
      <c r="E2341" s="21">
        <v>10.0</v>
      </c>
      <c r="F2341" s="21" t="s">
        <v>2289</v>
      </c>
      <c r="G2341" s="19"/>
      <c r="H2341" s="19"/>
      <c r="I2341" s="19"/>
    </row>
    <row r="2342" ht="56.25" customHeight="1">
      <c r="A2342" s="21" t="s">
        <v>5213</v>
      </c>
      <c r="B2342" s="19" t="str">
        <f>image("https://storage.googleapis.com/acdb/photos/BromideNpcNmlCbr03_Remake_4_0.png")</f>
        <v/>
      </c>
      <c r="C2342" s="21" t="s">
        <v>833</v>
      </c>
      <c r="D2342" s="21" t="s">
        <v>51</v>
      </c>
      <c r="E2342" s="21">
        <v>10.0</v>
      </c>
      <c r="F2342" s="21" t="s">
        <v>2289</v>
      </c>
      <c r="G2342" s="19"/>
      <c r="H2342" s="19"/>
      <c r="I2342" s="19"/>
    </row>
    <row r="2343" ht="56.25" customHeight="1">
      <c r="A2343" s="21" t="s">
        <v>5213</v>
      </c>
      <c r="B2343" s="19" t="str">
        <f>image("https://storage.googleapis.com/acdb/photos/BromideNpcNmlCbr03_Remake_5_0.png")</f>
        <v/>
      </c>
      <c r="C2343" s="21" t="s">
        <v>258</v>
      </c>
      <c r="D2343" s="21" t="s">
        <v>51</v>
      </c>
      <c r="E2343" s="21">
        <v>10.0</v>
      </c>
      <c r="F2343" s="21" t="s">
        <v>2289</v>
      </c>
      <c r="G2343" s="19"/>
      <c r="H2343" s="19"/>
      <c r="I2343" s="19"/>
    </row>
    <row r="2344" ht="56.25" customHeight="1">
      <c r="A2344" s="21" t="s">
        <v>5213</v>
      </c>
      <c r="B2344" s="19" t="str">
        <f>image("https://storage.googleapis.com/acdb/photos/BromideNpcNmlCbr03_Remake_6_0.png")</f>
        <v/>
      </c>
      <c r="C2344" s="21" t="s">
        <v>182</v>
      </c>
      <c r="D2344" s="21" t="s">
        <v>51</v>
      </c>
      <c r="E2344" s="21">
        <v>10.0</v>
      </c>
      <c r="F2344" s="21" t="s">
        <v>2289</v>
      </c>
      <c r="G2344" s="19"/>
      <c r="H2344" s="19"/>
      <c r="I2344" s="19"/>
    </row>
    <row r="2345" ht="56.25" customHeight="1">
      <c r="A2345" s="21" t="s">
        <v>5213</v>
      </c>
      <c r="B2345" s="19" t="str">
        <f>image("https://storage.googleapis.com/acdb/photos/BromideNpcNmlCbr03_Remake_7_0.png")</f>
        <v/>
      </c>
      <c r="C2345" s="21" t="s">
        <v>187</v>
      </c>
      <c r="D2345" s="21" t="s">
        <v>51</v>
      </c>
      <c r="E2345" s="21">
        <v>10.0</v>
      </c>
      <c r="F2345" s="21" t="s">
        <v>2289</v>
      </c>
      <c r="G2345" s="19"/>
      <c r="H2345" s="19"/>
      <c r="I2345" s="19"/>
    </row>
    <row r="2346" ht="56.25" customHeight="1">
      <c r="A2346" s="21" t="s">
        <v>5219</v>
      </c>
      <c r="B2346" s="19" t="str">
        <f>image("https://storage.googleapis.com/acdb/photos/BromideNpcNmlCat06_Remake_0_0.png")</f>
        <v/>
      </c>
      <c r="C2346" s="21" t="s">
        <v>219</v>
      </c>
      <c r="D2346" s="21" t="s">
        <v>51</v>
      </c>
      <c r="E2346" s="21">
        <v>10.0</v>
      </c>
      <c r="F2346" s="21" t="s">
        <v>2289</v>
      </c>
      <c r="G2346" s="19"/>
      <c r="H2346" s="19"/>
      <c r="I2346" s="19"/>
    </row>
    <row r="2347" ht="56.25" customHeight="1">
      <c r="A2347" s="21" t="s">
        <v>5219</v>
      </c>
      <c r="B2347" s="19" t="str">
        <f>image("https://storage.googleapis.com/acdb/photos/BromideNpcNmlCat06_Remake_1_0.png")</f>
        <v/>
      </c>
      <c r="C2347" s="21" t="s">
        <v>795</v>
      </c>
      <c r="D2347" s="21" t="s">
        <v>51</v>
      </c>
      <c r="E2347" s="21">
        <v>10.0</v>
      </c>
      <c r="F2347" s="21" t="s">
        <v>2289</v>
      </c>
      <c r="G2347" s="19"/>
      <c r="H2347" s="19"/>
      <c r="I2347" s="19"/>
    </row>
    <row r="2348" ht="56.25" customHeight="1">
      <c r="A2348" s="21" t="s">
        <v>5219</v>
      </c>
      <c r="B2348" s="19" t="str">
        <f>image("https://storage.googleapis.com/acdb/photos/BromideNpcNmlCat06_Remake_2_0.png")</f>
        <v/>
      </c>
      <c r="C2348" s="21" t="s">
        <v>954</v>
      </c>
      <c r="D2348" s="21" t="s">
        <v>51</v>
      </c>
      <c r="E2348" s="21">
        <v>10.0</v>
      </c>
      <c r="F2348" s="21" t="s">
        <v>2289</v>
      </c>
      <c r="G2348" s="19"/>
      <c r="H2348" s="19"/>
      <c r="I2348" s="19"/>
    </row>
    <row r="2349" ht="56.25" customHeight="1">
      <c r="A2349" s="21" t="s">
        <v>5219</v>
      </c>
      <c r="B2349" s="19" t="str">
        <f>image("https://storage.googleapis.com/acdb/photos/BromideNpcNmlCat06_Remake_3_0.png")</f>
        <v/>
      </c>
      <c r="C2349" s="21" t="s">
        <v>82</v>
      </c>
      <c r="D2349" s="21" t="s">
        <v>51</v>
      </c>
      <c r="E2349" s="21">
        <v>10.0</v>
      </c>
      <c r="F2349" s="21" t="s">
        <v>2289</v>
      </c>
      <c r="G2349" s="19"/>
      <c r="H2349" s="19"/>
      <c r="I2349" s="19"/>
    </row>
    <row r="2350" ht="56.25" customHeight="1">
      <c r="A2350" s="21" t="s">
        <v>5219</v>
      </c>
      <c r="B2350" s="19" t="str">
        <f>image("https://storage.googleapis.com/acdb/photos/BromideNpcNmlCat06_Remake_4_0.png")</f>
        <v/>
      </c>
      <c r="C2350" s="21" t="s">
        <v>833</v>
      </c>
      <c r="D2350" s="21" t="s">
        <v>51</v>
      </c>
      <c r="E2350" s="21">
        <v>10.0</v>
      </c>
      <c r="F2350" s="21" t="s">
        <v>2289</v>
      </c>
      <c r="G2350" s="19"/>
      <c r="H2350" s="19"/>
      <c r="I2350" s="19"/>
    </row>
    <row r="2351" ht="56.25" customHeight="1">
      <c r="A2351" s="21" t="s">
        <v>5219</v>
      </c>
      <c r="B2351" s="19" t="str">
        <f>image("https://storage.googleapis.com/acdb/photos/BromideNpcNmlCat06_Remake_5_0.png")</f>
        <v/>
      </c>
      <c r="C2351" s="21" t="s">
        <v>258</v>
      </c>
      <c r="D2351" s="21" t="s">
        <v>51</v>
      </c>
      <c r="E2351" s="21">
        <v>10.0</v>
      </c>
      <c r="F2351" s="21" t="s">
        <v>2289</v>
      </c>
      <c r="G2351" s="19"/>
      <c r="H2351" s="19"/>
      <c r="I2351" s="19"/>
    </row>
    <row r="2352" ht="56.25" customHeight="1">
      <c r="A2352" s="21" t="s">
        <v>5219</v>
      </c>
      <c r="B2352" s="19" t="str">
        <f>image("https://storage.googleapis.com/acdb/photos/BromideNpcNmlCat06_Remake_6_0.png")</f>
        <v/>
      </c>
      <c r="C2352" s="21" t="s">
        <v>182</v>
      </c>
      <c r="D2352" s="21" t="s">
        <v>51</v>
      </c>
      <c r="E2352" s="21">
        <v>10.0</v>
      </c>
      <c r="F2352" s="21" t="s">
        <v>2289</v>
      </c>
      <c r="G2352" s="19"/>
      <c r="H2352" s="19"/>
      <c r="I2352" s="19"/>
    </row>
    <row r="2353" ht="56.25" customHeight="1">
      <c r="A2353" s="21" t="s">
        <v>5219</v>
      </c>
      <c r="B2353" s="19" t="str">
        <f>image("https://storage.googleapis.com/acdb/photos/BromideNpcNmlCat06_Remake_7_0.png")</f>
        <v/>
      </c>
      <c r="C2353" s="21" t="s">
        <v>187</v>
      </c>
      <c r="D2353" s="21" t="s">
        <v>51</v>
      </c>
      <c r="E2353" s="21">
        <v>10.0</v>
      </c>
      <c r="F2353" s="21" t="s">
        <v>2289</v>
      </c>
      <c r="G2353" s="19"/>
      <c r="H2353" s="19"/>
      <c r="I2353" s="19"/>
    </row>
    <row r="2354" ht="56.25" customHeight="1">
      <c r="A2354" s="21" t="s">
        <v>5226</v>
      </c>
      <c r="B2354" s="19" t="str">
        <f>image("https://storage.googleapis.com/acdb/photos/BromideNpcNmlCat07_Remake_0_0.png")</f>
        <v/>
      </c>
      <c r="C2354" s="21" t="s">
        <v>219</v>
      </c>
      <c r="D2354" s="21" t="s">
        <v>51</v>
      </c>
      <c r="E2354" s="21">
        <v>10.0</v>
      </c>
      <c r="F2354" s="21" t="s">
        <v>2289</v>
      </c>
      <c r="G2354" s="19"/>
      <c r="H2354" s="19"/>
      <c r="I2354" s="19"/>
    </row>
    <row r="2355" ht="56.25" customHeight="1">
      <c r="A2355" s="21" t="s">
        <v>5226</v>
      </c>
      <c r="B2355" s="19" t="str">
        <f>image("https://storage.googleapis.com/acdb/photos/BromideNpcNmlCat07_Remake_1_0.png")</f>
        <v/>
      </c>
      <c r="C2355" s="21" t="s">
        <v>795</v>
      </c>
      <c r="D2355" s="21" t="s">
        <v>51</v>
      </c>
      <c r="E2355" s="21">
        <v>10.0</v>
      </c>
      <c r="F2355" s="21" t="s">
        <v>2289</v>
      </c>
      <c r="G2355" s="19"/>
      <c r="H2355" s="19"/>
      <c r="I2355" s="19"/>
    </row>
    <row r="2356" ht="56.25" customHeight="1">
      <c r="A2356" s="21" t="s">
        <v>5226</v>
      </c>
      <c r="B2356" s="19" t="str">
        <f>image("https://storage.googleapis.com/acdb/photos/BromideNpcNmlCat07_Remake_2_0.png")</f>
        <v/>
      </c>
      <c r="C2356" s="21" t="s">
        <v>954</v>
      </c>
      <c r="D2356" s="21" t="s">
        <v>51</v>
      </c>
      <c r="E2356" s="21">
        <v>10.0</v>
      </c>
      <c r="F2356" s="21" t="s">
        <v>2289</v>
      </c>
      <c r="G2356" s="19"/>
      <c r="H2356" s="19"/>
      <c r="I2356" s="19"/>
    </row>
    <row r="2357" ht="56.25" customHeight="1">
      <c r="A2357" s="21" t="s">
        <v>5226</v>
      </c>
      <c r="B2357" s="19" t="str">
        <f>image("https://storage.googleapis.com/acdb/photos/BromideNpcNmlCat07_Remake_3_0.png")</f>
        <v/>
      </c>
      <c r="C2357" s="21" t="s">
        <v>82</v>
      </c>
      <c r="D2357" s="21" t="s">
        <v>51</v>
      </c>
      <c r="E2357" s="21">
        <v>10.0</v>
      </c>
      <c r="F2357" s="21" t="s">
        <v>2289</v>
      </c>
      <c r="G2357" s="19"/>
      <c r="H2357" s="19"/>
      <c r="I2357" s="19"/>
    </row>
    <row r="2358" ht="56.25" customHeight="1">
      <c r="A2358" s="21" t="s">
        <v>5226</v>
      </c>
      <c r="B2358" s="19" t="str">
        <f>image("https://storage.googleapis.com/acdb/photos/BromideNpcNmlCat07_Remake_4_0.png")</f>
        <v/>
      </c>
      <c r="C2358" s="21" t="s">
        <v>833</v>
      </c>
      <c r="D2358" s="21" t="s">
        <v>51</v>
      </c>
      <c r="E2358" s="21">
        <v>10.0</v>
      </c>
      <c r="F2358" s="21" t="s">
        <v>2289</v>
      </c>
      <c r="G2358" s="19"/>
      <c r="H2358" s="19"/>
      <c r="I2358" s="19"/>
    </row>
    <row r="2359" ht="56.25" customHeight="1">
      <c r="A2359" s="21" t="s">
        <v>5226</v>
      </c>
      <c r="B2359" s="19" t="str">
        <f>image("https://storage.googleapis.com/acdb/photos/BromideNpcNmlCat07_Remake_5_0.png")</f>
        <v/>
      </c>
      <c r="C2359" s="21" t="s">
        <v>258</v>
      </c>
      <c r="D2359" s="21" t="s">
        <v>51</v>
      </c>
      <c r="E2359" s="21">
        <v>10.0</v>
      </c>
      <c r="F2359" s="21" t="s">
        <v>2289</v>
      </c>
      <c r="G2359" s="19"/>
      <c r="H2359" s="19"/>
      <c r="I2359" s="19"/>
    </row>
    <row r="2360" ht="56.25" customHeight="1">
      <c r="A2360" s="21" t="s">
        <v>5226</v>
      </c>
      <c r="B2360" s="19" t="str">
        <f>image("https://storage.googleapis.com/acdb/photos/BromideNpcNmlCat07_Remake_6_0.png")</f>
        <v/>
      </c>
      <c r="C2360" s="21" t="s">
        <v>182</v>
      </c>
      <c r="D2360" s="21" t="s">
        <v>51</v>
      </c>
      <c r="E2360" s="21">
        <v>10.0</v>
      </c>
      <c r="F2360" s="21" t="s">
        <v>2289</v>
      </c>
      <c r="G2360" s="19"/>
      <c r="H2360" s="19"/>
      <c r="I2360" s="19"/>
    </row>
    <row r="2361" ht="56.25" customHeight="1">
      <c r="A2361" s="21" t="s">
        <v>5226</v>
      </c>
      <c r="B2361" s="19" t="str">
        <f>image("https://storage.googleapis.com/acdb/photos/BromideNpcNmlCat07_Remake_7_0.png")</f>
        <v/>
      </c>
      <c r="C2361" s="21" t="s">
        <v>187</v>
      </c>
      <c r="D2361" s="21" t="s">
        <v>51</v>
      </c>
      <c r="E2361" s="21">
        <v>10.0</v>
      </c>
      <c r="F2361" s="21" t="s">
        <v>2289</v>
      </c>
      <c r="G2361" s="19"/>
      <c r="H2361" s="19"/>
      <c r="I2361" s="19"/>
    </row>
    <row r="2362" ht="56.25" customHeight="1">
      <c r="A2362" s="21" t="s">
        <v>5230</v>
      </c>
      <c r="B2362" s="19" t="str">
        <f>image("https://storage.googleapis.com/acdb/photos/BromideNpcNmlOst00_Remake_0_0.png")</f>
        <v/>
      </c>
      <c r="C2362" s="21" t="s">
        <v>219</v>
      </c>
      <c r="D2362" s="21" t="s">
        <v>51</v>
      </c>
      <c r="E2362" s="21">
        <v>10.0</v>
      </c>
      <c r="F2362" s="21" t="s">
        <v>2289</v>
      </c>
      <c r="G2362" s="19"/>
      <c r="H2362" s="19"/>
      <c r="I2362" s="19"/>
    </row>
    <row r="2363" ht="56.25" customHeight="1">
      <c r="A2363" s="21" t="s">
        <v>5230</v>
      </c>
      <c r="B2363" s="19" t="str">
        <f>image("https://storage.googleapis.com/acdb/photos/BromideNpcNmlOst00_Remake_1_0.png")</f>
        <v/>
      </c>
      <c r="C2363" s="21" t="s">
        <v>795</v>
      </c>
      <c r="D2363" s="21" t="s">
        <v>51</v>
      </c>
      <c r="E2363" s="21">
        <v>10.0</v>
      </c>
      <c r="F2363" s="21" t="s">
        <v>2289</v>
      </c>
      <c r="G2363" s="19"/>
      <c r="H2363" s="19"/>
      <c r="I2363" s="19"/>
    </row>
    <row r="2364" ht="56.25" customHeight="1">
      <c r="A2364" s="21" t="s">
        <v>5230</v>
      </c>
      <c r="B2364" s="19" t="str">
        <f>image("https://storage.googleapis.com/acdb/photos/BromideNpcNmlOst00_Remake_2_0.png")</f>
        <v/>
      </c>
      <c r="C2364" s="21" t="s">
        <v>954</v>
      </c>
      <c r="D2364" s="21" t="s">
        <v>51</v>
      </c>
      <c r="E2364" s="21">
        <v>10.0</v>
      </c>
      <c r="F2364" s="21" t="s">
        <v>2289</v>
      </c>
      <c r="G2364" s="19"/>
      <c r="H2364" s="19"/>
      <c r="I2364" s="19"/>
    </row>
    <row r="2365" ht="56.25" customHeight="1">
      <c r="A2365" s="21" t="s">
        <v>5230</v>
      </c>
      <c r="B2365" s="19" t="str">
        <f>image("https://storage.googleapis.com/acdb/photos/BromideNpcNmlOst00_Remake_3_0.png")</f>
        <v/>
      </c>
      <c r="C2365" s="21" t="s">
        <v>82</v>
      </c>
      <c r="D2365" s="21" t="s">
        <v>51</v>
      </c>
      <c r="E2365" s="21">
        <v>10.0</v>
      </c>
      <c r="F2365" s="21" t="s">
        <v>2289</v>
      </c>
      <c r="G2365" s="19"/>
      <c r="H2365" s="19"/>
      <c r="I2365" s="19"/>
    </row>
    <row r="2366" ht="56.25" customHeight="1">
      <c r="A2366" s="21" t="s">
        <v>5230</v>
      </c>
      <c r="B2366" s="19" t="str">
        <f>image("https://storage.googleapis.com/acdb/photos/BromideNpcNmlOst00_Remake_4_0.png")</f>
        <v/>
      </c>
      <c r="C2366" s="21" t="s">
        <v>833</v>
      </c>
      <c r="D2366" s="21" t="s">
        <v>51</v>
      </c>
      <c r="E2366" s="21">
        <v>10.0</v>
      </c>
      <c r="F2366" s="21" t="s">
        <v>2289</v>
      </c>
      <c r="G2366" s="19"/>
      <c r="H2366" s="19"/>
      <c r="I2366" s="19"/>
    </row>
    <row r="2367" ht="56.25" customHeight="1">
      <c r="A2367" s="21" t="s">
        <v>5230</v>
      </c>
      <c r="B2367" s="19" t="str">
        <f>image("https://storage.googleapis.com/acdb/photos/BromideNpcNmlOst00_Remake_5_0.png")</f>
        <v/>
      </c>
      <c r="C2367" s="21" t="s">
        <v>258</v>
      </c>
      <c r="D2367" s="21" t="s">
        <v>51</v>
      </c>
      <c r="E2367" s="21">
        <v>10.0</v>
      </c>
      <c r="F2367" s="21" t="s">
        <v>2289</v>
      </c>
      <c r="G2367" s="19"/>
      <c r="H2367" s="19"/>
      <c r="I2367" s="19"/>
    </row>
    <row r="2368" ht="56.25" customHeight="1">
      <c r="A2368" s="21" t="s">
        <v>5230</v>
      </c>
      <c r="B2368" s="19" t="str">
        <f>image("https://storage.googleapis.com/acdb/photos/BromideNpcNmlOst00_Remake_6_0.png")</f>
        <v/>
      </c>
      <c r="C2368" s="21" t="s">
        <v>182</v>
      </c>
      <c r="D2368" s="21" t="s">
        <v>51</v>
      </c>
      <c r="E2368" s="21">
        <v>10.0</v>
      </c>
      <c r="F2368" s="21" t="s">
        <v>2289</v>
      </c>
      <c r="G2368" s="19"/>
      <c r="H2368" s="19"/>
      <c r="I2368" s="19"/>
    </row>
    <row r="2369" ht="56.25" customHeight="1">
      <c r="A2369" s="21" t="s">
        <v>5230</v>
      </c>
      <c r="B2369" s="19" t="str">
        <f>image("https://storage.googleapis.com/acdb/photos/BromideNpcNmlOst00_Remake_7_0.png")</f>
        <v/>
      </c>
      <c r="C2369" s="21" t="s">
        <v>187</v>
      </c>
      <c r="D2369" s="21" t="s">
        <v>51</v>
      </c>
      <c r="E2369" s="21">
        <v>10.0</v>
      </c>
      <c r="F2369" s="21" t="s">
        <v>2289</v>
      </c>
      <c r="G2369" s="19"/>
      <c r="H2369" s="19"/>
      <c r="I2369" s="19"/>
    </row>
    <row r="2370" ht="56.25" customHeight="1">
      <c r="A2370" s="21" t="s">
        <v>5236</v>
      </c>
      <c r="B2370" s="19" t="str">
        <f>image("https://storage.googleapis.com/acdb/photos/BromideNpcNmlDuk17_Remake_0_0.png")</f>
        <v/>
      </c>
      <c r="C2370" s="21" t="s">
        <v>219</v>
      </c>
      <c r="D2370" s="21" t="s">
        <v>51</v>
      </c>
      <c r="E2370" s="21">
        <v>10.0</v>
      </c>
      <c r="F2370" s="21" t="s">
        <v>2289</v>
      </c>
      <c r="G2370" s="19"/>
      <c r="H2370" s="19"/>
      <c r="I2370" s="19"/>
    </row>
    <row r="2371" ht="56.25" customHeight="1">
      <c r="A2371" s="21" t="s">
        <v>5236</v>
      </c>
      <c r="B2371" s="19" t="str">
        <f>image("https://storage.googleapis.com/acdb/photos/BromideNpcNmlDuk17_Remake_1_0.png")</f>
        <v/>
      </c>
      <c r="C2371" s="21" t="s">
        <v>795</v>
      </c>
      <c r="D2371" s="21" t="s">
        <v>51</v>
      </c>
      <c r="E2371" s="21">
        <v>10.0</v>
      </c>
      <c r="F2371" s="21" t="s">
        <v>2289</v>
      </c>
      <c r="G2371" s="19"/>
      <c r="H2371" s="19"/>
      <c r="I2371" s="19"/>
    </row>
    <row r="2372" ht="56.25" customHeight="1">
      <c r="A2372" s="21" t="s">
        <v>5236</v>
      </c>
      <c r="B2372" s="19" t="str">
        <f>image("https://storage.googleapis.com/acdb/photos/BromideNpcNmlDuk17_Remake_2_0.png")</f>
        <v/>
      </c>
      <c r="C2372" s="21" t="s">
        <v>954</v>
      </c>
      <c r="D2372" s="21" t="s">
        <v>51</v>
      </c>
      <c r="E2372" s="21">
        <v>10.0</v>
      </c>
      <c r="F2372" s="21" t="s">
        <v>2289</v>
      </c>
      <c r="G2372" s="19"/>
      <c r="H2372" s="19"/>
      <c r="I2372" s="19"/>
    </row>
    <row r="2373" ht="56.25" customHeight="1">
      <c r="A2373" s="21" t="s">
        <v>5236</v>
      </c>
      <c r="B2373" s="19" t="str">
        <f>image("https://storage.googleapis.com/acdb/photos/BromideNpcNmlDuk17_Remake_3_0.png")</f>
        <v/>
      </c>
      <c r="C2373" s="21" t="s">
        <v>82</v>
      </c>
      <c r="D2373" s="21" t="s">
        <v>51</v>
      </c>
      <c r="E2373" s="21">
        <v>10.0</v>
      </c>
      <c r="F2373" s="21" t="s">
        <v>2289</v>
      </c>
      <c r="G2373" s="19"/>
      <c r="H2373" s="19"/>
      <c r="I2373" s="19"/>
    </row>
    <row r="2374" ht="56.25" customHeight="1">
      <c r="A2374" s="21" t="s">
        <v>5236</v>
      </c>
      <c r="B2374" s="19" t="str">
        <f>image("https://storage.googleapis.com/acdb/photos/BromideNpcNmlDuk17_Remake_4_0.png")</f>
        <v/>
      </c>
      <c r="C2374" s="21" t="s">
        <v>833</v>
      </c>
      <c r="D2374" s="21" t="s">
        <v>51</v>
      </c>
      <c r="E2374" s="21">
        <v>10.0</v>
      </c>
      <c r="F2374" s="21" t="s">
        <v>2289</v>
      </c>
      <c r="G2374" s="19"/>
      <c r="H2374" s="19"/>
      <c r="I2374" s="19"/>
    </row>
    <row r="2375" ht="56.25" customHeight="1">
      <c r="A2375" s="21" t="s">
        <v>5236</v>
      </c>
      <c r="B2375" s="19" t="str">
        <f>image("https://storage.googleapis.com/acdb/photos/BromideNpcNmlDuk17_Remake_5_0.png")</f>
        <v/>
      </c>
      <c r="C2375" s="21" t="s">
        <v>258</v>
      </c>
      <c r="D2375" s="21" t="s">
        <v>51</v>
      </c>
      <c r="E2375" s="21">
        <v>10.0</v>
      </c>
      <c r="F2375" s="21" t="s">
        <v>2289</v>
      </c>
      <c r="G2375" s="19"/>
      <c r="H2375" s="19"/>
      <c r="I2375" s="19"/>
    </row>
    <row r="2376" ht="56.25" customHeight="1">
      <c r="A2376" s="21" t="s">
        <v>5236</v>
      </c>
      <c r="B2376" s="19" t="str">
        <f>image("https://storage.googleapis.com/acdb/photos/BromideNpcNmlDuk17_Remake_6_0.png")</f>
        <v/>
      </c>
      <c r="C2376" s="21" t="s">
        <v>182</v>
      </c>
      <c r="D2376" s="21" t="s">
        <v>51</v>
      </c>
      <c r="E2376" s="21">
        <v>10.0</v>
      </c>
      <c r="F2376" s="21" t="s">
        <v>2289</v>
      </c>
      <c r="G2376" s="19"/>
      <c r="H2376" s="19"/>
      <c r="I2376" s="19"/>
    </row>
    <row r="2377" ht="56.25" customHeight="1">
      <c r="A2377" s="21" t="s">
        <v>5236</v>
      </c>
      <c r="B2377" s="19" t="str">
        <f>image("https://storage.googleapis.com/acdb/photos/BromideNpcNmlDuk17_Remake_7_0.png")</f>
        <v/>
      </c>
      <c r="C2377" s="21" t="s">
        <v>187</v>
      </c>
      <c r="D2377" s="21" t="s">
        <v>51</v>
      </c>
      <c r="E2377" s="21">
        <v>10.0</v>
      </c>
      <c r="F2377" s="21" t="s">
        <v>2289</v>
      </c>
      <c r="G2377" s="19"/>
      <c r="H2377" s="19"/>
      <c r="I2377" s="19"/>
    </row>
    <row r="2378" ht="56.25" customHeight="1">
      <c r="A2378" s="21" t="s">
        <v>5241</v>
      </c>
      <c r="B2378" s="19" t="str">
        <f>image("https://storage.googleapis.com/acdb/photos/BromideNpcNmlFlg15_Remake_0_0.png")</f>
        <v/>
      </c>
      <c r="C2378" s="21" t="s">
        <v>219</v>
      </c>
      <c r="D2378" s="21" t="s">
        <v>51</v>
      </c>
      <c r="E2378" s="21">
        <v>10.0</v>
      </c>
      <c r="F2378" s="21" t="s">
        <v>2289</v>
      </c>
      <c r="G2378" s="19"/>
      <c r="H2378" s="19"/>
      <c r="I2378" s="19"/>
    </row>
    <row r="2379" ht="56.25" customHeight="1">
      <c r="A2379" s="21" t="s">
        <v>5241</v>
      </c>
      <c r="B2379" s="19" t="str">
        <f>image("https://storage.googleapis.com/acdb/photos/BromideNpcNmlFlg15_Remake_1_0.png")</f>
        <v/>
      </c>
      <c r="C2379" s="21" t="s">
        <v>795</v>
      </c>
      <c r="D2379" s="21" t="s">
        <v>51</v>
      </c>
      <c r="E2379" s="21">
        <v>10.0</v>
      </c>
      <c r="F2379" s="21" t="s">
        <v>2289</v>
      </c>
      <c r="G2379" s="19"/>
      <c r="H2379" s="19"/>
      <c r="I2379" s="19"/>
    </row>
    <row r="2380" ht="56.25" customHeight="1">
      <c r="A2380" s="21" t="s">
        <v>5241</v>
      </c>
      <c r="B2380" s="19" t="str">
        <f>image("https://storage.googleapis.com/acdb/photos/BromideNpcNmlFlg15_Remake_2_0.png")</f>
        <v/>
      </c>
      <c r="C2380" s="21" t="s">
        <v>954</v>
      </c>
      <c r="D2380" s="21" t="s">
        <v>51</v>
      </c>
      <c r="E2380" s="21">
        <v>10.0</v>
      </c>
      <c r="F2380" s="21" t="s">
        <v>2289</v>
      </c>
      <c r="G2380" s="19"/>
      <c r="H2380" s="19"/>
      <c r="I2380" s="19"/>
    </row>
    <row r="2381" ht="56.25" customHeight="1">
      <c r="A2381" s="21" t="s">
        <v>5241</v>
      </c>
      <c r="B2381" s="19" t="str">
        <f>image("https://storage.googleapis.com/acdb/photos/BromideNpcNmlFlg15_Remake_3_0.png")</f>
        <v/>
      </c>
      <c r="C2381" s="21" t="s">
        <v>82</v>
      </c>
      <c r="D2381" s="21" t="s">
        <v>51</v>
      </c>
      <c r="E2381" s="21">
        <v>10.0</v>
      </c>
      <c r="F2381" s="21" t="s">
        <v>2289</v>
      </c>
      <c r="G2381" s="19"/>
      <c r="H2381" s="19"/>
      <c r="I2381" s="19"/>
    </row>
    <row r="2382" ht="56.25" customHeight="1">
      <c r="A2382" s="21" t="s">
        <v>5241</v>
      </c>
      <c r="B2382" s="19" t="str">
        <f>image("https://storage.googleapis.com/acdb/photos/BromideNpcNmlFlg15_Remake_4_0.png")</f>
        <v/>
      </c>
      <c r="C2382" s="21" t="s">
        <v>833</v>
      </c>
      <c r="D2382" s="21" t="s">
        <v>51</v>
      </c>
      <c r="E2382" s="21">
        <v>10.0</v>
      </c>
      <c r="F2382" s="21" t="s">
        <v>2289</v>
      </c>
      <c r="G2382" s="19"/>
      <c r="H2382" s="19"/>
      <c r="I2382" s="19"/>
    </row>
    <row r="2383" ht="56.25" customHeight="1">
      <c r="A2383" s="21" t="s">
        <v>5241</v>
      </c>
      <c r="B2383" s="19" t="str">
        <f>image("https://storage.googleapis.com/acdb/photos/BromideNpcNmlFlg15_Remake_5_0.png")</f>
        <v/>
      </c>
      <c r="C2383" s="21" t="s">
        <v>258</v>
      </c>
      <c r="D2383" s="21" t="s">
        <v>51</v>
      </c>
      <c r="E2383" s="21">
        <v>10.0</v>
      </c>
      <c r="F2383" s="21" t="s">
        <v>2289</v>
      </c>
      <c r="G2383" s="19"/>
      <c r="H2383" s="19"/>
      <c r="I2383" s="19"/>
    </row>
    <row r="2384" ht="56.25" customHeight="1">
      <c r="A2384" s="21" t="s">
        <v>5241</v>
      </c>
      <c r="B2384" s="19" t="str">
        <f>image("https://storage.googleapis.com/acdb/photos/BromideNpcNmlFlg15_Remake_6_0.png")</f>
        <v/>
      </c>
      <c r="C2384" s="21" t="s">
        <v>182</v>
      </c>
      <c r="D2384" s="21" t="s">
        <v>51</v>
      </c>
      <c r="E2384" s="21">
        <v>10.0</v>
      </c>
      <c r="F2384" s="21" t="s">
        <v>2289</v>
      </c>
      <c r="G2384" s="19"/>
      <c r="H2384" s="19"/>
      <c r="I2384" s="19"/>
    </row>
    <row r="2385" ht="56.25" customHeight="1">
      <c r="A2385" s="21" t="s">
        <v>5241</v>
      </c>
      <c r="B2385" s="19" t="str">
        <f>image("https://storage.googleapis.com/acdb/photos/BromideNpcNmlFlg15_Remake_7_0.png")</f>
        <v/>
      </c>
      <c r="C2385" s="21" t="s">
        <v>187</v>
      </c>
      <c r="D2385" s="21" t="s">
        <v>51</v>
      </c>
      <c r="E2385" s="21">
        <v>10.0</v>
      </c>
      <c r="F2385" s="21" t="s">
        <v>2289</v>
      </c>
      <c r="G2385" s="19"/>
      <c r="H2385" s="19"/>
      <c r="I2385" s="19"/>
    </row>
    <row r="2386" ht="56.25" customHeight="1">
      <c r="A2386" s="21" t="s">
        <v>5245</v>
      </c>
      <c r="B2386" s="19" t="str">
        <f>image("https://storage.googleapis.com/acdb/photos/BromideNpcNmlPig02_Remake_0_0.png")</f>
        <v/>
      </c>
      <c r="C2386" s="21" t="s">
        <v>219</v>
      </c>
      <c r="D2386" s="21" t="s">
        <v>51</v>
      </c>
      <c r="E2386" s="21">
        <v>10.0</v>
      </c>
      <c r="F2386" s="21" t="s">
        <v>2289</v>
      </c>
      <c r="G2386" s="19"/>
      <c r="H2386" s="19"/>
      <c r="I2386" s="19"/>
    </row>
    <row r="2387" ht="56.25" customHeight="1">
      <c r="A2387" s="21" t="s">
        <v>5245</v>
      </c>
      <c r="B2387" s="19" t="str">
        <f>image("https://storage.googleapis.com/acdb/photos/BromideNpcNmlPig02_Remake_1_0.png")</f>
        <v/>
      </c>
      <c r="C2387" s="21" t="s">
        <v>795</v>
      </c>
      <c r="D2387" s="21" t="s">
        <v>51</v>
      </c>
      <c r="E2387" s="21">
        <v>10.0</v>
      </c>
      <c r="F2387" s="21" t="s">
        <v>2289</v>
      </c>
      <c r="G2387" s="19"/>
      <c r="H2387" s="19"/>
      <c r="I2387" s="19"/>
    </row>
    <row r="2388" ht="56.25" customHeight="1">
      <c r="A2388" s="21" t="s">
        <v>5245</v>
      </c>
      <c r="B2388" s="19" t="str">
        <f>image("https://storage.googleapis.com/acdb/photos/BromideNpcNmlPig02_Remake_2_0.png")</f>
        <v/>
      </c>
      <c r="C2388" s="21" t="s">
        <v>954</v>
      </c>
      <c r="D2388" s="21" t="s">
        <v>51</v>
      </c>
      <c r="E2388" s="21">
        <v>10.0</v>
      </c>
      <c r="F2388" s="21" t="s">
        <v>2289</v>
      </c>
      <c r="G2388" s="19"/>
      <c r="H2388" s="19"/>
      <c r="I2388" s="19"/>
    </row>
    <row r="2389" ht="56.25" customHeight="1">
      <c r="A2389" s="21" t="s">
        <v>5245</v>
      </c>
      <c r="B2389" s="19" t="str">
        <f>image("https://storage.googleapis.com/acdb/photos/BromideNpcNmlPig02_Remake_3_0.png")</f>
        <v/>
      </c>
      <c r="C2389" s="21" t="s">
        <v>82</v>
      </c>
      <c r="D2389" s="21" t="s">
        <v>51</v>
      </c>
      <c r="E2389" s="21">
        <v>10.0</v>
      </c>
      <c r="F2389" s="21" t="s">
        <v>2289</v>
      </c>
      <c r="G2389" s="19"/>
      <c r="H2389" s="19"/>
      <c r="I2389" s="19"/>
    </row>
    <row r="2390" ht="56.25" customHeight="1">
      <c r="A2390" s="21" t="s">
        <v>5245</v>
      </c>
      <c r="B2390" s="19" t="str">
        <f>image("https://storage.googleapis.com/acdb/photos/BromideNpcNmlPig02_Remake_4_0.png")</f>
        <v/>
      </c>
      <c r="C2390" s="21" t="s">
        <v>833</v>
      </c>
      <c r="D2390" s="21" t="s">
        <v>51</v>
      </c>
      <c r="E2390" s="21">
        <v>10.0</v>
      </c>
      <c r="F2390" s="21" t="s">
        <v>2289</v>
      </c>
      <c r="G2390" s="19"/>
      <c r="H2390" s="19"/>
      <c r="I2390" s="19"/>
    </row>
    <row r="2391" ht="56.25" customHeight="1">
      <c r="A2391" s="21" t="s">
        <v>5245</v>
      </c>
      <c r="B2391" s="19" t="str">
        <f>image("https://storage.googleapis.com/acdb/photos/BromideNpcNmlPig02_Remake_5_0.png")</f>
        <v/>
      </c>
      <c r="C2391" s="21" t="s">
        <v>258</v>
      </c>
      <c r="D2391" s="21" t="s">
        <v>51</v>
      </c>
      <c r="E2391" s="21">
        <v>10.0</v>
      </c>
      <c r="F2391" s="21" t="s">
        <v>2289</v>
      </c>
      <c r="G2391" s="19"/>
      <c r="H2391" s="19"/>
      <c r="I2391" s="19"/>
    </row>
    <row r="2392" ht="56.25" customHeight="1">
      <c r="A2392" s="21" t="s">
        <v>5245</v>
      </c>
      <c r="B2392" s="19" t="str">
        <f>image("https://storage.googleapis.com/acdb/photos/BromideNpcNmlPig02_Remake_6_0.png")</f>
        <v/>
      </c>
      <c r="C2392" s="21" t="s">
        <v>182</v>
      </c>
      <c r="D2392" s="21" t="s">
        <v>51</v>
      </c>
      <c r="E2392" s="21">
        <v>10.0</v>
      </c>
      <c r="F2392" s="21" t="s">
        <v>2289</v>
      </c>
      <c r="G2392" s="19"/>
      <c r="H2392" s="19"/>
      <c r="I2392" s="19"/>
    </row>
    <row r="2393" ht="56.25" customHeight="1">
      <c r="A2393" s="21" t="s">
        <v>5245</v>
      </c>
      <c r="B2393" s="19" t="str">
        <f>image("https://storage.googleapis.com/acdb/photos/BromideNpcNmlPig02_Remake_7_0.png")</f>
        <v/>
      </c>
      <c r="C2393" s="21" t="s">
        <v>187</v>
      </c>
      <c r="D2393" s="21" t="s">
        <v>51</v>
      </c>
      <c r="E2393" s="21">
        <v>10.0</v>
      </c>
      <c r="F2393" s="21" t="s">
        <v>2289</v>
      </c>
      <c r="G2393" s="19"/>
      <c r="H2393" s="19"/>
      <c r="I2393" s="19"/>
    </row>
    <row r="2394" ht="56.25" customHeight="1">
      <c r="A2394" s="21" t="s">
        <v>5248</v>
      </c>
      <c r="B2394" s="19" t="str">
        <f>image("https://storage.googleapis.com/acdb/photos/BromideNpcNmlCat23_Remake_0_0.png")</f>
        <v/>
      </c>
      <c r="C2394" s="21" t="s">
        <v>219</v>
      </c>
      <c r="D2394" s="21" t="s">
        <v>51</v>
      </c>
      <c r="E2394" s="21">
        <v>10.0</v>
      </c>
      <c r="F2394" s="21" t="s">
        <v>2289</v>
      </c>
      <c r="G2394" s="19"/>
      <c r="H2394" s="19"/>
      <c r="I2394" s="19"/>
    </row>
    <row r="2395" ht="56.25" customHeight="1">
      <c r="A2395" s="21" t="s">
        <v>5248</v>
      </c>
      <c r="B2395" s="19" t="str">
        <f>image("https://storage.googleapis.com/acdb/photos/BromideNpcNmlCat23_Remake_1_0.png")</f>
        <v/>
      </c>
      <c r="C2395" s="21" t="s">
        <v>795</v>
      </c>
      <c r="D2395" s="21" t="s">
        <v>51</v>
      </c>
      <c r="E2395" s="21">
        <v>10.0</v>
      </c>
      <c r="F2395" s="21" t="s">
        <v>2289</v>
      </c>
      <c r="G2395" s="19"/>
      <c r="H2395" s="19"/>
      <c r="I2395" s="19"/>
    </row>
    <row r="2396" ht="56.25" customHeight="1">
      <c r="A2396" s="21" t="s">
        <v>5248</v>
      </c>
      <c r="B2396" s="19" t="str">
        <f>image("https://storage.googleapis.com/acdb/photos/BromideNpcNmlCat23_Remake_2_0.png")</f>
        <v/>
      </c>
      <c r="C2396" s="21" t="s">
        <v>954</v>
      </c>
      <c r="D2396" s="21" t="s">
        <v>51</v>
      </c>
      <c r="E2396" s="21">
        <v>10.0</v>
      </c>
      <c r="F2396" s="21" t="s">
        <v>2289</v>
      </c>
      <c r="G2396" s="19"/>
      <c r="H2396" s="19"/>
      <c r="I2396" s="19"/>
    </row>
    <row r="2397" ht="56.25" customHeight="1">
      <c r="A2397" s="21" t="s">
        <v>5248</v>
      </c>
      <c r="B2397" s="19" t="str">
        <f>image("https://storage.googleapis.com/acdb/photos/BromideNpcNmlCat23_Remake_3_0.png")</f>
        <v/>
      </c>
      <c r="C2397" s="21" t="s">
        <v>82</v>
      </c>
      <c r="D2397" s="21" t="s">
        <v>51</v>
      </c>
      <c r="E2397" s="21">
        <v>10.0</v>
      </c>
      <c r="F2397" s="21" t="s">
        <v>2289</v>
      </c>
      <c r="G2397" s="19"/>
      <c r="H2397" s="19"/>
      <c r="I2397" s="19"/>
    </row>
    <row r="2398" ht="56.25" customHeight="1">
      <c r="A2398" s="21" t="s">
        <v>5248</v>
      </c>
      <c r="B2398" s="19" t="str">
        <f>image("https://storage.googleapis.com/acdb/photos/BromideNpcNmlCat23_Remake_4_0.png")</f>
        <v/>
      </c>
      <c r="C2398" s="21" t="s">
        <v>833</v>
      </c>
      <c r="D2398" s="21" t="s">
        <v>51</v>
      </c>
      <c r="E2398" s="21">
        <v>10.0</v>
      </c>
      <c r="F2398" s="21" t="s">
        <v>2289</v>
      </c>
      <c r="G2398" s="19"/>
      <c r="H2398" s="19"/>
      <c r="I2398" s="19"/>
    </row>
    <row r="2399" ht="56.25" customHeight="1">
      <c r="A2399" s="21" t="s">
        <v>5248</v>
      </c>
      <c r="B2399" s="19" t="str">
        <f>image("https://storage.googleapis.com/acdb/photos/BromideNpcNmlCat23_Remake_5_0.png")</f>
        <v/>
      </c>
      <c r="C2399" s="21" t="s">
        <v>258</v>
      </c>
      <c r="D2399" s="21" t="s">
        <v>51</v>
      </c>
      <c r="E2399" s="21">
        <v>10.0</v>
      </c>
      <c r="F2399" s="21" t="s">
        <v>2289</v>
      </c>
      <c r="G2399" s="19"/>
      <c r="H2399" s="19"/>
      <c r="I2399" s="19"/>
    </row>
    <row r="2400" ht="56.25" customHeight="1">
      <c r="A2400" s="21" t="s">
        <v>5248</v>
      </c>
      <c r="B2400" s="19" t="str">
        <f>image("https://storage.googleapis.com/acdb/photos/BromideNpcNmlCat23_Remake_6_0.png")</f>
        <v/>
      </c>
      <c r="C2400" s="21" t="s">
        <v>182</v>
      </c>
      <c r="D2400" s="21" t="s">
        <v>51</v>
      </c>
      <c r="E2400" s="21">
        <v>10.0</v>
      </c>
      <c r="F2400" s="21" t="s">
        <v>2289</v>
      </c>
      <c r="G2400" s="19"/>
      <c r="H2400" s="19"/>
      <c r="I2400" s="19"/>
    </row>
    <row r="2401" ht="56.25" customHeight="1">
      <c r="A2401" s="21" t="s">
        <v>5248</v>
      </c>
      <c r="B2401" s="19" t="str">
        <f>image("https://storage.googleapis.com/acdb/photos/BromideNpcNmlCat23_Remake_7_0.png")</f>
        <v/>
      </c>
      <c r="C2401" s="21" t="s">
        <v>187</v>
      </c>
      <c r="D2401" s="21" t="s">
        <v>51</v>
      </c>
      <c r="E2401" s="21">
        <v>10.0</v>
      </c>
      <c r="F2401" s="21" t="s">
        <v>2289</v>
      </c>
      <c r="G2401" s="19"/>
      <c r="H2401" s="19"/>
      <c r="I2401" s="19"/>
    </row>
    <row r="2402" ht="56.25" customHeight="1">
      <c r="A2402" s="21" t="s">
        <v>5253</v>
      </c>
      <c r="B2402" s="19" t="str">
        <f>image("https://storage.googleapis.com/acdb/photos/BromideNpcNmlRhn08_Remake_0_0.png")</f>
        <v/>
      </c>
      <c r="C2402" s="21" t="s">
        <v>219</v>
      </c>
      <c r="D2402" s="21" t="s">
        <v>51</v>
      </c>
      <c r="E2402" s="21">
        <v>10.0</v>
      </c>
      <c r="F2402" s="21" t="s">
        <v>2289</v>
      </c>
      <c r="G2402" s="19"/>
      <c r="H2402" s="19"/>
      <c r="I2402" s="19"/>
    </row>
    <row r="2403" ht="56.25" customHeight="1">
      <c r="A2403" s="21" t="s">
        <v>5253</v>
      </c>
      <c r="B2403" s="19" t="str">
        <f>image("https://storage.googleapis.com/acdb/photos/BromideNpcNmlRhn08_Remake_1_0.png")</f>
        <v/>
      </c>
      <c r="C2403" s="21" t="s">
        <v>795</v>
      </c>
      <c r="D2403" s="21" t="s">
        <v>51</v>
      </c>
      <c r="E2403" s="21">
        <v>10.0</v>
      </c>
      <c r="F2403" s="21" t="s">
        <v>2289</v>
      </c>
      <c r="G2403" s="19"/>
      <c r="H2403" s="19"/>
      <c r="I2403" s="19"/>
    </row>
    <row r="2404" ht="56.25" customHeight="1">
      <c r="A2404" s="21" t="s">
        <v>5253</v>
      </c>
      <c r="B2404" s="19" t="str">
        <f>image("https://storage.googleapis.com/acdb/photos/BromideNpcNmlRhn08_Remake_2_0.png")</f>
        <v/>
      </c>
      <c r="C2404" s="21" t="s">
        <v>954</v>
      </c>
      <c r="D2404" s="21" t="s">
        <v>51</v>
      </c>
      <c r="E2404" s="21">
        <v>10.0</v>
      </c>
      <c r="F2404" s="21" t="s">
        <v>2289</v>
      </c>
      <c r="G2404" s="19"/>
      <c r="H2404" s="19"/>
      <c r="I2404" s="19"/>
    </row>
    <row r="2405" ht="56.25" customHeight="1">
      <c r="A2405" s="21" t="s">
        <v>5253</v>
      </c>
      <c r="B2405" s="19" t="str">
        <f>image("https://storage.googleapis.com/acdb/photos/BromideNpcNmlRhn08_Remake_3_0.png")</f>
        <v/>
      </c>
      <c r="C2405" s="21" t="s">
        <v>82</v>
      </c>
      <c r="D2405" s="21" t="s">
        <v>51</v>
      </c>
      <c r="E2405" s="21">
        <v>10.0</v>
      </c>
      <c r="F2405" s="21" t="s">
        <v>2289</v>
      </c>
      <c r="G2405" s="19"/>
      <c r="H2405" s="19"/>
      <c r="I2405" s="19"/>
    </row>
    <row r="2406" ht="56.25" customHeight="1">
      <c r="A2406" s="21" t="s">
        <v>5253</v>
      </c>
      <c r="B2406" s="19" t="str">
        <f>image("https://storage.googleapis.com/acdb/photos/BromideNpcNmlRhn08_Remake_4_0.png")</f>
        <v/>
      </c>
      <c r="C2406" s="21" t="s">
        <v>833</v>
      </c>
      <c r="D2406" s="21" t="s">
        <v>51</v>
      </c>
      <c r="E2406" s="21">
        <v>10.0</v>
      </c>
      <c r="F2406" s="21" t="s">
        <v>2289</v>
      </c>
      <c r="G2406" s="19"/>
      <c r="H2406" s="19"/>
      <c r="I2406" s="19"/>
    </row>
    <row r="2407" ht="56.25" customHeight="1">
      <c r="A2407" s="21" t="s">
        <v>5253</v>
      </c>
      <c r="B2407" s="19" t="str">
        <f>image("https://storage.googleapis.com/acdb/photos/BromideNpcNmlRhn08_Remake_5_0.png")</f>
        <v/>
      </c>
      <c r="C2407" s="21" t="s">
        <v>258</v>
      </c>
      <c r="D2407" s="21" t="s">
        <v>51</v>
      </c>
      <c r="E2407" s="21">
        <v>10.0</v>
      </c>
      <c r="F2407" s="21" t="s">
        <v>2289</v>
      </c>
      <c r="G2407" s="19"/>
      <c r="H2407" s="19"/>
      <c r="I2407" s="19"/>
    </row>
    <row r="2408" ht="56.25" customHeight="1">
      <c r="A2408" s="21" t="s">
        <v>5253</v>
      </c>
      <c r="B2408" s="19" t="str">
        <f>image("https://storage.googleapis.com/acdb/photos/BromideNpcNmlRhn08_Remake_6_0.png")</f>
        <v/>
      </c>
      <c r="C2408" s="21" t="s">
        <v>182</v>
      </c>
      <c r="D2408" s="21" t="s">
        <v>51</v>
      </c>
      <c r="E2408" s="21">
        <v>10.0</v>
      </c>
      <c r="F2408" s="21" t="s">
        <v>2289</v>
      </c>
      <c r="G2408" s="19"/>
      <c r="H2408" s="19"/>
      <c r="I2408" s="19"/>
    </row>
    <row r="2409" ht="56.25" customHeight="1">
      <c r="A2409" s="21" t="s">
        <v>5253</v>
      </c>
      <c r="B2409" s="19" t="str">
        <f>image("https://storage.googleapis.com/acdb/photos/BromideNpcNmlRhn08_Remake_7_0.png")</f>
        <v/>
      </c>
      <c r="C2409" s="21" t="s">
        <v>187</v>
      </c>
      <c r="D2409" s="21" t="s">
        <v>51</v>
      </c>
      <c r="E2409" s="21">
        <v>10.0</v>
      </c>
      <c r="F2409" s="21" t="s">
        <v>2289</v>
      </c>
      <c r="G2409" s="19"/>
      <c r="H2409" s="19"/>
      <c r="I2409" s="19"/>
    </row>
    <row r="2410" ht="56.25" customHeight="1">
      <c r="A2410" s="21" t="s">
        <v>5257</v>
      </c>
      <c r="B2410" s="19" t="str">
        <f>image("https://storage.googleapis.com/acdb/photos/BromideNpcNmlHrs16_Remake_0_0.png")</f>
        <v/>
      </c>
      <c r="C2410" s="21" t="s">
        <v>219</v>
      </c>
      <c r="D2410" s="21" t="s">
        <v>51</v>
      </c>
      <c r="E2410" s="21">
        <v>10.0</v>
      </c>
      <c r="F2410" s="21" t="s">
        <v>2289</v>
      </c>
      <c r="G2410" s="19"/>
      <c r="H2410" s="19"/>
      <c r="I2410" s="19"/>
    </row>
    <row r="2411" ht="56.25" customHeight="1">
      <c r="A2411" s="21" t="s">
        <v>5257</v>
      </c>
      <c r="B2411" s="19" t="str">
        <f>image("https://storage.googleapis.com/acdb/photos/BromideNpcNmlHrs16_Remake_1_0.png")</f>
        <v/>
      </c>
      <c r="C2411" s="21" t="s">
        <v>795</v>
      </c>
      <c r="D2411" s="21" t="s">
        <v>51</v>
      </c>
      <c r="E2411" s="21">
        <v>10.0</v>
      </c>
      <c r="F2411" s="21" t="s">
        <v>2289</v>
      </c>
      <c r="G2411" s="19"/>
      <c r="H2411" s="19"/>
      <c r="I2411" s="19"/>
    </row>
    <row r="2412" ht="56.25" customHeight="1">
      <c r="A2412" s="21" t="s">
        <v>5257</v>
      </c>
      <c r="B2412" s="19" t="str">
        <f>image("https://storage.googleapis.com/acdb/photos/BromideNpcNmlHrs16_Remake_2_0.png")</f>
        <v/>
      </c>
      <c r="C2412" s="21" t="s">
        <v>954</v>
      </c>
      <c r="D2412" s="21" t="s">
        <v>51</v>
      </c>
      <c r="E2412" s="21">
        <v>10.0</v>
      </c>
      <c r="F2412" s="21" t="s">
        <v>2289</v>
      </c>
      <c r="G2412" s="19"/>
      <c r="H2412" s="19"/>
      <c r="I2412" s="19"/>
    </row>
    <row r="2413" ht="56.25" customHeight="1">
      <c r="A2413" s="21" t="s">
        <v>5257</v>
      </c>
      <c r="B2413" s="19" t="str">
        <f>image("https://storage.googleapis.com/acdb/photos/BromideNpcNmlHrs16_Remake_3_0.png")</f>
        <v/>
      </c>
      <c r="C2413" s="21" t="s">
        <v>82</v>
      </c>
      <c r="D2413" s="21" t="s">
        <v>51</v>
      </c>
      <c r="E2413" s="21">
        <v>10.0</v>
      </c>
      <c r="F2413" s="21" t="s">
        <v>2289</v>
      </c>
      <c r="G2413" s="19"/>
      <c r="H2413" s="19"/>
      <c r="I2413" s="19"/>
    </row>
    <row r="2414" ht="56.25" customHeight="1">
      <c r="A2414" s="21" t="s">
        <v>5257</v>
      </c>
      <c r="B2414" s="19" t="str">
        <f>image("https://storage.googleapis.com/acdb/photos/BromideNpcNmlHrs16_Remake_4_0.png")</f>
        <v/>
      </c>
      <c r="C2414" s="21" t="s">
        <v>833</v>
      </c>
      <c r="D2414" s="21" t="s">
        <v>51</v>
      </c>
      <c r="E2414" s="21">
        <v>10.0</v>
      </c>
      <c r="F2414" s="21" t="s">
        <v>2289</v>
      </c>
      <c r="G2414" s="19"/>
      <c r="H2414" s="19"/>
      <c r="I2414" s="19"/>
    </row>
    <row r="2415" ht="56.25" customHeight="1">
      <c r="A2415" s="21" t="s">
        <v>5257</v>
      </c>
      <c r="B2415" s="19" t="str">
        <f>image("https://storage.googleapis.com/acdb/photos/BromideNpcNmlHrs16_Remake_5_0.png")</f>
        <v/>
      </c>
      <c r="C2415" s="21" t="s">
        <v>258</v>
      </c>
      <c r="D2415" s="21" t="s">
        <v>51</v>
      </c>
      <c r="E2415" s="21">
        <v>10.0</v>
      </c>
      <c r="F2415" s="21" t="s">
        <v>2289</v>
      </c>
      <c r="G2415" s="19"/>
      <c r="H2415" s="19"/>
      <c r="I2415" s="19"/>
    </row>
    <row r="2416" ht="56.25" customHeight="1">
      <c r="A2416" s="21" t="s">
        <v>5257</v>
      </c>
      <c r="B2416" s="19" t="str">
        <f>image("https://storage.googleapis.com/acdb/photos/BromideNpcNmlHrs16_Remake_6_0.png")</f>
        <v/>
      </c>
      <c r="C2416" s="21" t="s">
        <v>182</v>
      </c>
      <c r="D2416" s="21" t="s">
        <v>51</v>
      </c>
      <c r="E2416" s="21">
        <v>10.0</v>
      </c>
      <c r="F2416" s="21" t="s">
        <v>2289</v>
      </c>
      <c r="G2416" s="19"/>
      <c r="H2416" s="19"/>
      <c r="I2416" s="19"/>
    </row>
    <row r="2417" ht="56.25" customHeight="1">
      <c r="A2417" s="21" t="s">
        <v>5257</v>
      </c>
      <c r="B2417" s="19" t="str">
        <f>image("https://storage.googleapis.com/acdb/photos/BromideNpcNmlHrs16_Remake_7_0.png")</f>
        <v/>
      </c>
      <c r="C2417" s="21" t="s">
        <v>187</v>
      </c>
      <c r="D2417" s="21" t="s">
        <v>51</v>
      </c>
      <c r="E2417" s="21">
        <v>10.0</v>
      </c>
      <c r="F2417" s="21" t="s">
        <v>2289</v>
      </c>
      <c r="G2417" s="19"/>
      <c r="H2417" s="19"/>
      <c r="I2417" s="19"/>
    </row>
    <row r="2418" ht="56.25" customHeight="1">
      <c r="A2418" s="21" t="s">
        <v>5262</v>
      </c>
      <c r="B2418" s="19" t="str">
        <f>image("https://storage.googleapis.com/acdb/photos/BromideNpcNmlLon02_Remake_0_0.png")</f>
        <v/>
      </c>
      <c r="C2418" s="21" t="s">
        <v>219</v>
      </c>
      <c r="D2418" s="21" t="s">
        <v>51</v>
      </c>
      <c r="E2418" s="21">
        <v>10.0</v>
      </c>
      <c r="F2418" s="21" t="s">
        <v>2289</v>
      </c>
      <c r="G2418" s="19"/>
      <c r="H2418" s="19"/>
      <c r="I2418" s="19"/>
    </row>
    <row r="2419" ht="56.25" customHeight="1">
      <c r="A2419" s="21" t="s">
        <v>5262</v>
      </c>
      <c r="B2419" s="19" t="str">
        <f>image("https://storage.googleapis.com/acdb/photos/BromideNpcNmlLon02_Remake_1_0.png")</f>
        <v/>
      </c>
      <c r="C2419" s="21" t="s">
        <v>795</v>
      </c>
      <c r="D2419" s="21" t="s">
        <v>51</v>
      </c>
      <c r="E2419" s="21">
        <v>10.0</v>
      </c>
      <c r="F2419" s="21" t="s">
        <v>2289</v>
      </c>
      <c r="G2419" s="19"/>
      <c r="H2419" s="19"/>
      <c r="I2419" s="19"/>
    </row>
    <row r="2420" ht="56.25" customHeight="1">
      <c r="A2420" s="21" t="s">
        <v>5262</v>
      </c>
      <c r="B2420" s="19" t="str">
        <f>image("https://storage.googleapis.com/acdb/photos/BromideNpcNmlLon02_Remake_2_0.png")</f>
        <v/>
      </c>
      <c r="C2420" s="21" t="s">
        <v>954</v>
      </c>
      <c r="D2420" s="21" t="s">
        <v>51</v>
      </c>
      <c r="E2420" s="21">
        <v>10.0</v>
      </c>
      <c r="F2420" s="21" t="s">
        <v>2289</v>
      </c>
      <c r="G2420" s="19"/>
      <c r="H2420" s="19"/>
      <c r="I2420" s="19"/>
    </row>
    <row r="2421" ht="56.25" customHeight="1">
      <c r="A2421" s="21" t="s">
        <v>5262</v>
      </c>
      <c r="B2421" s="19" t="str">
        <f>image("https://storage.googleapis.com/acdb/photos/BromideNpcNmlLon02_Remake_3_0.png")</f>
        <v/>
      </c>
      <c r="C2421" s="21" t="s">
        <v>82</v>
      </c>
      <c r="D2421" s="21" t="s">
        <v>51</v>
      </c>
      <c r="E2421" s="21">
        <v>10.0</v>
      </c>
      <c r="F2421" s="21" t="s">
        <v>2289</v>
      </c>
      <c r="G2421" s="19"/>
      <c r="H2421" s="19"/>
      <c r="I2421" s="19"/>
    </row>
    <row r="2422" ht="56.25" customHeight="1">
      <c r="A2422" s="21" t="s">
        <v>5262</v>
      </c>
      <c r="B2422" s="19" t="str">
        <f>image("https://storage.googleapis.com/acdb/photos/BromideNpcNmlLon02_Remake_4_0.png")</f>
        <v/>
      </c>
      <c r="C2422" s="21" t="s">
        <v>833</v>
      </c>
      <c r="D2422" s="21" t="s">
        <v>51</v>
      </c>
      <c r="E2422" s="21">
        <v>10.0</v>
      </c>
      <c r="F2422" s="21" t="s">
        <v>2289</v>
      </c>
      <c r="G2422" s="19"/>
      <c r="H2422" s="19"/>
      <c r="I2422" s="19"/>
    </row>
    <row r="2423" ht="56.25" customHeight="1">
      <c r="A2423" s="21" t="s">
        <v>5262</v>
      </c>
      <c r="B2423" s="19" t="str">
        <f>image("https://storage.googleapis.com/acdb/photos/BromideNpcNmlLon02_Remake_5_0.png")</f>
        <v/>
      </c>
      <c r="C2423" s="21" t="s">
        <v>258</v>
      </c>
      <c r="D2423" s="21" t="s">
        <v>51</v>
      </c>
      <c r="E2423" s="21">
        <v>10.0</v>
      </c>
      <c r="F2423" s="21" t="s">
        <v>2289</v>
      </c>
      <c r="G2423" s="19"/>
      <c r="H2423" s="19"/>
      <c r="I2423" s="19"/>
    </row>
    <row r="2424" ht="56.25" customHeight="1">
      <c r="A2424" s="21" t="s">
        <v>5262</v>
      </c>
      <c r="B2424" s="19" t="str">
        <f>image("https://storage.googleapis.com/acdb/photos/BromideNpcNmlLon02_Remake_6_0.png")</f>
        <v/>
      </c>
      <c r="C2424" s="21" t="s">
        <v>182</v>
      </c>
      <c r="D2424" s="21" t="s">
        <v>51</v>
      </c>
      <c r="E2424" s="21">
        <v>10.0</v>
      </c>
      <c r="F2424" s="21" t="s">
        <v>2289</v>
      </c>
      <c r="G2424" s="19"/>
      <c r="H2424" s="19"/>
      <c r="I2424" s="19"/>
    </row>
    <row r="2425" ht="56.25" customHeight="1">
      <c r="A2425" s="21" t="s">
        <v>5262</v>
      </c>
      <c r="B2425" s="19" t="str">
        <f>image("https://storage.googleapis.com/acdb/photos/BromideNpcNmlLon02_Remake_7_0.png")</f>
        <v/>
      </c>
      <c r="C2425" s="21" t="s">
        <v>187</v>
      </c>
      <c r="D2425" s="21" t="s">
        <v>51</v>
      </c>
      <c r="E2425" s="21">
        <v>10.0</v>
      </c>
      <c r="F2425" s="21" t="s">
        <v>2289</v>
      </c>
      <c r="G2425" s="19"/>
      <c r="H2425" s="19"/>
      <c r="I2425" s="19"/>
    </row>
    <row r="2426" ht="56.25" customHeight="1">
      <c r="A2426" s="21" t="s">
        <v>5265</v>
      </c>
      <c r="B2426" s="19" t="str">
        <f>image("https://storage.googleapis.com/acdb/photos/BromideNpcNmlRhn01_Remake_0_0.png")</f>
        <v/>
      </c>
      <c r="C2426" s="21" t="s">
        <v>219</v>
      </c>
      <c r="D2426" s="21" t="s">
        <v>51</v>
      </c>
      <c r="E2426" s="21">
        <v>10.0</v>
      </c>
      <c r="F2426" s="21" t="s">
        <v>2289</v>
      </c>
      <c r="G2426" s="19"/>
      <c r="H2426" s="19"/>
      <c r="I2426" s="19"/>
    </row>
    <row r="2427" ht="56.25" customHeight="1">
      <c r="A2427" s="21" t="s">
        <v>5265</v>
      </c>
      <c r="B2427" s="19" t="str">
        <f>image("https://storage.googleapis.com/acdb/photos/BromideNpcNmlRhn01_Remake_1_0.png")</f>
        <v/>
      </c>
      <c r="C2427" s="21" t="s">
        <v>795</v>
      </c>
      <c r="D2427" s="21" t="s">
        <v>51</v>
      </c>
      <c r="E2427" s="21">
        <v>10.0</v>
      </c>
      <c r="F2427" s="21" t="s">
        <v>2289</v>
      </c>
      <c r="G2427" s="19"/>
      <c r="H2427" s="19"/>
      <c r="I2427" s="19"/>
    </row>
    <row r="2428" ht="56.25" customHeight="1">
      <c r="A2428" s="21" t="s">
        <v>5265</v>
      </c>
      <c r="B2428" s="19" t="str">
        <f>image("https://storage.googleapis.com/acdb/photos/BromideNpcNmlRhn01_Remake_2_0.png")</f>
        <v/>
      </c>
      <c r="C2428" s="21" t="s">
        <v>954</v>
      </c>
      <c r="D2428" s="21" t="s">
        <v>51</v>
      </c>
      <c r="E2428" s="21">
        <v>10.0</v>
      </c>
      <c r="F2428" s="21" t="s">
        <v>2289</v>
      </c>
      <c r="G2428" s="19"/>
      <c r="H2428" s="19"/>
      <c r="I2428" s="19"/>
    </row>
    <row r="2429" ht="56.25" customHeight="1">
      <c r="A2429" s="21" t="s">
        <v>5265</v>
      </c>
      <c r="B2429" s="19" t="str">
        <f>image("https://storage.googleapis.com/acdb/photos/BromideNpcNmlRhn01_Remake_3_0.png")</f>
        <v/>
      </c>
      <c r="C2429" s="21" t="s">
        <v>82</v>
      </c>
      <c r="D2429" s="21" t="s">
        <v>51</v>
      </c>
      <c r="E2429" s="21">
        <v>10.0</v>
      </c>
      <c r="F2429" s="21" t="s">
        <v>2289</v>
      </c>
      <c r="G2429" s="19"/>
      <c r="H2429" s="19"/>
      <c r="I2429" s="19"/>
    </row>
    <row r="2430" ht="56.25" customHeight="1">
      <c r="A2430" s="21" t="s">
        <v>5265</v>
      </c>
      <c r="B2430" s="19" t="str">
        <f>image("https://storage.googleapis.com/acdb/photos/BromideNpcNmlRhn01_Remake_4_0.png")</f>
        <v/>
      </c>
      <c r="C2430" s="21" t="s">
        <v>833</v>
      </c>
      <c r="D2430" s="21" t="s">
        <v>51</v>
      </c>
      <c r="E2430" s="21">
        <v>10.0</v>
      </c>
      <c r="F2430" s="21" t="s">
        <v>2289</v>
      </c>
      <c r="G2430" s="19"/>
      <c r="H2430" s="19"/>
      <c r="I2430" s="19"/>
    </row>
    <row r="2431" ht="56.25" customHeight="1">
      <c r="A2431" s="21" t="s">
        <v>5265</v>
      </c>
      <c r="B2431" s="19" t="str">
        <f>image("https://storage.googleapis.com/acdb/photos/BromideNpcNmlRhn01_Remake_5_0.png")</f>
        <v/>
      </c>
      <c r="C2431" s="21" t="s">
        <v>258</v>
      </c>
      <c r="D2431" s="21" t="s">
        <v>51</v>
      </c>
      <c r="E2431" s="21">
        <v>10.0</v>
      </c>
      <c r="F2431" s="21" t="s">
        <v>2289</v>
      </c>
      <c r="G2431" s="19"/>
      <c r="H2431" s="19"/>
      <c r="I2431" s="19"/>
    </row>
    <row r="2432" ht="56.25" customHeight="1">
      <c r="A2432" s="21" t="s">
        <v>5265</v>
      </c>
      <c r="B2432" s="19" t="str">
        <f>image("https://storage.googleapis.com/acdb/photos/BromideNpcNmlRhn01_Remake_6_0.png")</f>
        <v/>
      </c>
      <c r="C2432" s="21" t="s">
        <v>182</v>
      </c>
      <c r="D2432" s="21" t="s">
        <v>51</v>
      </c>
      <c r="E2432" s="21">
        <v>10.0</v>
      </c>
      <c r="F2432" s="21" t="s">
        <v>2289</v>
      </c>
      <c r="G2432" s="19"/>
      <c r="H2432" s="19"/>
      <c r="I2432" s="19"/>
    </row>
    <row r="2433" ht="56.25" customHeight="1">
      <c r="A2433" s="21" t="s">
        <v>5265</v>
      </c>
      <c r="B2433" s="19" t="str">
        <f>image("https://storage.googleapis.com/acdb/photos/BromideNpcNmlRhn01_Remake_7_0.png")</f>
        <v/>
      </c>
      <c r="C2433" s="21" t="s">
        <v>187</v>
      </c>
      <c r="D2433" s="21" t="s">
        <v>51</v>
      </c>
      <c r="E2433" s="21">
        <v>10.0</v>
      </c>
      <c r="F2433" s="21" t="s">
        <v>2289</v>
      </c>
      <c r="G2433" s="19"/>
      <c r="H2433" s="19"/>
      <c r="I2433" s="19"/>
    </row>
    <row r="2434" ht="56.25" customHeight="1">
      <c r="A2434" s="21" t="s">
        <v>5268</v>
      </c>
      <c r="B2434" s="19" t="str">
        <f>image("https://storage.googleapis.com/acdb/photos/BromideNpcNmlFlg01_Remake_0_0.png")</f>
        <v/>
      </c>
      <c r="C2434" s="21" t="s">
        <v>219</v>
      </c>
      <c r="D2434" s="21" t="s">
        <v>51</v>
      </c>
      <c r="E2434" s="21">
        <v>10.0</v>
      </c>
      <c r="F2434" s="21" t="s">
        <v>2289</v>
      </c>
      <c r="G2434" s="19"/>
      <c r="H2434" s="19"/>
      <c r="I2434" s="19"/>
    </row>
    <row r="2435" ht="56.25" customHeight="1">
      <c r="A2435" s="21" t="s">
        <v>5268</v>
      </c>
      <c r="B2435" s="19" t="str">
        <f>image("https://storage.googleapis.com/acdb/photos/BromideNpcNmlFlg01_Remake_1_0.png")</f>
        <v/>
      </c>
      <c r="C2435" s="21" t="s">
        <v>795</v>
      </c>
      <c r="D2435" s="21" t="s">
        <v>51</v>
      </c>
      <c r="E2435" s="21">
        <v>10.0</v>
      </c>
      <c r="F2435" s="21" t="s">
        <v>2289</v>
      </c>
      <c r="G2435" s="19"/>
      <c r="H2435" s="19"/>
      <c r="I2435" s="19"/>
    </row>
    <row r="2436" ht="56.25" customHeight="1">
      <c r="A2436" s="21" t="s">
        <v>5268</v>
      </c>
      <c r="B2436" s="19" t="str">
        <f>image("https://storage.googleapis.com/acdb/photos/BromideNpcNmlFlg01_Remake_2_0.png")</f>
        <v/>
      </c>
      <c r="C2436" s="21" t="s">
        <v>954</v>
      </c>
      <c r="D2436" s="21" t="s">
        <v>51</v>
      </c>
      <c r="E2436" s="21">
        <v>10.0</v>
      </c>
      <c r="F2436" s="21" t="s">
        <v>2289</v>
      </c>
      <c r="G2436" s="19"/>
      <c r="H2436" s="19"/>
      <c r="I2436" s="19"/>
    </row>
    <row r="2437" ht="56.25" customHeight="1">
      <c r="A2437" s="21" t="s">
        <v>5268</v>
      </c>
      <c r="B2437" s="19" t="str">
        <f>image("https://storage.googleapis.com/acdb/photos/BromideNpcNmlFlg01_Remake_3_0.png")</f>
        <v/>
      </c>
      <c r="C2437" s="21" t="s">
        <v>82</v>
      </c>
      <c r="D2437" s="21" t="s">
        <v>51</v>
      </c>
      <c r="E2437" s="21">
        <v>10.0</v>
      </c>
      <c r="F2437" s="21" t="s">
        <v>2289</v>
      </c>
      <c r="G2437" s="19"/>
      <c r="H2437" s="19"/>
      <c r="I2437" s="19"/>
    </row>
    <row r="2438" ht="56.25" customHeight="1">
      <c r="A2438" s="21" t="s">
        <v>5268</v>
      </c>
      <c r="B2438" s="19" t="str">
        <f>image("https://storage.googleapis.com/acdb/photos/BromideNpcNmlFlg01_Remake_4_0.png")</f>
        <v/>
      </c>
      <c r="C2438" s="21" t="s">
        <v>833</v>
      </c>
      <c r="D2438" s="21" t="s">
        <v>51</v>
      </c>
      <c r="E2438" s="21">
        <v>10.0</v>
      </c>
      <c r="F2438" s="21" t="s">
        <v>2289</v>
      </c>
      <c r="G2438" s="19"/>
      <c r="H2438" s="19"/>
      <c r="I2438" s="19"/>
    </row>
    <row r="2439" ht="56.25" customHeight="1">
      <c r="A2439" s="21" t="s">
        <v>5268</v>
      </c>
      <c r="B2439" s="19" t="str">
        <f>image("https://storage.googleapis.com/acdb/photos/BromideNpcNmlFlg01_Remake_5_0.png")</f>
        <v/>
      </c>
      <c r="C2439" s="21" t="s">
        <v>258</v>
      </c>
      <c r="D2439" s="21" t="s">
        <v>51</v>
      </c>
      <c r="E2439" s="21">
        <v>10.0</v>
      </c>
      <c r="F2439" s="21" t="s">
        <v>2289</v>
      </c>
      <c r="G2439" s="19"/>
      <c r="H2439" s="19"/>
      <c r="I2439" s="19"/>
    </row>
    <row r="2440" ht="56.25" customHeight="1">
      <c r="A2440" s="21" t="s">
        <v>5268</v>
      </c>
      <c r="B2440" s="19" t="str">
        <f>image("https://storage.googleapis.com/acdb/photos/BromideNpcNmlFlg01_Remake_6_0.png")</f>
        <v/>
      </c>
      <c r="C2440" s="21" t="s">
        <v>182</v>
      </c>
      <c r="D2440" s="21" t="s">
        <v>51</v>
      </c>
      <c r="E2440" s="21">
        <v>10.0</v>
      </c>
      <c r="F2440" s="21" t="s">
        <v>2289</v>
      </c>
      <c r="G2440" s="19"/>
      <c r="H2440" s="19"/>
      <c r="I2440" s="19"/>
    </row>
    <row r="2441" ht="56.25" customHeight="1">
      <c r="A2441" s="21" t="s">
        <v>5268</v>
      </c>
      <c r="B2441" s="19" t="str">
        <f>image("https://storage.googleapis.com/acdb/photos/BromideNpcNmlFlg01_Remake_7_0.png")</f>
        <v/>
      </c>
      <c r="C2441" s="21" t="s">
        <v>187</v>
      </c>
      <c r="D2441" s="21" t="s">
        <v>51</v>
      </c>
      <c r="E2441" s="21">
        <v>10.0</v>
      </c>
      <c r="F2441" s="21" t="s">
        <v>2289</v>
      </c>
      <c r="G2441" s="19"/>
      <c r="H2441" s="19"/>
      <c r="I2441" s="19"/>
    </row>
    <row r="2442" ht="56.25" customHeight="1">
      <c r="A2442" s="21" t="s">
        <v>5271</v>
      </c>
      <c r="B2442" s="19" t="str">
        <f>image("https://storage.googleapis.com/acdb/photos/BromideNpcNmlSqu10_Remake_0_0.png")</f>
        <v/>
      </c>
      <c r="C2442" s="21" t="s">
        <v>219</v>
      </c>
      <c r="D2442" s="21" t="s">
        <v>51</v>
      </c>
      <c r="E2442" s="21">
        <v>10.0</v>
      </c>
      <c r="F2442" s="21" t="s">
        <v>2289</v>
      </c>
      <c r="G2442" s="19"/>
      <c r="H2442" s="19"/>
      <c r="I2442" s="19"/>
    </row>
    <row r="2443" ht="56.25" customHeight="1">
      <c r="A2443" s="21" t="s">
        <v>5271</v>
      </c>
      <c r="B2443" s="19" t="str">
        <f>image("https://storage.googleapis.com/acdb/photos/BromideNpcNmlSqu10_Remake_1_0.png")</f>
        <v/>
      </c>
      <c r="C2443" s="21" t="s">
        <v>795</v>
      </c>
      <c r="D2443" s="21" t="s">
        <v>51</v>
      </c>
      <c r="E2443" s="21">
        <v>10.0</v>
      </c>
      <c r="F2443" s="21" t="s">
        <v>2289</v>
      </c>
      <c r="G2443" s="19"/>
      <c r="H2443" s="19"/>
      <c r="I2443" s="19"/>
    </row>
    <row r="2444" ht="56.25" customHeight="1">
      <c r="A2444" s="21" t="s">
        <v>5271</v>
      </c>
      <c r="B2444" s="19" t="str">
        <f>image("https://storage.googleapis.com/acdb/photos/BromideNpcNmlSqu10_Remake_2_0.png")</f>
        <v/>
      </c>
      <c r="C2444" s="21" t="s">
        <v>954</v>
      </c>
      <c r="D2444" s="21" t="s">
        <v>51</v>
      </c>
      <c r="E2444" s="21">
        <v>10.0</v>
      </c>
      <c r="F2444" s="21" t="s">
        <v>2289</v>
      </c>
      <c r="G2444" s="19"/>
      <c r="H2444" s="19"/>
      <c r="I2444" s="19"/>
    </row>
    <row r="2445" ht="56.25" customHeight="1">
      <c r="A2445" s="21" t="s">
        <v>5271</v>
      </c>
      <c r="B2445" s="19" t="str">
        <f>image("https://storage.googleapis.com/acdb/photos/BromideNpcNmlSqu10_Remake_3_0.png")</f>
        <v/>
      </c>
      <c r="C2445" s="21" t="s">
        <v>82</v>
      </c>
      <c r="D2445" s="21" t="s">
        <v>51</v>
      </c>
      <c r="E2445" s="21">
        <v>10.0</v>
      </c>
      <c r="F2445" s="21" t="s">
        <v>2289</v>
      </c>
      <c r="G2445" s="19"/>
      <c r="H2445" s="19"/>
      <c r="I2445" s="19"/>
    </row>
    <row r="2446" ht="56.25" customHeight="1">
      <c r="A2446" s="21" t="s">
        <v>5271</v>
      </c>
      <c r="B2446" s="19" t="str">
        <f>image("https://storage.googleapis.com/acdb/photos/BromideNpcNmlSqu10_Remake_4_0.png")</f>
        <v/>
      </c>
      <c r="C2446" s="21" t="s">
        <v>833</v>
      </c>
      <c r="D2446" s="21" t="s">
        <v>51</v>
      </c>
      <c r="E2446" s="21">
        <v>10.0</v>
      </c>
      <c r="F2446" s="21" t="s">
        <v>2289</v>
      </c>
      <c r="G2446" s="19"/>
      <c r="H2446" s="19"/>
      <c r="I2446" s="19"/>
    </row>
    <row r="2447" ht="56.25" customHeight="1">
      <c r="A2447" s="21" t="s">
        <v>5271</v>
      </c>
      <c r="B2447" s="19" t="str">
        <f>image("https://storage.googleapis.com/acdb/photos/BromideNpcNmlSqu10_Remake_5_0.png")</f>
        <v/>
      </c>
      <c r="C2447" s="21" t="s">
        <v>258</v>
      </c>
      <c r="D2447" s="21" t="s">
        <v>51</v>
      </c>
      <c r="E2447" s="21">
        <v>10.0</v>
      </c>
      <c r="F2447" s="21" t="s">
        <v>2289</v>
      </c>
      <c r="G2447" s="19"/>
      <c r="H2447" s="19"/>
      <c r="I2447" s="19"/>
    </row>
    <row r="2448" ht="56.25" customHeight="1">
      <c r="A2448" s="21" t="s">
        <v>5271</v>
      </c>
      <c r="B2448" s="19" t="str">
        <f>image("https://storage.googleapis.com/acdb/photos/BromideNpcNmlSqu10_Remake_6_0.png")</f>
        <v/>
      </c>
      <c r="C2448" s="21" t="s">
        <v>182</v>
      </c>
      <c r="D2448" s="21" t="s">
        <v>51</v>
      </c>
      <c r="E2448" s="21">
        <v>10.0</v>
      </c>
      <c r="F2448" s="21" t="s">
        <v>2289</v>
      </c>
      <c r="G2448" s="19"/>
      <c r="H2448" s="19"/>
      <c r="I2448" s="19"/>
    </row>
    <row r="2449" ht="56.25" customHeight="1">
      <c r="A2449" s="21" t="s">
        <v>5271</v>
      </c>
      <c r="B2449" s="19" t="str">
        <f>image("https://storage.googleapis.com/acdb/photos/BromideNpcNmlSqu10_Remake_7_0.png")</f>
        <v/>
      </c>
      <c r="C2449" s="21" t="s">
        <v>187</v>
      </c>
      <c r="D2449" s="21" t="s">
        <v>51</v>
      </c>
      <c r="E2449" s="21">
        <v>10.0</v>
      </c>
      <c r="F2449" s="21" t="s">
        <v>2289</v>
      </c>
      <c r="G2449" s="19"/>
      <c r="H2449" s="19"/>
      <c r="I2449" s="19"/>
    </row>
    <row r="2450" ht="56.25" customHeight="1">
      <c r="A2450" s="21" t="s">
        <v>5275</v>
      </c>
      <c r="B2450" s="19" t="str">
        <f>image("https://storage.googleapis.com/acdb/photos/BromideNpcNmlMus09_Remake_0_0.png")</f>
        <v/>
      </c>
      <c r="C2450" s="21" t="s">
        <v>219</v>
      </c>
      <c r="D2450" s="21" t="s">
        <v>51</v>
      </c>
      <c r="E2450" s="21">
        <v>10.0</v>
      </c>
      <c r="F2450" s="21" t="s">
        <v>2289</v>
      </c>
      <c r="G2450" s="19"/>
      <c r="H2450" s="19"/>
      <c r="I2450" s="19"/>
    </row>
    <row r="2451" ht="56.25" customHeight="1">
      <c r="A2451" s="21" t="s">
        <v>5275</v>
      </c>
      <c r="B2451" s="19" t="str">
        <f>image("https://storage.googleapis.com/acdb/photos/BromideNpcNmlMus09_Remake_1_0.png")</f>
        <v/>
      </c>
      <c r="C2451" s="21" t="s">
        <v>795</v>
      </c>
      <c r="D2451" s="21" t="s">
        <v>51</v>
      </c>
      <c r="E2451" s="21">
        <v>10.0</v>
      </c>
      <c r="F2451" s="21" t="s">
        <v>2289</v>
      </c>
      <c r="G2451" s="19"/>
      <c r="H2451" s="19"/>
      <c r="I2451" s="19"/>
    </row>
    <row r="2452" ht="56.25" customHeight="1">
      <c r="A2452" s="21" t="s">
        <v>5275</v>
      </c>
      <c r="B2452" s="19" t="str">
        <f>image("https://storage.googleapis.com/acdb/photos/BromideNpcNmlMus09_Remake_2_0.png")</f>
        <v/>
      </c>
      <c r="C2452" s="21" t="s">
        <v>954</v>
      </c>
      <c r="D2452" s="21" t="s">
        <v>51</v>
      </c>
      <c r="E2452" s="21">
        <v>10.0</v>
      </c>
      <c r="F2452" s="21" t="s">
        <v>2289</v>
      </c>
      <c r="G2452" s="19"/>
      <c r="H2452" s="19"/>
      <c r="I2452" s="19"/>
    </row>
    <row r="2453" ht="56.25" customHeight="1">
      <c r="A2453" s="21" t="s">
        <v>5275</v>
      </c>
      <c r="B2453" s="19" t="str">
        <f>image("https://storage.googleapis.com/acdb/photos/BromideNpcNmlMus09_Remake_3_0.png")</f>
        <v/>
      </c>
      <c r="C2453" s="21" t="s">
        <v>82</v>
      </c>
      <c r="D2453" s="21" t="s">
        <v>51</v>
      </c>
      <c r="E2453" s="21">
        <v>10.0</v>
      </c>
      <c r="F2453" s="21" t="s">
        <v>2289</v>
      </c>
      <c r="G2453" s="19"/>
      <c r="H2453" s="19"/>
      <c r="I2453" s="19"/>
    </row>
    <row r="2454" ht="56.25" customHeight="1">
      <c r="A2454" s="21" t="s">
        <v>5275</v>
      </c>
      <c r="B2454" s="19" t="str">
        <f>image("https://storage.googleapis.com/acdb/photos/BromideNpcNmlMus09_Remake_4_0.png")</f>
        <v/>
      </c>
      <c r="C2454" s="21" t="s">
        <v>833</v>
      </c>
      <c r="D2454" s="21" t="s">
        <v>51</v>
      </c>
      <c r="E2454" s="21">
        <v>10.0</v>
      </c>
      <c r="F2454" s="21" t="s">
        <v>2289</v>
      </c>
      <c r="G2454" s="19"/>
      <c r="H2454" s="19"/>
      <c r="I2454" s="19"/>
    </row>
    <row r="2455" ht="56.25" customHeight="1">
      <c r="A2455" s="21" t="s">
        <v>5275</v>
      </c>
      <c r="B2455" s="19" t="str">
        <f>image("https://storage.googleapis.com/acdb/photos/BromideNpcNmlMus09_Remake_5_0.png")</f>
        <v/>
      </c>
      <c r="C2455" s="21" t="s">
        <v>258</v>
      </c>
      <c r="D2455" s="21" t="s">
        <v>51</v>
      </c>
      <c r="E2455" s="21">
        <v>10.0</v>
      </c>
      <c r="F2455" s="21" t="s">
        <v>2289</v>
      </c>
      <c r="G2455" s="19"/>
      <c r="H2455" s="19"/>
      <c r="I2455" s="19"/>
    </row>
    <row r="2456" ht="56.25" customHeight="1">
      <c r="A2456" s="21" t="s">
        <v>5275</v>
      </c>
      <c r="B2456" s="19" t="str">
        <f>image("https://storage.googleapis.com/acdb/photos/BromideNpcNmlMus09_Remake_6_0.png")</f>
        <v/>
      </c>
      <c r="C2456" s="21" t="s">
        <v>182</v>
      </c>
      <c r="D2456" s="21" t="s">
        <v>51</v>
      </c>
      <c r="E2456" s="21">
        <v>10.0</v>
      </c>
      <c r="F2456" s="21" t="s">
        <v>2289</v>
      </c>
      <c r="G2456" s="19"/>
      <c r="H2456" s="19"/>
      <c r="I2456" s="19"/>
    </row>
    <row r="2457" ht="56.25" customHeight="1">
      <c r="A2457" s="21" t="s">
        <v>5275</v>
      </c>
      <c r="B2457" s="19" t="str">
        <f>image("https://storage.googleapis.com/acdb/photos/BromideNpcNmlMus09_Remake_7_0.png")</f>
        <v/>
      </c>
      <c r="C2457" s="21" t="s">
        <v>187</v>
      </c>
      <c r="D2457" s="21" t="s">
        <v>51</v>
      </c>
      <c r="E2457" s="21">
        <v>10.0</v>
      </c>
      <c r="F2457" s="21" t="s">
        <v>2289</v>
      </c>
      <c r="G2457" s="19"/>
      <c r="H2457" s="19"/>
      <c r="I2457" s="19"/>
    </row>
    <row r="2458" ht="56.25" customHeight="1">
      <c r="A2458" s="21" t="s">
        <v>5279</v>
      </c>
      <c r="B2458" s="19" t="str">
        <f>image("https://storage.googleapis.com/acdb/photos/BromideNpcNmlPgn01_Remake_0_0.png")</f>
        <v/>
      </c>
      <c r="C2458" s="21" t="s">
        <v>219</v>
      </c>
      <c r="D2458" s="21" t="s">
        <v>51</v>
      </c>
      <c r="E2458" s="21">
        <v>10.0</v>
      </c>
      <c r="F2458" s="21" t="s">
        <v>2289</v>
      </c>
      <c r="G2458" s="19"/>
      <c r="H2458" s="19"/>
      <c r="I2458" s="19"/>
    </row>
    <row r="2459" ht="56.25" customHeight="1">
      <c r="A2459" s="21" t="s">
        <v>5279</v>
      </c>
      <c r="B2459" s="19" t="str">
        <f>image("https://storage.googleapis.com/acdb/photos/BromideNpcNmlPgn01_Remake_1_0.png")</f>
        <v/>
      </c>
      <c r="C2459" s="21" t="s">
        <v>795</v>
      </c>
      <c r="D2459" s="21" t="s">
        <v>51</v>
      </c>
      <c r="E2459" s="21">
        <v>10.0</v>
      </c>
      <c r="F2459" s="21" t="s">
        <v>2289</v>
      </c>
      <c r="G2459" s="19"/>
      <c r="H2459" s="19"/>
      <c r="I2459" s="19"/>
    </row>
    <row r="2460" ht="56.25" customHeight="1">
      <c r="A2460" s="21" t="s">
        <v>5279</v>
      </c>
      <c r="B2460" s="19" t="str">
        <f>image("https://storage.googleapis.com/acdb/photos/BromideNpcNmlPgn01_Remake_2_0.png")</f>
        <v/>
      </c>
      <c r="C2460" s="21" t="s">
        <v>954</v>
      </c>
      <c r="D2460" s="21" t="s">
        <v>51</v>
      </c>
      <c r="E2460" s="21">
        <v>10.0</v>
      </c>
      <c r="F2460" s="21" t="s">
        <v>2289</v>
      </c>
      <c r="G2460" s="19"/>
      <c r="H2460" s="19"/>
      <c r="I2460" s="19"/>
    </row>
    <row r="2461" ht="56.25" customHeight="1">
      <c r="A2461" s="21" t="s">
        <v>5279</v>
      </c>
      <c r="B2461" s="19" t="str">
        <f>image("https://storage.googleapis.com/acdb/photos/BromideNpcNmlPgn01_Remake_3_0.png")</f>
        <v/>
      </c>
      <c r="C2461" s="21" t="s">
        <v>82</v>
      </c>
      <c r="D2461" s="21" t="s">
        <v>51</v>
      </c>
      <c r="E2461" s="21">
        <v>10.0</v>
      </c>
      <c r="F2461" s="21" t="s">
        <v>2289</v>
      </c>
      <c r="G2461" s="19"/>
      <c r="H2461" s="19"/>
      <c r="I2461" s="19"/>
    </row>
    <row r="2462" ht="56.25" customHeight="1">
      <c r="A2462" s="21" t="s">
        <v>5279</v>
      </c>
      <c r="B2462" s="19" t="str">
        <f>image("https://storage.googleapis.com/acdb/photos/BromideNpcNmlPgn01_Remake_4_0.png")</f>
        <v/>
      </c>
      <c r="C2462" s="21" t="s">
        <v>833</v>
      </c>
      <c r="D2462" s="21" t="s">
        <v>51</v>
      </c>
      <c r="E2462" s="21">
        <v>10.0</v>
      </c>
      <c r="F2462" s="21" t="s">
        <v>2289</v>
      </c>
      <c r="G2462" s="19"/>
      <c r="H2462" s="19"/>
      <c r="I2462" s="19"/>
    </row>
    <row r="2463" ht="56.25" customHeight="1">
      <c r="A2463" s="21" t="s">
        <v>5279</v>
      </c>
      <c r="B2463" s="19" t="str">
        <f>image("https://storage.googleapis.com/acdb/photos/BromideNpcNmlPgn01_Remake_5_0.png")</f>
        <v/>
      </c>
      <c r="C2463" s="21" t="s">
        <v>258</v>
      </c>
      <c r="D2463" s="21" t="s">
        <v>51</v>
      </c>
      <c r="E2463" s="21">
        <v>10.0</v>
      </c>
      <c r="F2463" s="21" t="s">
        <v>2289</v>
      </c>
      <c r="G2463" s="19"/>
      <c r="H2463" s="19"/>
      <c r="I2463" s="19"/>
    </row>
    <row r="2464" ht="56.25" customHeight="1">
      <c r="A2464" s="21" t="s">
        <v>5279</v>
      </c>
      <c r="B2464" s="19" t="str">
        <f>image("https://storage.googleapis.com/acdb/photos/BromideNpcNmlPgn01_Remake_6_0.png")</f>
        <v/>
      </c>
      <c r="C2464" s="21" t="s">
        <v>182</v>
      </c>
      <c r="D2464" s="21" t="s">
        <v>51</v>
      </c>
      <c r="E2464" s="21">
        <v>10.0</v>
      </c>
      <c r="F2464" s="21" t="s">
        <v>2289</v>
      </c>
      <c r="G2464" s="19"/>
      <c r="H2464" s="19"/>
      <c r="I2464" s="19"/>
    </row>
    <row r="2465" ht="56.25" customHeight="1">
      <c r="A2465" s="21" t="s">
        <v>5279</v>
      </c>
      <c r="B2465" s="19" t="str">
        <f>image("https://storage.googleapis.com/acdb/photos/BromideNpcNmlPgn01_Remake_7_0.png")</f>
        <v/>
      </c>
      <c r="C2465" s="21" t="s">
        <v>187</v>
      </c>
      <c r="D2465" s="21" t="s">
        <v>51</v>
      </c>
      <c r="E2465" s="21">
        <v>10.0</v>
      </c>
      <c r="F2465" s="21" t="s">
        <v>2289</v>
      </c>
      <c r="G2465" s="19"/>
      <c r="H2465" s="19"/>
      <c r="I2465" s="19"/>
    </row>
    <row r="2466" ht="56.25" customHeight="1">
      <c r="A2466" s="21" t="s">
        <v>5284</v>
      </c>
      <c r="B2466" s="19" t="str">
        <f>image("https://storage.googleapis.com/acdb/photos/BromideNpcNmlBrd01_Remake_0_0.png")</f>
        <v/>
      </c>
      <c r="C2466" s="21" t="s">
        <v>219</v>
      </c>
      <c r="D2466" s="21" t="s">
        <v>51</v>
      </c>
      <c r="E2466" s="21">
        <v>10.0</v>
      </c>
      <c r="F2466" s="21" t="s">
        <v>2289</v>
      </c>
      <c r="G2466" s="19"/>
      <c r="H2466" s="19"/>
      <c r="I2466" s="19"/>
    </row>
    <row r="2467" ht="56.25" customHeight="1">
      <c r="A2467" s="21" t="s">
        <v>5284</v>
      </c>
      <c r="B2467" s="19" t="str">
        <f>image("https://storage.googleapis.com/acdb/photos/BromideNpcNmlBrd01_Remake_1_0.png")</f>
        <v/>
      </c>
      <c r="C2467" s="21" t="s">
        <v>795</v>
      </c>
      <c r="D2467" s="21" t="s">
        <v>51</v>
      </c>
      <c r="E2467" s="21">
        <v>10.0</v>
      </c>
      <c r="F2467" s="21" t="s">
        <v>2289</v>
      </c>
      <c r="G2467" s="19"/>
      <c r="H2467" s="19"/>
      <c r="I2467" s="19"/>
    </row>
    <row r="2468" ht="56.25" customHeight="1">
      <c r="A2468" s="21" t="s">
        <v>5284</v>
      </c>
      <c r="B2468" s="19" t="str">
        <f>image("https://storage.googleapis.com/acdb/photos/BromideNpcNmlBrd01_Remake_2_0.png")</f>
        <v/>
      </c>
      <c r="C2468" s="21" t="s">
        <v>954</v>
      </c>
      <c r="D2468" s="21" t="s">
        <v>51</v>
      </c>
      <c r="E2468" s="21">
        <v>10.0</v>
      </c>
      <c r="F2468" s="21" t="s">
        <v>2289</v>
      </c>
      <c r="G2468" s="19"/>
      <c r="H2468" s="19"/>
      <c r="I2468" s="19"/>
    </row>
    <row r="2469" ht="56.25" customHeight="1">
      <c r="A2469" s="21" t="s">
        <v>5284</v>
      </c>
      <c r="B2469" s="19" t="str">
        <f>image("https://storage.googleapis.com/acdb/photos/BromideNpcNmlBrd01_Remake_3_0.png")</f>
        <v/>
      </c>
      <c r="C2469" s="21" t="s">
        <v>82</v>
      </c>
      <c r="D2469" s="21" t="s">
        <v>51</v>
      </c>
      <c r="E2469" s="21">
        <v>10.0</v>
      </c>
      <c r="F2469" s="21" t="s">
        <v>2289</v>
      </c>
      <c r="G2469" s="19"/>
      <c r="H2469" s="19"/>
      <c r="I2469" s="19"/>
    </row>
    <row r="2470" ht="56.25" customHeight="1">
      <c r="A2470" s="21" t="s">
        <v>5284</v>
      </c>
      <c r="B2470" s="19" t="str">
        <f>image("https://storage.googleapis.com/acdb/photos/BromideNpcNmlBrd01_Remake_4_0.png")</f>
        <v/>
      </c>
      <c r="C2470" s="21" t="s">
        <v>833</v>
      </c>
      <c r="D2470" s="21" t="s">
        <v>51</v>
      </c>
      <c r="E2470" s="21">
        <v>10.0</v>
      </c>
      <c r="F2470" s="21" t="s">
        <v>2289</v>
      </c>
      <c r="G2470" s="19"/>
      <c r="H2470" s="19"/>
      <c r="I2470" s="19"/>
    </row>
    <row r="2471" ht="56.25" customHeight="1">
      <c r="A2471" s="21" t="s">
        <v>5284</v>
      </c>
      <c r="B2471" s="19" t="str">
        <f>image("https://storage.googleapis.com/acdb/photos/BromideNpcNmlBrd01_Remake_5_0.png")</f>
        <v/>
      </c>
      <c r="C2471" s="21" t="s">
        <v>258</v>
      </c>
      <c r="D2471" s="21" t="s">
        <v>51</v>
      </c>
      <c r="E2471" s="21">
        <v>10.0</v>
      </c>
      <c r="F2471" s="21" t="s">
        <v>2289</v>
      </c>
      <c r="G2471" s="19"/>
      <c r="H2471" s="19"/>
      <c r="I2471" s="19"/>
    </row>
    <row r="2472" ht="56.25" customHeight="1">
      <c r="A2472" s="21" t="s">
        <v>5284</v>
      </c>
      <c r="B2472" s="19" t="str">
        <f>image("https://storage.googleapis.com/acdb/photos/BromideNpcNmlBrd01_Remake_6_0.png")</f>
        <v/>
      </c>
      <c r="C2472" s="21" t="s">
        <v>182</v>
      </c>
      <c r="D2472" s="21" t="s">
        <v>51</v>
      </c>
      <c r="E2472" s="21">
        <v>10.0</v>
      </c>
      <c r="F2472" s="21" t="s">
        <v>2289</v>
      </c>
      <c r="G2472" s="19"/>
      <c r="H2472" s="19"/>
      <c r="I2472" s="19"/>
    </row>
    <row r="2473" ht="56.25" customHeight="1">
      <c r="A2473" s="21" t="s">
        <v>5284</v>
      </c>
      <c r="B2473" s="19" t="str">
        <f>image("https://storage.googleapis.com/acdb/photos/BromideNpcNmlBrd01_Remake_7_0.png")</f>
        <v/>
      </c>
      <c r="C2473" s="21" t="s">
        <v>187</v>
      </c>
      <c r="D2473" s="21" t="s">
        <v>51</v>
      </c>
      <c r="E2473" s="21">
        <v>10.0</v>
      </c>
      <c r="F2473" s="21" t="s">
        <v>2289</v>
      </c>
      <c r="G2473" s="19"/>
      <c r="H2473" s="19"/>
      <c r="I2473" s="19"/>
    </row>
    <row r="2474" ht="56.25" customHeight="1">
      <c r="A2474" s="21" t="s">
        <v>5287</v>
      </c>
      <c r="B2474" s="19" t="str">
        <f>image("https://storage.googleapis.com/acdb/photos/BromideNpcNmlHip00_Remake_0_0.png")</f>
        <v/>
      </c>
      <c r="C2474" s="21" t="s">
        <v>219</v>
      </c>
      <c r="D2474" s="21" t="s">
        <v>51</v>
      </c>
      <c r="E2474" s="21">
        <v>10.0</v>
      </c>
      <c r="F2474" s="21" t="s">
        <v>2289</v>
      </c>
      <c r="G2474" s="19"/>
      <c r="H2474" s="19"/>
      <c r="I2474" s="19"/>
    </row>
    <row r="2475" ht="56.25" customHeight="1">
      <c r="A2475" s="21" t="s">
        <v>5287</v>
      </c>
      <c r="B2475" s="19" t="str">
        <f>image("https://storage.googleapis.com/acdb/photos/BromideNpcNmlHip00_Remake_1_0.png")</f>
        <v/>
      </c>
      <c r="C2475" s="21" t="s">
        <v>795</v>
      </c>
      <c r="D2475" s="21" t="s">
        <v>51</v>
      </c>
      <c r="E2475" s="21">
        <v>10.0</v>
      </c>
      <c r="F2475" s="21" t="s">
        <v>2289</v>
      </c>
      <c r="G2475" s="19"/>
      <c r="H2475" s="19"/>
      <c r="I2475" s="19"/>
    </row>
    <row r="2476" ht="56.25" customHeight="1">
      <c r="A2476" s="21" t="s">
        <v>5287</v>
      </c>
      <c r="B2476" s="19" t="str">
        <f>image("https://storage.googleapis.com/acdb/photos/BromideNpcNmlHip00_Remake_2_0.png")</f>
        <v/>
      </c>
      <c r="C2476" s="21" t="s">
        <v>954</v>
      </c>
      <c r="D2476" s="21" t="s">
        <v>51</v>
      </c>
      <c r="E2476" s="21">
        <v>10.0</v>
      </c>
      <c r="F2476" s="21" t="s">
        <v>2289</v>
      </c>
      <c r="G2476" s="19"/>
      <c r="H2476" s="19"/>
      <c r="I2476" s="19"/>
    </row>
    <row r="2477" ht="56.25" customHeight="1">
      <c r="A2477" s="21" t="s">
        <v>5287</v>
      </c>
      <c r="B2477" s="19" t="str">
        <f>image("https://storage.googleapis.com/acdb/photos/BromideNpcNmlHip00_Remake_3_0.png")</f>
        <v/>
      </c>
      <c r="C2477" s="21" t="s">
        <v>82</v>
      </c>
      <c r="D2477" s="21" t="s">
        <v>51</v>
      </c>
      <c r="E2477" s="21">
        <v>10.0</v>
      </c>
      <c r="F2477" s="21" t="s">
        <v>2289</v>
      </c>
      <c r="G2477" s="19"/>
      <c r="H2477" s="19"/>
      <c r="I2477" s="19"/>
    </row>
    <row r="2478" ht="56.25" customHeight="1">
      <c r="A2478" s="21" t="s">
        <v>5287</v>
      </c>
      <c r="B2478" s="19" t="str">
        <f>image("https://storage.googleapis.com/acdb/photos/BromideNpcNmlHip00_Remake_4_0.png")</f>
        <v/>
      </c>
      <c r="C2478" s="21" t="s">
        <v>833</v>
      </c>
      <c r="D2478" s="21" t="s">
        <v>51</v>
      </c>
      <c r="E2478" s="21">
        <v>10.0</v>
      </c>
      <c r="F2478" s="21" t="s">
        <v>2289</v>
      </c>
      <c r="G2478" s="19"/>
      <c r="H2478" s="19"/>
      <c r="I2478" s="19"/>
    </row>
    <row r="2479" ht="56.25" customHeight="1">
      <c r="A2479" s="21" t="s">
        <v>5287</v>
      </c>
      <c r="B2479" s="19" t="str">
        <f>image("https://storage.googleapis.com/acdb/photos/BromideNpcNmlHip00_Remake_5_0.png")</f>
        <v/>
      </c>
      <c r="C2479" s="21" t="s">
        <v>258</v>
      </c>
      <c r="D2479" s="21" t="s">
        <v>51</v>
      </c>
      <c r="E2479" s="21">
        <v>10.0</v>
      </c>
      <c r="F2479" s="21" t="s">
        <v>2289</v>
      </c>
      <c r="G2479" s="19"/>
      <c r="H2479" s="19"/>
      <c r="I2479" s="19"/>
    </row>
    <row r="2480" ht="56.25" customHeight="1">
      <c r="A2480" s="21" t="s">
        <v>5287</v>
      </c>
      <c r="B2480" s="19" t="str">
        <f>image("https://storage.googleapis.com/acdb/photos/BromideNpcNmlHip00_Remake_6_0.png")</f>
        <v/>
      </c>
      <c r="C2480" s="21" t="s">
        <v>182</v>
      </c>
      <c r="D2480" s="21" t="s">
        <v>51</v>
      </c>
      <c r="E2480" s="21">
        <v>10.0</v>
      </c>
      <c r="F2480" s="21" t="s">
        <v>2289</v>
      </c>
      <c r="G2480" s="19"/>
      <c r="H2480" s="19"/>
      <c r="I2480" s="19"/>
    </row>
    <row r="2481" ht="56.25" customHeight="1">
      <c r="A2481" s="21" t="s">
        <v>5287</v>
      </c>
      <c r="B2481" s="19" t="str">
        <f>image("https://storage.googleapis.com/acdb/photos/BromideNpcNmlHip00_Remake_7_0.png")</f>
        <v/>
      </c>
      <c r="C2481" s="21" t="s">
        <v>187</v>
      </c>
      <c r="D2481" s="21" t="s">
        <v>51</v>
      </c>
      <c r="E2481" s="21">
        <v>10.0</v>
      </c>
      <c r="F2481" s="21" t="s">
        <v>2289</v>
      </c>
      <c r="G2481" s="19"/>
      <c r="H2481" s="19"/>
      <c r="I2481" s="19"/>
    </row>
    <row r="2482" ht="56.25" customHeight="1">
      <c r="A2482" s="21" t="s">
        <v>5292</v>
      </c>
      <c r="B2482" s="19" t="str">
        <f>image("https://storage.googleapis.com/acdb/photos/BromideNpcNmlGor09_Remake_0_0.png")</f>
        <v/>
      </c>
      <c r="C2482" s="21" t="s">
        <v>219</v>
      </c>
      <c r="D2482" s="21" t="s">
        <v>51</v>
      </c>
      <c r="E2482" s="21">
        <v>10.0</v>
      </c>
      <c r="F2482" s="21" t="s">
        <v>2289</v>
      </c>
      <c r="G2482" s="19"/>
      <c r="H2482" s="19"/>
      <c r="I2482" s="19"/>
    </row>
    <row r="2483" ht="56.25" customHeight="1">
      <c r="A2483" s="21" t="s">
        <v>5292</v>
      </c>
      <c r="B2483" s="19" t="str">
        <f>image("https://storage.googleapis.com/acdb/photos/BromideNpcNmlGor09_Remake_1_0.png")</f>
        <v/>
      </c>
      <c r="C2483" s="21" t="s">
        <v>795</v>
      </c>
      <c r="D2483" s="21" t="s">
        <v>51</v>
      </c>
      <c r="E2483" s="21">
        <v>10.0</v>
      </c>
      <c r="F2483" s="21" t="s">
        <v>2289</v>
      </c>
      <c r="G2483" s="19"/>
      <c r="H2483" s="19"/>
      <c r="I2483" s="19"/>
    </row>
    <row r="2484" ht="56.25" customHeight="1">
      <c r="A2484" s="21" t="s">
        <v>5292</v>
      </c>
      <c r="B2484" s="19" t="str">
        <f>image("https://storage.googleapis.com/acdb/photos/BromideNpcNmlGor09_Remake_2_0.png")</f>
        <v/>
      </c>
      <c r="C2484" s="21" t="s">
        <v>954</v>
      </c>
      <c r="D2484" s="21" t="s">
        <v>51</v>
      </c>
      <c r="E2484" s="21">
        <v>10.0</v>
      </c>
      <c r="F2484" s="21" t="s">
        <v>2289</v>
      </c>
      <c r="G2484" s="19"/>
      <c r="H2484" s="19"/>
      <c r="I2484" s="19"/>
    </row>
    <row r="2485" ht="56.25" customHeight="1">
      <c r="A2485" s="21" t="s">
        <v>5292</v>
      </c>
      <c r="B2485" s="19" t="str">
        <f>image("https://storage.googleapis.com/acdb/photos/BromideNpcNmlGor09_Remake_3_0.png")</f>
        <v/>
      </c>
      <c r="C2485" s="21" t="s">
        <v>82</v>
      </c>
      <c r="D2485" s="21" t="s">
        <v>51</v>
      </c>
      <c r="E2485" s="21">
        <v>10.0</v>
      </c>
      <c r="F2485" s="21" t="s">
        <v>2289</v>
      </c>
      <c r="G2485" s="19"/>
      <c r="H2485" s="19"/>
      <c r="I2485" s="19"/>
    </row>
    <row r="2486" ht="56.25" customHeight="1">
      <c r="A2486" s="21" t="s">
        <v>5292</v>
      </c>
      <c r="B2486" s="19" t="str">
        <f>image("https://storage.googleapis.com/acdb/photos/BromideNpcNmlGor09_Remake_4_0.png")</f>
        <v/>
      </c>
      <c r="C2486" s="21" t="s">
        <v>833</v>
      </c>
      <c r="D2486" s="21" t="s">
        <v>51</v>
      </c>
      <c r="E2486" s="21">
        <v>10.0</v>
      </c>
      <c r="F2486" s="21" t="s">
        <v>2289</v>
      </c>
      <c r="G2486" s="19"/>
      <c r="H2486" s="19"/>
      <c r="I2486" s="19"/>
    </row>
    <row r="2487" ht="56.25" customHeight="1">
      <c r="A2487" s="21" t="s">
        <v>5292</v>
      </c>
      <c r="B2487" s="19" t="str">
        <f>image("https://storage.googleapis.com/acdb/photos/BromideNpcNmlGor09_Remake_5_0.png")</f>
        <v/>
      </c>
      <c r="C2487" s="21" t="s">
        <v>258</v>
      </c>
      <c r="D2487" s="21" t="s">
        <v>51</v>
      </c>
      <c r="E2487" s="21">
        <v>10.0</v>
      </c>
      <c r="F2487" s="21" t="s">
        <v>2289</v>
      </c>
      <c r="G2487" s="19"/>
      <c r="H2487" s="19"/>
      <c r="I2487" s="19"/>
    </row>
    <row r="2488" ht="56.25" customHeight="1">
      <c r="A2488" s="21" t="s">
        <v>5292</v>
      </c>
      <c r="B2488" s="19" t="str">
        <f>image("https://storage.googleapis.com/acdb/photos/BromideNpcNmlGor09_Remake_6_0.png")</f>
        <v/>
      </c>
      <c r="C2488" s="21" t="s">
        <v>182</v>
      </c>
      <c r="D2488" s="21" t="s">
        <v>51</v>
      </c>
      <c r="E2488" s="21">
        <v>10.0</v>
      </c>
      <c r="F2488" s="21" t="s">
        <v>2289</v>
      </c>
      <c r="G2488" s="19"/>
      <c r="H2488" s="19"/>
      <c r="I2488" s="19"/>
    </row>
    <row r="2489" ht="56.25" customHeight="1">
      <c r="A2489" s="21" t="s">
        <v>5292</v>
      </c>
      <c r="B2489" s="19" t="str">
        <f>image("https://storage.googleapis.com/acdb/photos/BromideNpcNmlGor09_Remake_7_0.png")</f>
        <v/>
      </c>
      <c r="C2489" s="21" t="s">
        <v>187</v>
      </c>
      <c r="D2489" s="21" t="s">
        <v>51</v>
      </c>
      <c r="E2489" s="21">
        <v>10.0</v>
      </c>
      <c r="F2489" s="21" t="s">
        <v>2289</v>
      </c>
      <c r="G2489" s="19"/>
      <c r="H2489" s="19"/>
      <c r="I2489" s="19"/>
    </row>
    <row r="2490" ht="56.25" customHeight="1">
      <c r="A2490" s="21" t="s">
        <v>5297</v>
      </c>
      <c r="B2490" s="19" t="str">
        <f>image("https://storage.googleapis.com/acdb/photos/BromideNpcNmlMus05_Remake_0_0.png")</f>
        <v/>
      </c>
      <c r="C2490" s="21" t="s">
        <v>219</v>
      </c>
      <c r="D2490" s="21" t="s">
        <v>51</v>
      </c>
      <c r="E2490" s="21">
        <v>10.0</v>
      </c>
      <c r="F2490" s="21" t="s">
        <v>2289</v>
      </c>
      <c r="G2490" s="19"/>
      <c r="H2490" s="19"/>
      <c r="I2490" s="19"/>
    </row>
    <row r="2491" ht="56.25" customHeight="1">
      <c r="A2491" s="21" t="s">
        <v>5297</v>
      </c>
      <c r="B2491" s="19" t="str">
        <f>image("https://storage.googleapis.com/acdb/photos/BromideNpcNmlMus05_Remake_1_0.png")</f>
        <v/>
      </c>
      <c r="C2491" s="21" t="s">
        <v>795</v>
      </c>
      <c r="D2491" s="21" t="s">
        <v>51</v>
      </c>
      <c r="E2491" s="21">
        <v>10.0</v>
      </c>
      <c r="F2491" s="21" t="s">
        <v>2289</v>
      </c>
      <c r="G2491" s="19"/>
      <c r="H2491" s="19"/>
      <c r="I2491" s="19"/>
    </row>
    <row r="2492" ht="56.25" customHeight="1">
      <c r="A2492" s="21" t="s">
        <v>5297</v>
      </c>
      <c r="B2492" s="19" t="str">
        <f>image("https://storage.googleapis.com/acdb/photos/BromideNpcNmlMus05_Remake_2_0.png")</f>
        <v/>
      </c>
      <c r="C2492" s="21" t="s">
        <v>954</v>
      </c>
      <c r="D2492" s="21" t="s">
        <v>51</v>
      </c>
      <c r="E2492" s="21">
        <v>10.0</v>
      </c>
      <c r="F2492" s="21" t="s">
        <v>2289</v>
      </c>
      <c r="G2492" s="19"/>
      <c r="H2492" s="19"/>
      <c r="I2492" s="19"/>
    </row>
    <row r="2493" ht="56.25" customHeight="1">
      <c r="A2493" s="21" t="s">
        <v>5297</v>
      </c>
      <c r="B2493" s="19" t="str">
        <f>image("https://storage.googleapis.com/acdb/photos/BromideNpcNmlMus05_Remake_3_0.png")</f>
        <v/>
      </c>
      <c r="C2493" s="21" t="s">
        <v>82</v>
      </c>
      <c r="D2493" s="21" t="s">
        <v>51</v>
      </c>
      <c r="E2493" s="21">
        <v>10.0</v>
      </c>
      <c r="F2493" s="21" t="s">
        <v>2289</v>
      </c>
      <c r="G2493" s="19"/>
      <c r="H2493" s="19"/>
      <c r="I2493" s="19"/>
    </row>
    <row r="2494" ht="56.25" customHeight="1">
      <c r="A2494" s="21" t="s">
        <v>5297</v>
      </c>
      <c r="B2494" s="19" t="str">
        <f>image("https://storage.googleapis.com/acdb/photos/BromideNpcNmlMus05_Remake_4_0.png")</f>
        <v/>
      </c>
      <c r="C2494" s="21" t="s">
        <v>833</v>
      </c>
      <c r="D2494" s="21" t="s">
        <v>51</v>
      </c>
      <c r="E2494" s="21">
        <v>10.0</v>
      </c>
      <c r="F2494" s="21" t="s">
        <v>2289</v>
      </c>
      <c r="G2494" s="19"/>
      <c r="H2494" s="19"/>
      <c r="I2494" s="19"/>
    </row>
    <row r="2495" ht="56.25" customHeight="1">
      <c r="A2495" s="21" t="s">
        <v>5297</v>
      </c>
      <c r="B2495" s="19" t="str">
        <f>image("https://storage.googleapis.com/acdb/photos/BromideNpcNmlMus05_Remake_5_0.png")</f>
        <v/>
      </c>
      <c r="C2495" s="21" t="s">
        <v>258</v>
      </c>
      <c r="D2495" s="21" t="s">
        <v>51</v>
      </c>
      <c r="E2495" s="21">
        <v>10.0</v>
      </c>
      <c r="F2495" s="21" t="s">
        <v>2289</v>
      </c>
      <c r="G2495" s="19"/>
      <c r="H2495" s="19"/>
      <c r="I2495" s="19"/>
    </row>
    <row r="2496" ht="56.25" customHeight="1">
      <c r="A2496" s="21" t="s">
        <v>5297</v>
      </c>
      <c r="B2496" s="19" t="str">
        <f>image("https://storage.googleapis.com/acdb/photos/BromideNpcNmlMus05_Remake_6_0.png")</f>
        <v/>
      </c>
      <c r="C2496" s="21" t="s">
        <v>182</v>
      </c>
      <c r="D2496" s="21" t="s">
        <v>51</v>
      </c>
      <c r="E2496" s="21">
        <v>10.0</v>
      </c>
      <c r="F2496" s="21" t="s">
        <v>2289</v>
      </c>
      <c r="G2496" s="19"/>
      <c r="H2496" s="19"/>
      <c r="I2496" s="19"/>
    </row>
    <row r="2497" ht="56.25" customHeight="1">
      <c r="A2497" s="21" t="s">
        <v>5297</v>
      </c>
      <c r="B2497" s="19" t="str">
        <f>image("https://storage.googleapis.com/acdb/photos/BromideNpcNmlMus05_Remake_7_0.png")</f>
        <v/>
      </c>
      <c r="C2497" s="21" t="s">
        <v>187</v>
      </c>
      <c r="D2497" s="21" t="s">
        <v>51</v>
      </c>
      <c r="E2497" s="21">
        <v>10.0</v>
      </c>
      <c r="F2497" s="21" t="s">
        <v>2289</v>
      </c>
      <c r="G2497" s="19"/>
      <c r="H2497" s="19"/>
      <c r="I2497" s="19"/>
    </row>
    <row r="2498" ht="56.25" customHeight="1">
      <c r="A2498" s="21" t="s">
        <v>5304</v>
      </c>
      <c r="B2498" s="19" t="str">
        <f>image("https://storage.googleapis.com/acdb/photos/BromideNpcNmlBul01_Remake_0_0.png")</f>
        <v/>
      </c>
      <c r="C2498" s="21" t="s">
        <v>219</v>
      </c>
      <c r="D2498" s="21" t="s">
        <v>51</v>
      </c>
      <c r="E2498" s="21">
        <v>10.0</v>
      </c>
      <c r="F2498" s="21" t="s">
        <v>2289</v>
      </c>
      <c r="G2498" s="19"/>
      <c r="H2498" s="19"/>
      <c r="I2498" s="19"/>
    </row>
    <row r="2499" ht="56.25" customHeight="1">
      <c r="A2499" s="21" t="s">
        <v>5304</v>
      </c>
      <c r="B2499" s="19" t="str">
        <f>image("https://storage.googleapis.com/acdb/photos/BromideNpcNmlBul01_Remake_1_0.png")</f>
        <v/>
      </c>
      <c r="C2499" s="21" t="s">
        <v>795</v>
      </c>
      <c r="D2499" s="21" t="s">
        <v>51</v>
      </c>
      <c r="E2499" s="21">
        <v>10.0</v>
      </c>
      <c r="F2499" s="21" t="s">
        <v>2289</v>
      </c>
      <c r="G2499" s="19"/>
      <c r="H2499" s="19"/>
      <c r="I2499" s="19"/>
    </row>
    <row r="2500" ht="56.25" customHeight="1">
      <c r="A2500" s="21" t="s">
        <v>5304</v>
      </c>
      <c r="B2500" s="19" t="str">
        <f>image("https://storage.googleapis.com/acdb/photos/BromideNpcNmlBul01_Remake_2_0.png")</f>
        <v/>
      </c>
      <c r="C2500" s="21" t="s">
        <v>954</v>
      </c>
      <c r="D2500" s="21" t="s">
        <v>51</v>
      </c>
      <c r="E2500" s="21">
        <v>10.0</v>
      </c>
      <c r="F2500" s="21" t="s">
        <v>2289</v>
      </c>
      <c r="G2500" s="19"/>
      <c r="H2500" s="19"/>
      <c r="I2500" s="19"/>
    </row>
    <row r="2501" ht="56.25" customHeight="1">
      <c r="A2501" s="21" t="s">
        <v>5304</v>
      </c>
      <c r="B2501" s="19" t="str">
        <f>image("https://storage.googleapis.com/acdb/photos/BromideNpcNmlBul01_Remake_3_0.png")</f>
        <v/>
      </c>
      <c r="C2501" s="21" t="s">
        <v>82</v>
      </c>
      <c r="D2501" s="21" t="s">
        <v>51</v>
      </c>
      <c r="E2501" s="21">
        <v>10.0</v>
      </c>
      <c r="F2501" s="21" t="s">
        <v>2289</v>
      </c>
      <c r="G2501" s="19"/>
      <c r="H2501" s="19"/>
      <c r="I2501" s="19"/>
    </row>
    <row r="2502" ht="56.25" customHeight="1">
      <c r="A2502" s="21" t="s">
        <v>5304</v>
      </c>
      <c r="B2502" s="19" t="str">
        <f>image("https://storage.googleapis.com/acdb/photos/BromideNpcNmlBul01_Remake_4_0.png")</f>
        <v/>
      </c>
      <c r="C2502" s="21" t="s">
        <v>833</v>
      </c>
      <c r="D2502" s="21" t="s">
        <v>51</v>
      </c>
      <c r="E2502" s="21">
        <v>10.0</v>
      </c>
      <c r="F2502" s="21" t="s">
        <v>2289</v>
      </c>
      <c r="G2502" s="19"/>
      <c r="H2502" s="19"/>
      <c r="I2502" s="19"/>
    </row>
    <row r="2503" ht="56.25" customHeight="1">
      <c r="A2503" s="21" t="s">
        <v>5304</v>
      </c>
      <c r="B2503" s="19" t="str">
        <f>image("https://storage.googleapis.com/acdb/photos/BromideNpcNmlBul01_Remake_5_0.png")</f>
        <v/>
      </c>
      <c r="C2503" s="21" t="s">
        <v>258</v>
      </c>
      <c r="D2503" s="21" t="s">
        <v>51</v>
      </c>
      <c r="E2503" s="21">
        <v>10.0</v>
      </c>
      <c r="F2503" s="21" t="s">
        <v>2289</v>
      </c>
      <c r="G2503" s="19"/>
      <c r="H2503" s="19"/>
      <c r="I2503" s="19"/>
    </row>
    <row r="2504" ht="56.25" customHeight="1">
      <c r="A2504" s="21" t="s">
        <v>5304</v>
      </c>
      <c r="B2504" s="19" t="str">
        <f>image("https://storage.googleapis.com/acdb/photos/BromideNpcNmlBul01_Remake_6_0.png")</f>
        <v/>
      </c>
      <c r="C2504" s="21" t="s">
        <v>182</v>
      </c>
      <c r="D2504" s="21" t="s">
        <v>51</v>
      </c>
      <c r="E2504" s="21">
        <v>10.0</v>
      </c>
      <c r="F2504" s="21" t="s">
        <v>2289</v>
      </c>
      <c r="G2504" s="19"/>
      <c r="H2504" s="19"/>
      <c r="I2504" s="19"/>
    </row>
    <row r="2505" ht="56.25" customHeight="1">
      <c r="A2505" s="21" t="s">
        <v>5304</v>
      </c>
      <c r="B2505" s="19" t="str">
        <f>image("https://storage.googleapis.com/acdb/photos/BromideNpcNmlBul01_Remake_7_0.png")</f>
        <v/>
      </c>
      <c r="C2505" s="21" t="s">
        <v>187</v>
      </c>
      <c r="D2505" s="21" t="s">
        <v>51</v>
      </c>
      <c r="E2505" s="21">
        <v>10.0</v>
      </c>
      <c r="F2505" s="21" t="s">
        <v>2289</v>
      </c>
      <c r="G2505" s="19"/>
      <c r="H2505" s="19"/>
      <c r="I2505" s="19"/>
    </row>
    <row r="2506" ht="56.25" customHeight="1">
      <c r="A2506" s="21" t="s">
        <v>5310</v>
      </c>
      <c r="B2506" s="19" t="str">
        <f>image("https://storage.googleapis.com/acdb/photos/BromideNpcNmlHam03_Remake_0_0.png")</f>
        <v/>
      </c>
      <c r="C2506" s="21" t="s">
        <v>219</v>
      </c>
      <c r="D2506" s="21" t="s">
        <v>51</v>
      </c>
      <c r="E2506" s="21">
        <v>10.0</v>
      </c>
      <c r="F2506" s="21" t="s">
        <v>2289</v>
      </c>
      <c r="G2506" s="19"/>
      <c r="H2506" s="19"/>
      <c r="I2506" s="19"/>
    </row>
    <row r="2507" ht="56.25" customHeight="1">
      <c r="A2507" s="21" t="s">
        <v>5310</v>
      </c>
      <c r="B2507" s="19" t="str">
        <f>image("https://storage.googleapis.com/acdb/photos/BromideNpcNmlHam03_Remake_1_0.png")</f>
        <v/>
      </c>
      <c r="C2507" s="21" t="s">
        <v>795</v>
      </c>
      <c r="D2507" s="21" t="s">
        <v>51</v>
      </c>
      <c r="E2507" s="21">
        <v>10.0</v>
      </c>
      <c r="F2507" s="21" t="s">
        <v>2289</v>
      </c>
      <c r="G2507" s="19"/>
      <c r="H2507" s="19"/>
      <c r="I2507" s="19"/>
    </row>
    <row r="2508" ht="56.25" customHeight="1">
      <c r="A2508" s="21" t="s">
        <v>5310</v>
      </c>
      <c r="B2508" s="19" t="str">
        <f>image("https://storage.googleapis.com/acdb/photos/BromideNpcNmlHam03_Remake_2_0.png")</f>
        <v/>
      </c>
      <c r="C2508" s="21" t="s">
        <v>954</v>
      </c>
      <c r="D2508" s="21" t="s">
        <v>51</v>
      </c>
      <c r="E2508" s="21">
        <v>10.0</v>
      </c>
      <c r="F2508" s="21" t="s">
        <v>2289</v>
      </c>
      <c r="G2508" s="19"/>
      <c r="H2508" s="19"/>
      <c r="I2508" s="19"/>
    </row>
    <row r="2509" ht="56.25" customHeight="1">
      <c r="A2509" s="21" t="s">
        <v>5310</v>
      </c>
      <c r="B2509" s="19" t="str">
        <f>image("https://storage.googleapis.com/acdb/photos/BromideNpcNmlHam03_Remake_3_0.png")</f>
        <v/>
      </c>
      <c r="C2509" s="21" t="s">
        <v>82</v>
      </c>
      <c r="D2509" s="21" t="s">
        <v>51</v>
      </c>
      <c r="E2509" s="21">
        <v>10.0</v>
      </c>
      <c r="F2509" s="21" t="s">
        <v>2289</v>
      </c>
      <c r="G2509" s="19"/>
      <c r="H2509" s="19"/>
      <c r="I2509" s="19"/>
    </row>
    <row r="2510" ht="56.25" customHeight="1">
      <c r="A2510" s="21" t="s">
        <v>5310</v>
      </c>
      <c r="B2510" s="19" t="str">
        <f>image("https://storage.googleapis.com/acdb/photos/BromideNpcNmlHam03_Remake_4_0.png")</f>
        <v/>
      </c>
      <c r="C2510" s="21" t="s">
        <v>833</v>
      </c>
      <c r="D2510" s="21" t="s">
        <v>51</v>
      </c>
      <c r="E2510" s="21">
        <v>10.0</v>
      </c>
      <c r="F2510" s="21" t="s">
        <v>2289</v>
      </c>
      <c r="G2510" s="19"/>
      <c r="H2510" s="19"/>
      <c r="I2510" s="19"/>
    </row>
    <row r="2511" ht="56.25" customHeight="1">
      <c r="A2511" s="21" t="s">
        <v>5310</v>
      </c>
      <c r="B2511" s="19" t="str">
        <f>image("https://storage.googleapis.com/acdb/photos/BromideNpcNmlHam03_Remake_5_0.png")</f>
        <v/>
      </c>
      <c r="C2511" s="21" t="s">
        <v>258</v>
      </c>
      <c r="D2511" s="21" t="s">
        <v>51</v>
      </c>
      <c r="E2511" s="21">
        <v>10.0</v>
      </c>
      <c r="F2511" s="21" t="s">
        <v>2289</v>
      </c>
      <c r="G2511" s="19"/>
      <c r="H2511" s="19"/>
      <c r="I2511" s="19"/>
    </row>
    <row r="2512" ht="56.25" customHeight="1">
      <c r="A2512" s="21" t="s">
        <v>5310</v>
      </c>
      <c r="B2512" s="19" t="str">
        <f>image("https://storage.googleapis.com/acdb/photos/BromideNpcNmlHam03_Remake_6_0.png")</f>
        <v/>
      </c>
      <c r="C2512" s="21" t="s">
        <v>182</v>
      </c>
      <c r="D2512" s="21" t="s">
        <v>51</v>
      </c>
      <c r="E2512" s="21">
        <v>10.0</v>
      </c>
      <c r="F2512" s="21" t="s">
        <v>2289</v>
      </c>
      <c r="G2512" s="19"/>
      <c r="H2512" s="19"/>
      <c r="I2512" s="19"/>
    </row>
    <row r="2513" ht="56.25" customHeight="1">
      <c r="A2513" s="21" t="s">
        <v>5310</v>
      </c>
      <c r="B2513" s="19" t="str">
        <f>image("https://storage.googleapis.com/acdb/photos/BromideNpcNmlHam03_Remake_7_0.png")</f>
        <v/>
      </c>
      <c r="C2513" s="21" t="s">
        <v>187</v>
      </c>
      <c r="D2513" s="21" t="s">
        <v>51</v>
      </c>
      <c r="E2513" s="21">
        <v>10.0</v>
      </c>
      <c r="F2513" s="21" t="s">
        <v>2289</v>
      </c>
      <c r="G2513" s="19"/>
      <c r="H2513" s="19"/>
      <c r="I2513" s="19"/>
    </row>
    <row r="2514" ht="56.25" customHeight="1">
      <c r="A2514" s="21" t="s">
        <v>5314</v>
      </c>
      <c r="B2514" s="19" t="str">
        <f>image("https://storage.googleapis.com/acdb/photos/BromideNpcNmlTig00_Remake_0_0.png")</f>
        <v/>
      </c>
      <c r="C2514" s="21" t="s">
        <v>219</v>
      </c>
      <c r="D2514" s="21" t="s">
        <v>51</v>
      </c>
      <c r="E2514" s="21">
        <v>10.0</v>
      </c>
      <c r="F2514" s="21" t="s">
        <v>2289</v>
      </c>
      <c r="G2514" s="19"/>
      <c r="H2514" s="19"/>
      <c r="I2514" s="19"/>
    </row>
    <row r="2515" ht="56.25" customHeight="1">
      <c r="A2515" s="21" t="s">
        <v>5314</v>
      </c>
      <c r="B2515" s="19" t="str">
        <f>image("https://storage.googleapis.com/acdb/photos/BromideNpcNmlTig00_Remake_1_0.png")</f>
        <v/>
      </c>
      <c r="C2515" s="21" t="s">
        <v>795</v>
      </c>
      <c r="D2515" s="21" t="s">
        <v>51</v>
      </c>
      <c r="E2515" s="21">
        <v>10.0</v>
      </c>
      <c r="F2515" s="21" t="s">
        <v>2289</v>
      </c>
      <c r="G2515" s="19"/>
      <c r="H2515" s="19"/>
      <c r="I2515" s="19"/>
    </row>
    <row r="2516" ht="56.25" customHeight="1">
      <c r="A2516" s="21" t="s">
        <v>5314</v>
      </c>
      <c r="B2516" s="19" t="str">
        <f>image("https://storage.googleapis.com/acdb/photos/BromideNpcNmlTig00_Remake_2_0.png")</f>
        <v/>
      </c>
      <c r="C2516" s="21" t="s">
        <v>954</v>
      </c>
      <c r="D2516" s="21" t="s">
        <v>51</v>
      </c>
      <c r="E2516" s="21">
        <v>10.0</v>
      </c>
      <c r="F2516" s="21" t="s">
        <v>2289</v>
      </c>
      <c r="G2516" s="19"/>
      <c r="H2516" s="19"/>
      <c r="I2516" s="19"/>
    </row>
    <row r="2517" ht="56.25" customHeight="1">
      <c r="A2517" s="21" t="s">
        <v>5314</v>
      </c>
      <c r="B2517" s="19" t="str">
        <f>image("https://storage.googleapis.com/acdb/photos/BromideNpcNmlTig00_Remake_3_0.png")</f>
        <v/>
      </c>
      <c r="C2517" s="21" t="s">
        <v>82</v>
      </c>
      <c r="D2517" s="21" t="s">
        <v>51</v>
      </c>
      <c r="E2517" s="21">
        <v>10.0</v>
      </c>
      <c r="F2517" s="21" t="s">
        <v>2289</v>
      </c>
      <c r="G2517" s="19"/>
      <c r="H2517" s="19"/>
      <c r="I2517" s="19"/>
    </row>
    <row r="2518" ht="56.25" customHeight="1">
      <c r="A2518" s="21" t="s">
        <v>5314</v>
      </c>
      <c r="B2518" s="19" t="str">
        <f>image("https://storage.googleapis.com/acdb/photos/BromideNpcNmlTig00_Remake_4_0.png")</f>
        <v/>
      </c>
      <c r="C2518" s="21" t="s">
        <v>833</v>
      </c>
      <c r="D2518" s="21" t="s">
        <v>51</v>
      </c>
      <c r="E2518" s="21">
        <v>10.0</v>
      </c>
      <c r="F2518" s="21" t="s">
        <v>2289</v>
      </c>
      <c r="G2518" s="19"/>
      <c r="H2518" s="19"/>
      <c r="I2518" s="19"/>
    </row>
    <row r="2519" ht="56.25" customHeight="1">
      <c r="A2519" s="21" t="s">
        <v>5314</v>
      </c>
      <c r="B2519" s="19" t="str">
        <f>image("https://storage.googleapis.com/acdb/photos/BromideNpcNmlTig00_Remake_5_0.png")</f>
        <v/>
      </c>
      <c r="C2519" s="21" t="s">
        <v>258</v>
      </c>
      <c r="D2519" s="21" t="s">
        <v>51</v>
      </c>
      <c r="E2519" s="21">
        <v>10.0</v>
      </c>
      <c r="F2519" s="21" t="s">
        <v>2289</v>
      </c>
      <c r="G2519" s="19"/>
      <c r="H2519" s="19"/>
      <c r="I2519" s="19"/>
    </row>
    <row r="2520" ht="56.25" customHeight="1">
      <c r="A2520" s="21" t="s">
        <v>5314</v>
      </c>
      <c r="B2520" s="19" t="str">
        <f>image("https://storage.googleapis.com/acdb/photos/BromideNpcNmlTig00_Remake_6_0.png")</f>
        <v/>
      </c>
      <c r="C2520" s="21" t="s">
        <v>182</v>
      </c>
      <c r="D2520" s="21" t="s">
        <v>51</v>
      </c>
      <c r="E2520" s="21">
        <v>10.0</v>
      </c>
      <c r="F2520" s="21" t="s">
        <v>2289</v>
      </c>
      <c r="G2520" s="19"/>
      <c r="H2520" s="19"/>
      <c r="I2520" s="19"/>
    </row>
    <row r="2521" ht="56.25" customHeight="1">
      <c r="A2521" s="21" t="s">
        <v>5314</v>
      </c>
      <c r="B2521" s="19" t="str">
        <f>image("https://storage.googleapis.com/acdb/photos/BromideNpcNmlTig00_Remake_7_0.png")</f>
        <v/>
      </c>
      <c r="C2521" s="21" t="s">
        <v>187</v>
      </c>
      <c r="D2521" s="21" t="s">
        <v>51</v>
      </c>
      <c r="E2521" s="21">
        <v>10.0</v>
      </c>
      <c r="F2521" s="21" t="s">
        <v>2289</v>
      </c>
      <c r="G2521" s="19"/>
      <c r="H2521" s="19"/>
      <c r="I2521" s="19"/>
    </row>
    <row r="2522" ht="56.25" customHeight="1">
      <c r="A2522" s="21" t="s">
        <v>5318</v>
      </c>
      <c r="B2522" s="19" t="str">
        <f>image("https://storage.googleapis.com/acdb/photos/BromideNpcNmlKgr09_Remake_0_0.png")</f>
        <v/>
      </c>
      <c r="C2522" s="21" t="s">
        <v>219</v>
      </c>
      <c r="D2522" s="21" t="s">
        <v>51</v>
      </c>
      <c r="E2522" s="21">
        <v>10.0</v>
      </c>
      <c r="F2522" s="21" t="s">
        <v>2289</v>
      </c>
      <c r="G2522" s="19"/>
      <c r="H2522" s="19"/>
      <c r="I2522" s="19"/>
    </row>
    <row r="2523" ht="56.25" customHeight="1">
      <c r="A2523" s="21" t="s">
        <v>5318</v>
      </c>
      <c r="B2523" s="19" t="str">
        <f>image("https://storage.googleapis.com/acdb/photos/BromideNpcNmlKgr09_Remake_1_0.png")</f>
        <v/>
      </c>
      <c r="C2523" s="21" t="s">
        <v>795</v>
      </c>
      <c r="D2523" s="21" t="s">
        <v>51</v>
      </c>
      <c r="E2523" s="21">
        <v>10.0</v>
      </c>
      <c r="F2523" s="21" t="s">
        <v>2289</v>
      </c>
      <c r="G2523" s="19"/>
      <c r="H2523" s="19"/>
      <c r="I2523" s="19"/>
    </row>
    <row r="2524" ht="56.25" customHeight="1">
      <c r="A2524" s="21" t="s">
        <v>5318</v>
      </c>
      <c r="B2524" s="19" t="str">
        <f>image("https://storage.googleapis.com/acdb/photos/BromideNpcNmlKgr09_Remake_2_0.png")</f>
        <v/>
      </c>
      <c r="C2524" s="21" t="s">
        <v>954</v>
      </c>
      <c r="D2524" s="21" t="s">
        <v>51</v>
      </c>
      <c r="E2524" s="21">
        <v>10.0</v>
      </c>
      <c r="F2524" s="21" t="s">
        <v>2289</v>
      </c>
      <c r="G2524" s="19"/>
      <c r="H2524" s="19"/>
      <c r="I2524" s="19"/>
    </row>
    <row r="2525" ht="56.25" customHeight="1">
      <c r="A2525" s="21" t="s">
        <v>5318</v>
      </c>
      <c r="B2525" s="19" t="str">
        <f>image("https://storage.googleapis.com/acdb/photos/BromideNpcNmlKgr09_Remake_3_0.png")</f>
        <v/>
      </c>
      <c r="C2525" s="21" t="s">
        <v>82</v>
      </c>
      <c r="D2525" s="21" t="s">
        <v>51</v>
      </c>
      <c r="E2525" s="21">
        <v>10.0</v>
      </c>
      <c r="F2525" s="21" t="s">
        <v>2289</v>
      </c>
      <c r="G2525" s="19"/>
      <c r="H2525" s="19"/>
      <c r="I2525" s="19"/>
    </row>
    <row r="2526" ht="56.25" customHeight="1">
      <c r="A2526" s="21" t="s">
        <v>5318</v>
      </c>
      <c r="B2526" s="19" t="str">
        <f>image("https://storage.googleapis.com/acdb/photos/BromideNpcNmlKgr09_Remake_4_0.png")</f>
        <v/>
      </c>
      <c r="C2526" s="21" t="s">
        <v>833</v>
      </c>
      <c r="D2526" s="21" t="s">
        <v>51</v>
      </c>
      <c r="E2526" s="21">
        <v>10.0</v>
      </c>
      <c r="F2526" s="21" t="s">
        <v>2289</v>
      </c>
      <c r="G2526" s="19"/>
      <c r="H2526" s="19"/>
      <c r="I2526" s="19"/>
    </row>
    <row r="2527" ht="56.25" customHeight="1">
      <c r="A2527" s="21" t="s">
        <v>5318</v>
      </c>
      <c r="B2527" s="19" t="str">
        <f>image("https://storage.googleapis.com/acdb/photos/BromideNpcNmlKgr09_Remake_5_0.png")</f>
        <v/>
      </c>
      <c r="C2527" s="21" t="s">
        <v>258</v>
      </c>
      <c r="D2527" s="21" t="s">
        <v>51</v>
      </c>
      <c r="E2527" s="21">
        <v>10.0</v>
      </c>
      <c r="F2527" s="21" t="s">
        <v>2289</v>
      </c>
      <c r="G2527" s="19"/>
      <c r="H2527" s="19"/>
      <c r="I2527" s="19"/>
    </row>
    <row r="2528" ht="56.25" customHeight="1">
      <c r="A2528" s="21" t="s">
        <v>5318</v>
      </c>
      <c r="B2528" s="19" t="str">
        <f>image("https://storage.googleapis.com/acdb/photos/BromideNpcNmlKgr09_Remake_6_0.png")</f>
        <v/>
      </c>
      <c r="C2528" s="21" t="s">
        <v>182</v>
      </c>
      <c r="D2528" s="21" t="s">
        <v>51</v>
      </c>
      <c r="E2528" s="21">
        <v>10.0</v>
      </c>
      <c r="F2528" s="21" t="s">
        <v>2289</v>
      </c>
      <c r="G2528" s="19"/>
      <c r="H2528" s="19"/>
      <c r="I2528" s="19"/>
    </row>
    <row r="2529" ht="56.25" customHeight="1">
      <c r="A2529" s="21" t="s">
        <v>5318</v>
      </c>
      <c r="B2529" s="19" t="str">
        <f>image("https://storage.googleapis.com/acdb/photos/BromideNpcNmlKgr09_Remake_7_0.png")</f>
        <v/>
      </c>
      <c r="C2529" s="21" t="s">
        <v>187</v>
      </c>
      <c r="D2529" s="21" t="s">
        <v>51</v>
      </c>
      <c r="E2529" s="21">
        <v>10.0</v>
      </c>
      <c r="F2529" s="21" t="s">
        <v>2289</v>
      </c>
      <c r="G2529" s="19"/>
      <c r="H2529" s="19"/>
      <c r="I2529" s="19"/>
    </row>
    <row r="2530" ht="56.25" customHeight="1">
      <c r="A2530" s="21" t="s">
        <v>5322</v>
      </c>
      <c r="B2530" s="19" t="str">
        <f>image("https://storage.googleapis.com/acdb/photos/BromideNpcNmlLon07_Remake_0_0.png")</f>
        <v/>
      </c>
      <c r="C2530" s="21" t="s">
        <v>219</v>
      </c>
      <c r="D2530" s="21" t="s">
        <v>51</v>
      </c>
      <c r="E2530" s="21">
        <v>10.0</v>
      </c>
      <c r="F2530" s="21" t="s">
        <v>2289</v>
      </c>
      <c r="G2530" s="19"/>
      <c r="H2530" s="19"/>
      <c r="I2530" s="19"/>
    </row>
    <row r="2531" ht="56.25" customHeight="1">
      <c r="A2531" s="21" t="s">
        <v>5322</v>
      </c>
      <c r="B2531" s="19" t="str">
        <f>image("https://storage.googleapis.com/acdb/photos/BromideNpcNmlLon07_Remake_1_0.png")</f>
        <v/>
      </c>
      <c r="C2531" s="21" t="s">
        <v>795</v>
      </c>
      <c r="D2531" s="21" t="s">
        <v>51</v>
      </c>
      <c r="E2531" s="21">
        <v>10.0</v>
      </c>
      <c r="F2531" s="21" t="s">
        <v>2289</v>
      </c>
      <c r="G2531" s="19"/>
      <c r="H2531" s="19"/>
      <c r="I2531" s="19"/>
    </row>
    <row r="2532" ht="56.25" customHeight="1">
      <c r="A2532" s="21" t="s">
        <v>5322</v>
      </c>
      <c r="B2532" s="19" t="str">
        <f>image("https://storage.googleapis.com/acdb/photos/BromideNpcNmlLon07_Remake_2_0.png")</f>
        <v/>
      </c>
      <c r="C2532" s="21" t="s">
        <v>954</v>
      </c>
      <c r="D2532" s="21" t="s">
        <v>51</v>
      </c>
      <c r="E2532" s="21">
        <v>10.0</v>
      </c>
      <c r="F2532" s="21" t="s">
        <v>2289</v>
      </c>
      <c r="G2532" s="19"/>
      <c r="H2532" s="19"/>
      <c r="I2532" s="19"/>
    </row>
    <row r="2533" ht="56.25" customHeight="1">
      <c r="A2533" s="21" t="s">
        <v>5322</v>
      </c>
      <c r="B2533" s="19" t="str">
        <f>image("https://storage.googleapis.com/acdb/photos/BromideNpcNmlLon07_Remake_3_0.png")</f>
        <v/>
      </c>
      <c r="C2533" s="21" t="s">
        <v>82</v>
      </c>
      <c r="D2533" s="21" t="s">
        <v>51</v>
      </c>
      <c r="E2533" s="21">
        <v>10.0</v>
      </c>
      <c r="F2533" s="21" t="s">
        <v>2289</v>
      </c>
      <c r="G2533" s="19"/>
      <c r="H2533" s="19"/>
      <c r="I2533" s="19"/>
    </row>
    <row r="2534" ht="56.25" customHeight="1">
      <c r="A2534" s="21" t="s">
        <v>5322</v>
      </c>
      <c r="B2534" s="19" t="str">
        <f>image("https://storage.googleapis.com/acdb/photos/BromideNpcNmlLon07_Remake_4_0.png")</f>
        <v/>
      </c>
      <c r="C2534" s="21" t="s">
        <v>833</v>
      </c>
      <c r="D2534" s="21" t="s">
        <v>51</v>
      </c>
      <c r="E2534" s="21">
        <v>10.0</v>
      </c>
      <c r="F2534" s="21" t="s">
        <v>2289</v>
      </c>
      <c r="G2534" s="19"/>
      <c r="H2534" s="19"/>
      <c r="I2534" s="19"/>
    </row>
    <row r="2535" ht="56.25" customHeight="1">
      <c r="A2535" s="21" t="s">
        <v>5322</v>
      </c>
      <c r="B2535" s="19" t="str">
        <f>image("https://storage.googleapis.com/acdb/photos/BromideNpcNmlLon07_Remake_5_0.png")</f>
        <v/>
      </c>
      <c r="C2535" s="21" t="s">
        <v>258</v>
      </c>
      <c r="D2535" s="21" t="s">
        <v>51</v>
      </c>
      <c r="E2535" s="21">
        <v>10.0</v>
      </c>
      <c r="F2535" s="21" t="s">
        <v>2289</v>
      </c>
      <c r="G2535" s="19"/>
      <c r="H2535" s="19"/>
      <c r="I2535" s="19"/>
    </row>
    <row r="2536" ht="56.25" customHeight="1">
      <c r="A2536" s="21" t="s">
        <v>5322</v>
      </c>
      <c r="B2536" s="19" t="str">
        <f>image("https://storage.googleapis.com/acdb/photos/BromideNpcNmlLon07_Remake_6_0.png")</f>
        <v/>
      </c>
      <c r="C2536" s="21" t="s">
        <v>182</v>
      </c>
      <c r="D2536" s="21" t="s">
        <v>51</v>
      </c>
      <c r="E2536" s="21">
        <v>10.0</v>
      </c>
      <c r="F2536" s="21" t="s">
        <v>2289</v>
      </c>
      <c r="G2536" s="19"/>
      <c r="H2536" s="19"/>
      <c r="I2536" s="19"/>
    </row>
    <row r="2537" ht="56.25" customHeight="1">
      <c r="A2537" s="21" t="s">
        <v>5322</v>
      </c>
      <c r="B2537" s="19" t="str">
        <f>image("https://storage.googleapis.com/acdb/photos/BromideNpcNmlLon07_Remake_7_0.png")</f>
        <v/>
      </c>
      <c r="C2537" s="21" t="s">
        <v>187</v>
      </c>
      <c r="D2537" s="21" t="s">
        <v>51</v>
      </c>
      <c r="E2537" s="21">
        <v>10.0</v>
      </c>
      <c r="F2537" s="21" t="s">
        <v>2289</v>
      </c>
      <c r="G2537" s="19"/>
      <c r="H2537" s="19"/>
      <c r="I2537" s="19"/>
    </row>
    <row r="2538" ht="56.25" customHeight="1">
      <c r="A2538" s="21" t="s">
        <v>5327</v>
      </c>
      <c r="B2538" s="19" t="str">
        <f>image("https://storage.googleapis.com/acdb/photos/BromideNpcNmlHrs04_Remake_0_0.png")</f>
        <v/>
      </c>
      <c r="C2538" s="21" t="s">
        <v>219</v>
      </c>
      <c r="D2538" s="21" t="s">
        <v>51</v>
      </c>
      <c r="E2538" s="21">
        <v>10.0</v>
      </c>
      <c r="F2538" s="21" t="s">
        <v>2289</v>
      </c>
      <c r="G2538" s="19"/>
      <c r="H2538" s="19"/>
      <c r="I2538" s="19"/>
    </row>
    <row r="2539" ht="56.25" customHeight="1">
      <c r="A2539" s="21" t="s">
        <v>5327</v>
      </c>
      <c r="B2539" s="19" t="str">
        <f>image("https://storage.googleapis.com/acdb/photos/BromideNpcNmlHrs04_Remake_1_0.png")</f>
        <v/>
      </c>
      <c r="C2539" s="21" t="s">
        <v>795</v>
      </c>
      <c r="D2539" s="21" t="s">
        <v>51</v>
      </c>
      <c r="E2539" s="21">
        <v>10.0</v>
      </c>
      <c r="F2539" s="21" t="s">
        <v>2289</v>
      </c>
      <c r="G2539" s="19"/>
      <c r="H2539" s="19"/>
      <c r="I2539" s="19"/>
    </row>
    <row r="2540" ht="56.25" customHeight="1">
      <c r="A2540" s="21" t="s">
        <v>5327</v>
      </c>
      <c r="B2540" s="19" t="str">
        <f>image("https://storage.googleapis.com/acdb/photos/BromideNpcNmlHrs04_Remake_2_0.png")</f>
        <v/>
      </c>
      <c r="C2540" s="21" t="s">
        <v>954</v>
      </c>
      <c r="D2540" s="21" t="s">
        <v>51</v>
      </c>
      <c r="E2540" s="21">
        <v>10.0</v>
      </c>
      <c r="F2540" s="21" t="s">
        <v>2289</v>
      </c>
      <c r="G2540" s="19"/>
      <c r="H2540" s="19"/>
      <c r="I2540" s="19"/>
    </row>
    <row r="2541" ht="56.25" customHeight="1">
      <c r="A2541" s="21" t="s">
        <v>5327</v>
      </c>
      <c r="B2541" s="19" t="str">
        <f>image("https://storage.googleapis.com/acdb/photos/BromideNpcNmlHrs04_Remake_3_0.png")</f>
        <v/>
      </c>
      <c r="C2541" s="21" t="s">
        <v>82</v>
      </c>
      <c r="D2541" s="21" t="s">
        <v>51</v>
      </c>
      <c r="E2541" s="21">
        <v>10.0</v>
      </c>
      <c r="F2541" s="21" t="s">
        <v>2289</v>
      </c>
      <c r="G2541" s="19"/>
      <c r="H2541" s="19"/>
      <c r="I2541" s="19"/>
    </row>
    <row r="2542" ht="56.25" customHeight="1">
      <c r="A2542" s="21" t="s">
        <v>5327</v>
      </c>
      <c r="B2542" s="19" t="str">
        <f>image("https://storage.googleapis.com/acdb/photos/BromideNpcNmlHrs04_Remake_4_0.png")</f>
        <v/>
      </c>
      <c r="C2542" s="21" t="s">
        <v>833</v>
      </c>
      <c r="D2542" s="21" t="s">
        <v>51</v>
      </c>
      <c r="E2542" s="21">
        <v>10.0</v>
      </c>
      <c r="F2542" s="21" t="s">
        <v>2289</v>
      </c>
      <c r="G2542" s="19"/>
      <c r="H2542" s="19"/>
      <c r="I2542" s="19"/>
    </row>
    <row r="2543" ht="56.25" customHeight="1">
      <c r="A2543" s="21" t="s">
        <v>5327</v>
      </c>
      <c r="B2543" s="19" t="str">
        <f>image("https://storage.googleapis.com/acdb/photos/BromideNpcNmlHrs04_Remake_5_0.png")</f>
        <v/>
      </c>
      <c r="C2543" s="21" t="s">
        <v>258</v>
      </c>
      <c r="D2543" s="21" t="s">
        <v>51</v>
      </c>
      <c r="E2543" s="21">
        <v>10.0</v>
      </c>
      <c r="F2543" s="21" t="s">
        <v>2289</v>
      </c>
      <c r="G2543" s="19"/>
      <c r="H2543" s="19"/>
      <c r="I2543" s="19"/>
    </row>
    <row r="2544" ht="56.25" customHeight="1">
      <c r="A2544" s="21" t="s">
        <v>5327</v>
      </c>
      <c r="B2544" s="19" t="str">
        <f>image("https://storage.googleapis.com/acdb/photos/BromideNpcNmlHrs04_Remake_6_0.png")</f>
        <v/>
      </c>
      <c r="C2544" s="21" t="s">
        <v>182</v>
      </c>
      <c r="D2544" s="21" t="s">
        <v>51</v>
      </c>
      <c r="E2544" s="21">
        <v>10.0</v>
      </c>
      <c r="F2544" s="21" t="s">
        <v>2289</v>
      </c>
      <c r="G2544" s="19"/>
      <c r="H2544" s="19"/>
      <c r="I2544" s="19"/>
    </row>
    <row r="2545" ht="56.25" customHeight="1">
      <c r="A2545" s="21" t="s">
        <v>5327</v>
      </c>
      <c r="B2545" s="19" t="str">
        <f>image("https://storage.googleapis.com/acdb/photos/BromideNpcNmlHrs04_Remake_7_0.png")</f>
        <v/>
      </c>
      <c r="C2545" s="21" t="s">
        <v>187</v>
      </c>
      <c r="D2545" s="21" t="s">
        <v>51</v>
      </c>
      <c r="E2545" s="21">
        <v>10.0</v>
      </c>
      <c r="F2545" s="21" t="s">
        <v>2289</v>
      </c>
      <c r="G2545" s="19"/>
      <c r="H2545" s="19"/>
      <c r="I2545" s="19"/>
    </row>
    <row r="2546" ht="56.25" customHeight="1">
      <c r="A2546" s="21" t="s">
        <v>5332</v>
      </c>
      <c r="B2546" s="19" t="str">
        <f>image("https://storage.googleapis.com/acdb/photos/BromideNpcNmlCat02_Remake_0_0.png")</f>
        <v/>
      </c>
      <c r="C2546" s="21" t="s">
        <v>219</v>
      </c>
      <c r="D2546" s="21" t="s">
        <v>51</v>
      </c>
      <c r="E2546" s="21">
        <v>10.0</v>
      </c>
      <c r="F2546" s="21" t="s">
        <v>2289</v>
      </c>
      <c r="G2546" s="19"/>
      <c r="H2546" s="19"/>
      <c r="I2546" s="19"/>
    </row>
    <row r="2547" ht="56.25" customHeight="1">
      <c r="A2547" s="21" t="s">
        <v>5332</v>
      </c>
      <c r="B2547" s="19" t="str">
        <f>image("https://storage.googleapis.com/acdb/photos/BromideNpcNmlCat02_Remake_1_0.png")</f>
        <v/>
      </c>
      <c r="C2547" s="21" t="s">
        <v>795</v>
      </c>
      <c r="D2547" s="21" t="s">
        <v>51</v>
      </c>
      <c r="E2547" s="21">
        <v>10.0</v>
      </c>
      <c r="F2547" s="21" t="s">
        <v>2289</v>
      </c>
      <c r="G2547" s="19"/>
      <c r="H2547" s="19"/>
      <c r="I2547" s="19"/>
    </row>
    <row r="2548" ht="56.25" customHeight="1">
      <c r="A2548" s="21" t="s">
        <v>5332</v>
      </c>
      <c r="B2548" s="19" t="str">
        <f>image("https://storage.googleapis.com/acdb/photos/BromideNpcNmlCat02_Remake_2_0.png")</f>
        <v/>
      </c>
      <c r="C2548" s="21" t="s">
        <v>954</v>
      </c>
      <c r="D2548" s="21" t="s">
        <v>51</v>
      </c>
      <c r="E2548" s="21">
        <v>10.0</v>
      </c>
      <c r="F2548" s="21" t="s">
        <v>2289</v>
      </c>
      <c r="G2548" s="19"/>
      <c r="H2548" s="19"/>
      <c r="I2548" s="19"/>
    </row>
    <row r="2549" ht="56.25" customHeight="1">
      <c r="A2549" s="21" t="s">
        <v>5332</v>
      </c>
      <c r="B2549" s="19" t="str">
        <f>image("https://storage.googleapis.com/acdb/photos/BromideNpcNmlCat02_Remake_3_0.png")</f>
        <v/>
      </c>
      <c r="C2549" s="21" t="s">
        <v>82</v>
      </c>
      <c r="D2549" s="21" t="s">
        <v>51</v>
      </c>
      <c r="E2549" s="21">
        <v>10.0</v>
      </c>
      <c r="F2549" s="21" t="s">
        <v>2289</v>
      </c>
      <c r="G2549" s="19"/>
      <c r="H2549" s="19"/>
      <c r="I2549" s="19"/>
    </row>
    <row r="2550" ht="56.25" customHeight="1">
      <c r="A2550" s="21" t="s">
        <v>5332</v>
      </c>
      <c r="B2550" s="19" t="str">
        <f>image("https://storage.googleapis.com/acdb/photos/BromideNpcNmlCat02_Remake_4_0.png")</f>
        <v/>
      </c>
      <c r="C2550" s="21" t="s">
        <v>833</v>
      </c>
      <c r="D2550" s="21" t="s">
        <v>51</v>
      </c>
      <c r="E2550" s="21">
        <v>10.0</v>
      </c>
      <c r="F2550" s="21" t="s">
        <v>2289</v>
      </c>
      <c r="G2550" s="19"/>
      <c r="H2550" s="19"/>
      <c r="I2550" s="19"/>
    </row>
    <row r="2551" ht="56.25" customHeight="1">
      <c r="A2551" s="21" t="s">
        <v>5332</v>
      </c>
      <c r="B2551" s="19" t="str">
        <f>image("https://storage.googleapis.com/acdb/photos/BromideNpcNmlCat02_Remake_5_0.png")</f>
        <v/>
      </c>
      <c r="C2551" s="21" t="s">
        <v>258</v>
      </c>
      <c r="D2551" s="21" t="s">
        <v>51</v>
      </c>
      <c r="E2551" s="21">
        <v>10.0</v>
      </c>
      <c r="F2551" s="21" t="s">
        <v>2289</v>
      </c>
      <c r="G2551" s="19"/>
      <c r="H2551" s="19"/>
      <c r="I2551" s="19"/>
    </row>
    <row r="2552" ht="56.25" customHeight="1">
      <c r="A2552" s="21" t="s">
        <v>5332</v>
      </c>
      <c r="B2552" s="19" t="str">
        <f>image("https://storage.googleapis.com/acdb/photos/BromideNpcNmlCat02_Remake_6_0.png")</f>
        <v/>
      </c>
      <c r="C2552" s="21" t="s">
        <v>182</v>
      </c>
      <c r="D2552" s="21" t="s">
        <v>51</v>
      </c>
      <c r="E2552" s="21">
        <v>10.0</v>
      </c>
      <c r="F2552" s="21" t="s">
        <v>2289</v>
      </c>
      <c r="G2552" s="19"/>
      <c r="H2552" s="19"/>
      <c r="I2552" s="19"/>
    </row>
    <row r="2553" ht="56.25" customHeight="1">
      <c r="A2553" s="21" t="s">
        <v>5332</v>
      </c>
      <c r="B2553" s="19" t="str">
        <f>image("https://storage.googleapis.com/acdb/photos/BromideNpcNmlCat02_Remake_7_0.png")</f>
        <v/>
      </c>
      <c r="C2553" s="21" t="s">
        <v>187</v>
      </c>
      <c r="D2553" s="21" t="s">
        <v>51</v>
      </c>
      <c r="E2553" s="21">
        <v>10.0</v>
      </c>
      <c r="F2553" s="21" t="s">
        <v>2289</v>
      </c>
      <c r="G2553" s="19"/>
      <c r="H2553" s="19"/>
      <c r="I2553" s="19"/>
    </row>
    <row r="2554" ht="56.25" customHeight="1">
      <c r="A2554" s="21" t="s">
        <v>5336</v>
      </c>
      <c r="B2554" s="19" t="str">
        <f>image("https://storage.googleapis.com/acdb/photos/BromideNpcNmlTig01_Remake_0_0.png")</f>
        <v/>
      </c>
      <c r="C2554" s="21" t="s">
        <v>219</v>
      </c>
      <c r="D2554" s="21" t="s">
        <v>51</v>
      </c>
      <c r="E2554" s="21">
        <v>10.0</v>
      </c>
      <c r="F2554" s="21" t="s">
        <v>2289</v>
      </c>
      <c r="G2554" s="19"/>
      <c r="H2554" s="19"/>
      <c r="I2554" s="19"/>
    </row>
    <row r="2555" ht="56.25" customHeight="1">
      <c r="A2555" s="21" t="s">
        <v>5336</v>
      </c>
      <c r="B2555" s="19" t="str">
        <f>image("https://storage.googleapis.com/acdb/photos/BromideNpcNmlTig01_Remake_1_0.png")</f>
        <v/>
      </c>
      <c r="C2555" s="21" t="s">
        <v>795</v>
      </c>
      <c r="D2555" s="21" t="s">
        <v>51</v>
      </c>
      <c r="E2555" s="21">
        <v>10.0</v>
      </c>
      <c r="F2555" s="21" t="s">
        <v>2289</v>
      </c>
      <c r="G2555" s="19"/>
      <c r="H2555" s="19"/>
      <c r="I2555" s="19"/>
    </row>
    <row r="2556" ht="56.25" customHeight="1">
      <c r="A2556" s="21" t="s">
        <v>5336</v>
      </c>
      <c r="B2556" s="19" t="str">
        <f>image("https://storage.googleapis.com/acdb/photos/BromideNpcNmlTig01_Remake_2_0.png")</f>
        <v/>
      </c>
      <c r="C2556" s="21" t="s">
        <v>954</v>
      </c>
      <c r="D2556" s="21" t="s">
        <v>51</v>
      </c>
      <c r="E2556" s="21">
        <v>10.0</v>
      </c>
      <c r="F2556" s="21" t="s">
        <v>2289</v>
      </c>
      <c r="G2556" s="19"/>
      <c r="H2556" s="19"/>
      <c r="I2556" s="19"/>
    </row>
    <row r="2557" ht="56.25" customHeight="1">
      <c r="A2557" s="21" t="s">
        <v>5336</v>
      </c>
      <c r="B2557" s="19" t="str">
        <f>image("https://storage.googleapis.com/acdb/photos/BromideNpcNmlTig01_Remake_3_0.png")</f>
        <v/>
      </c>
      <c r="C2557" s="21" t="s">
        <v>82</v>
      </c>
      <c r="D2557" s="21" t="s">
        <v>51</v>
      </c>
      <c r="E2557" s="21">
        <v>10.0</v>
      </c>
      <c r="F2557" s="21" t="s">
        <v>2289</v>
      </c>
      <c r="G2557" s="19"/>
      <c r="H2557" s="19"/>
      <c r="I2557" s="19"/>
    </row>
    <row r="2558" ht="56.25" customHeight="1">
      <c r="A2558" s="21" t="s">
        <v>5336</v>
      </c>
      <c r="B2558" s="19" t="str">
        <f>image("https://storage.googleapis.com/acdb/photos/BromideNpcNmlTig01_Remake_4_0.png")</f>
        <v/>
      </c>
      <c r="C2558" s="21" t="s">
        <v>833</v>
      </c>
      <c r="D2558" s="21" t="s">
        <v>51</v>
      </c>
      <c r="E2558" s="21">
        <v>10.0</v>
      </c>
      <c r="F2558" s="21" t="s">
        <v>2289</v>
      </c>
      <c r="G2558" s="19"/>
      <c r="H2558" s="19"/>
      <c r="I2558" s="19"/>
    </row>
    <row r="2559" ht="56.25" customHeight="1">
      <c r="A2559" s="21" t="s">
        <v>5336</v>
      </c>
      <c r="B2559" s="19" t="str">
        <f>image("https://storage.googleapis.com/acdb/photos/BromideNpcNmlTig01_Remake_5_0.png")</f>
        <v/>
      </c>
      <c r="C2559" s="21" t="s">
        <v>258</v>
      </c>
      <c r="D2559" s="21" t="s">
        <v>51</v>
      </c>
      <c r="E2559" s="21">
        <v>10.0</v>
      </c>
      <c r="F2559" s="21" t="s">
        <v>2289</v>
      </c>
      <c r="G2559" s="19"/>
      <c r="H2559" s="19"/>
      <c r="I2559" s="19"/>
    </row>
    <row r="2560" ht="56.25" customHeight="1">
      <c r="A2560" s="21" t="s">
        <v>5336</v>
      </c>
      <c r="B2560" s="19" t="str">
        <f>image("https://storage.googleapis.com/acdb/photos/BromideNpcNmlTig01_Remake_6_0.png")</f>
        <v/>
      </c>
      <c r="C2560" s="21" t="s">
        <v>182</v>
      </c>
      <c r="D2560" s="21" t="s">
        <v>51</v>
      </c>
      <c r="E2560" s="21">
        <v>10.0</v>
      </c>
      <c r="F2560" s="21" t="s">
        <v>2289</v>
      </c>
      <c r="G2560" s="19"/>
      <c r="H2560" s="19"/>
      <c r="I2560" s="19"/>
    </row>
    <row r="2561" ht="56.25" customHeight="1">
      <c r="A2561" s="21" t="s">
        <v>5336</v>
      </c>
      <c r="B2561" s="19" t="str">
        <f>image("https://storage.googleapis.com/acdb/photos/BromideNpcNmlTig01_Remake_7_0.png")</f>
        <v/>
      </c>
      <c r="C2561" s="21" t="s">
        <v>187</v>
      </c>
      <c r="D2561" s="21" t="s">
        <v>51</v>
      </c>
      <c r="E2561" s="21">
        <v>10.0</v>
      </c>
      <c r="F2561" s="21" t="s">
        <v>2289</v>
      </c>
      <c r="G2561" s="19"/>
      <c r="H2561" s="19"/>
      <c r="I2561" s="19"/>
    </row>
    <row r="2562" ht="56.25" customHeight="1">
      <c r="A2562" s="21" t="s">
        <v>5339</v>
      </c>
      <c r="B2562" s="19" t="str">
        <f>image("https://storage.googleapis.com/acdb/photos/BromideNpcNmlRbt09_Remake_0_0.png")</f>
        <v/>
      </c>
      <c r="C2562" s="21" t="s">
        <v>219</v>
      </c>
      <c r="D2562" s="21" t="s">
        <v>51</v>
      </c>
      <c r="E2562" s="21">
        <v>10.0</v>
      </c>
      <c r="F2562" s="21" t="s">
        <v>2289</v>
      </c>
      <c r="G2562" s="19"/>
      <c r="H2562" s="19"/>
      <c r="I2562" s="19"/>
    </row>
    <row r="2563" ht="56.25" customHeight="1">
      <c r="A2563" s="21" t="s">
        <v>5339</v>
      </c>
      <c r="B2563" s="19" t="str">
        <f>image("https://storage.googleapis.com/acdb/photos/BromideNpcNmlRbt09_Remake_1_0.png")</f>
        <v/>
      </c>
      <c r="C2563" s="21" t="s">
        <v>795</v>
      </c>
      <c r="D2563" s="21" t="s">
        <v>51</v>
      </c>
      <c r="E2563" s="21">
        <v>10.0</v>
      </c>
      <c r="F2563" s="21" t="s">
        <v>2289</v>
      </c>
      <c r="G2563" s="19"/>
      <c r="H2563" s="19"/>
      <c r="I2563" s="19"/>
    </row>
    <row r="2564" ht="56.25" customHeight="1">
      <c r="A2564" s="21" t="s">
        <v>5339</v>
      </c>
      <c r="B2564" s="19" t="str">
        <f>image("https://storage.googleapis.com/acdb/photos/BromideNpcNmlRbt09_Remake_2_0.png")</f>
        <v/>
      </c>
      <c r="C2564" s="21" t="s">
        <v>954</v>
      </c>
      <c r="D2564" s="21" t="s">
        <v>51</v>
      </c>
      <c r="E2564" s="21">
        <v>10.0</v>
      </c>
      <c r="F2564" s="21" t="s">
        <v>2289</v>
      </c>
      <c r="G2564" s="19"/>
      <c r="H2564" s="19"/>
      <c r="I2564" s="19"/>
    </row>
    <row r="2565" ht="56.25" customHeight="1">
      <c r="A2565" s="21" t="s">
        <v>5339</v>
      </c>
      <c r="B2565" s="19" t="str">
        <f>image("https://storage.googleapis.com/acdb/photos/BromideNpcNmlRbt09_Remake_3_0.png")</f>
        <v/>
      </c>
      <c r="C2565" s="21" t="s">
        <v>82</v>
      </c>
      <c r="D2565" s="21" t="s">
        <v>51</v>
      </c>
      <c r="E2565" s="21">
        <v>10.0</v>
      </c>
      <c r="F2565" s="21" t="s">
        <v>2289</v>
      </c>
      <c r="G2565" s="19"/>
      <c r="H2565" s="19"/>
      <c r="I2565" s="19"/>
    </row>
    <row r="2566" ht="56.25" customHeight="1">
      <c r="A2566" s="21" t="s">
        <v>5339</v>
      </c>
      <c r="B2566" s="19" t="str">
        <f>image("https://storage.googleapis.com/acdb/photos/BromideNpcNmlRbt09_Remake_4_0.png")</f>
        <v/>
      </c>
      <c r="C2566" s="21" t="s">
        <v>833</v>
      </c>
      <c r="D2566" s="21" t="s">
        <v>51</v>
      </c>
      <c r="E2566" s="21">
        <v>10.0</v>
      </c>
      <c r="F2566" s="21" t="s">
        <v>2289</v>
      </c>
      <c r="G2566" s="19"/>
      <c r="H2566" s="19"/>
      <c r="I2566" s="19"/>
    </row>
    <row r="2567" ht="56.25" customHeight="1">
      <c r="A2567" s="21" t="s">
        <v>5339</v>
      </c>
      <c r="B2567" s="19" t="str">
        <f>image("https://storage.googleapis.com/acdb/photos/BromideNpcNmlRbt09_Remake_5_0.png")</f>
        <v/>
      </c>
      <c r="C2567" s="21" t="s">
        <v>258</v>
      </c>
      <c r="D2567" s="21" t="s">
        <v>51</v>
      </c>
      <c r="E2567" s="21">
        <v>10.0</v>
      </c>
      <c r="F2567" s="21" t="s">
        <v>2289</v>
      </c>
      <c r="G2567" s="19"/>
      <c r="H2567" s="19"/>
      <c r="I2567" s="19"/>
    </row>
    <row r="2568" ht="56.25" customHeight="1">
      <c r="A2568" s="21" t="s">
        <v>5339</v>
      </c>
      <c r="B2568" s="19" t="str">
        <f>image("https://storage.googleapis.com/acdb/photos/BromideNpcNmlRbt09_Remake_6_0.png")</f>
        <v/>
      </c>
      <c r="C2568" s="21" t="s">
        <v>182</v>
      </c>
      <c r="D2568" s="21" t="s">
        <v>51</v>
      </c>
      <c r="E2568" s="21">
        <v>10.0</v>
      </c>
      <c r="F2568" s="21" t="s">
        <v>2289</v>
      </c>
      <c r="G2568" s="19"/>
      <c r="H2568" s="19"/>
      <c r="I2568" s="19"/>
    </row>
    <row r="2569" ht="56.25" customHeight="1">
      <c r="A2569" s="21" t="s">
        <v>5339</v>
      </c>
      <c r="B2569" s="19" t="str">
        <f>image("https://storage.googleapis.com/acdb/photos/BromideNpcNmlRbt09_Remake_7_0.png")</f>
        <v/>
      </c>
      <c r="C2569" s="21" t="s">
        <v>187</v>
      </c>
      <c r="D2569" s="21" t="s">
        <v>51</v>
      </c>
      <c r="E2569" s="21">
        <v>10.0</v>
      </c>
      <c r="F2569" s="21" t="s">
        <v>2289</v>
      </c>
      <c r="G2569" s="19"/>
      <c r="H2569" s="19"/>
      <c r="I2569" s="19"/>
    </row>
    <row r="2570" ht="56.25" customHeight="1">
      <c r="A2570" s="21" t="s">
        <v>5347</v>
      </c>
      <c r="B2570" s="19" t="str">
        <f>image("https://storage.googleapis.com/acdb/photos/BromideNpcNmlCat20_Remake_0_0.png")</f>
        <v/>
      </c>
      <c r="C2570" s="21" t="s">
        <v>219</v>
      </c>
      <c r="D2570" s="21" t="s">
        <v>51</v>
      </c>
      <c r="E2570" s="21">
        <v>10.0</v>
      </c>
      <c r="F2570" s="21" t="s">
        <v>2289</v>
      </c>
      <c r="G2570" s="19"/>
      <c r="H2570" s="19"/>
      <c r="I2570" s="19"/>
    </row>
    <row r="2571" ht="56.25" customHeight="1">
      <c r="A2571" s="21" t="s">
        <v>5347</v>
      </c>
      <c r="B2571" s="19" t="str">
        <f>image("https://storage.googleapis.com/acdb/photos/BromideNpcNmlCat20_Remake_1_0.png")</f>
        <v/>
      </c>
      <c r="C2571" s="21" t="s">
        <v>795</v>
      </c>
      <c r="D2571" s="21" t="s">
        <v>51</v>
      </c>
      <c r="E2571" s="21">
        <v>10.0</v>
      </c>
      <c r="F2571" s="21" t="s">
        <v>2289</v>
      </c>
      <c r="G2571" s="19"/>
      <c r="H2571" s="19"/>
      <c r="I2571" s="19"/>
    </row>
    <row r="2572" ht="56.25" customHeight="1">
      <c r="A2572" s="21" t="s">
        <v>5347</v>
      </c>
      <c r="B2572" s="19" t="str">
        <f>image("https://storage.googleapis.com/acdb/photos/BromideNpcNmlCat20_Remake_2_0.png")</f>
        <v/>
      </c>
      <c r="C2572" s="21" t="s">
        <v>954</v>
      </c>
      <c r="D2572" s="21" t="s">
        <v>51</v>
      </c>
      <c r="E2572" s="21">
        <v>10.0</v>
      </c>
      <c r="F2572" s="21" t="s">
        <v>2289</v>
      </c>
      <c r="G2572" s="19"/>
      <c r="H2572" s="19"/>
      <c r="I2572" s="19"/>
    </row>
    <row r="2573" ht="56.25" customHeight="1">
      <c r="A2573" s="21" t="s">
        <v>5347</v>
      </c>
      <c r="B2573" s="19" t="str">
        <f>image("https://storage.googleapis.com/acdb/photos/BromideNpcNmlCat20_Remake_3_0.png")</f>
        <v/>
      </c>
      <c r="C2573" s="21" t="s">
        <v>82</v>
      </c>
      <c r="D2573" s="21" t="s">
        <v>51</v>
      </c>
      <c r="E2573" s="21">
        <v>10.0</v>
      </c>
      <c r="F2573" s="21" t="s">
        <v>2289</v>
      </c>
      <c r="G2573" s="19"/>
      <c r="H2573" s="19"/>
      <c r="I2573" s="19"/>
    </row>
    <row r="2574" ht="56.25" customHeight="1">
      <c r="A2574" s="21" t="s">
        <v>5347</v>
      </c>
      <c r="B2574" s="19" t="str">
        <f>image("https://storage.googleapis.com/acdb/photos/BromideNpcNmlCat20_Remake_4_0.png")</f>
        <v/>
      </c>
      <c r="C2574" s="21" t="s">
        <v>833</v>
      </c>
      <c r="D2574" s="21" t="s">
        <v>51</v>
      </c>
      <c r="E2574" s="21">
        <v>10.0</v>
      </c>
      <c r="F2574" s="21" t="s">
        <v>2289</v>
      </c>
      <c r="G2574" s="19"/>
      <c r="H2574" s="19"/>
      <c r="I2574" s="19"/>
    </row>
    <row r="2575" ht="56.25" customHeight="1">
      <c r="A2575" s="21" t="s">
        <v>5347</v>
      </c>
      <c r="B2575" s="19" t="str">
        <f>image("https://storage.googleapis.com/acdb/photos/BromideNpcNmlCat20_Remake_5_0.png")</f>
        <v/>
      </c>
      <c r="C2575" s="21" t="s">
        <v>258</v>
      </c>
      <c r="D2575" s="21" t="s">
        <v>51</v>
      </c>
      <c r="E2575" s="21">
        <v>10.0</v>
      </c>
      <c r="F2575" s="21" t="s">
        <v>2289</v>
      </c>
      <c r="G2575" s="19"/>
      <c r="H2575" s="19"/>
      <c r="I2575" s="19"/>
    </row>
    <row r="2576" ht="56.25" customHeight="1">
      <c r="A2576" s="21" t="s">
        <v>5347</v>
      </c>
      <c r="B2576" s="19" t="str">
        <f>image("https://storage.googleapis.com/acdb/photos/BromideNpcNmlCat20_Remake_6_0.png")</f>
        <v/>
      </c>
      <c r="C2576" s="21" t="s">
        <v>182</v>
      </c>
      <c r="D2576" s="21" t="s">
        <v>51</v>
      </c>
      <c r="E2576" s="21">
        <v>10.0</v>
      </c>
      <c r="F2576" s="21" t="s">
        <v>2289</v>
      </c>
      <c r="G2576" s="19"/>
      <c r="H2576" s="19"/>
      <c r="I2576" s="19"/>
    </row>
    <row r="2577" ht="56.25" customHeight="1">
      <c r="A2577" s="21" t="s">
        <v>5347</v>
      </c>
      <c r="B2577" s="19" t="str">
        <f>image("https://storage.googleapis.com/acdb/photos/BromideNpcNmlCat20_Remake_7_0.png")</f>
        <v/>
      </c>
      <c r="C2577" s="21" t="s">
        <v>187</v>
      </c>
      <c r="D2577" s="21" t="s">
        <v>51</v>
      </c>
      <c r="E2577" s="21">
        <v>10.0</v>
      </c>
      <c r="F2577" s="21" t="s">
        <v>2289</v>
      </c>
      <c r="G2577" s="19"/>
      <c r="H2577" s="19"/>
      <c r="I2577" s="19"/>
    </row>
    <row r="2578" ht="56.25" customHeight="1">
      <c r="A2578" s="21" t="s">
        <v>5349</v>
      </c>
      <c r="B2578" s="19" t="str">
        <f>image("https://storage.googleapis.com/acdb/photos/BromideNpcNmlSqu07_Remake_0_0.png")</f>
        <v/>
      </c>
      <c r="C2578" s="21" t="s">
        <v>219</v>
      </c>
      <c r="D2578" s="21" t="s">
        <v>51</v>
      </c>
      <c r="E2578" s="21">
        <v>10.0</v>
      </c>
      <c r="F2578" s="21" t="s">
        <v>2289</v>
      </c>
      <c r="G2578" s="19"/>
      <c r="H2578" s="19"/>
      <c r="I2578" s="19"/>
    </row>
    <row r="2579" ht="56.25" customHeight="1">
      <c r="A2579" s="21" t="s">
        <v>5349</v>
      </c>
      <c r="B2579" s="19" t="str">
        <f>image("https://storage.googleapis.com/acdb/photos/BromideNpcNmlSqu07_Remake_1_0.png")</f>
        <v/>
      </c>
      <c r="C2579" s="21" t="s">
        <v>795</v>
      </c>
      <c r="D2579" s="21" t="s">
        <v>51</v>
      </c>
      <c r="E2579" s="21">
        <v>10.0</v>
      </c>
      <c r="F2579" s="21" t="s">
        <v>2289</v>
      </c>
      <c r="G2579" s="19"/>
      <c r="H2579" s="19"/>
      <c r="I2579" s="19"/>
    </row>
    <row r="2580" ht="56.25" customHeight="1">
      <c r="A2580" s="21" t="s">
        <v>5349</v>
      </c>
      <c r="B2580" s="19" t="str">
        <f>image("https://storage.googleapis.com/acdb/photos/BromideNpcNmlSqu07_Remake_2_0.png")</f>
        <v/>
      </c>
      <c r="C2580" s="21" t="s">
        <v>954</v>
      </c>
      <c r="D2580" s="21" t="s">
        <v>51</v>
      </c>
      <c r="E2580" s="21">
        <v>10.0</v>
      </c>
      <c r="F2580" s="21" t="s">
        <v>2289</v>
      </c>
      <c r="G2580" s="19"/>
      <c r="H2580" s="19"/>
      <c r="I2580" s="19"/>
    </row>
    <row r="2581" ht="56.25" customHeight="1">
      <c r="A2581" s="21" t="s">
        <v>5349</v>
      </c>
      <c r="B2581" s="19" t="str">
        <f>image("https://storage.googleapis.com/acdb/photos/BromideNpcNmlSqu07_Remake_3_0.png")</f>
        <v/>
      </c>
      <c r="C2581" s="21" t="s">
        <v>82</v>
      </c>
      <c r="D2581" s="21" t="s">
        <v>51</v>
      </c>
      <c r="E2581" s="21">
        <v>10.0</v>
      </c>
      <c r="F2581" s="21" t="s">
        <v>2289</v>
      </c>
      <c r="G2581" s="19"/>
      <c r="H2581" s="19"/>
      <c r="I2581" s="19"/>
    </row>
    <row r="2582" ht="56.25" customHeight="1">
      <c r="A2582" s="21" t="s">
        <v>5349</v>
      </c>
      <c r="B2582" s="19" t="str">
        <f>image("https://storage.googleapis.com/acdb/photos/BromideNpcNmlSqu07_Remake_4_0.png")</f>
        <v/>
      </c>
      <c r="C2582" s="21" t="s">
        <v>833</v>
      </c>
      <c r="D2582" s="21" t="s">
        <v>51</v>
      </c>
      <c r="E2582" s="21">
        <v>10.0</v>
      </c>
      <c r="F2582" s="21" t="s">
        <v>2289</v>
      </c>
      <c r="G2582" s="19"/>
      <c r="H2582" s="19"/>
      <c r="I2582" s="19"/>
    </row>
    <row r="2583" ht="56.25" customHeight="1">
      <c r="A2583" s="21" t="s">
        <v>5349</v>
      </c>
      <c r="B2583" s="19" t="str">
        <f>image("https://storage.googleapis.com/acdb/photos/BromideNpcNmlSqu07_Remake_5_0.png")</f>
        <v/>
      </c>
      <c r="C2583" s="21" t="s">
        <v>258</v>
      </c>
      <c r="D2583" s="21" t="s">
        <v>51</v>
      </c>
      <c r="E2583" s="21">
        <v>10.0</v>
      </c>
      <c r="F2583" s="21" t="s">
        <v>2289</v>
      </c>
      <c r="G2583" s="19"/>
      <c r="H2583" s="19"/>
      <c r="I2583" s="19"/>
    </row>
    <row r="2584" ht="56.25" customHeight="1">
      <c r="A2584" s="21" t="s">
        <v>5349</v>
      </c>
      <c r="B2584" s="19" t="str">
        <f>image("https://storage.googleapis.com/acdb/photos/BromideNpcNmlSqu07_Remake_6_0.png")</f>
        <v/>
      </c>
      <c r="C2584" s="21" t="s">
        <v>182</v>
      </c>
      <c r="D2584" s="21" t="s">
        <v>51</v>
      </c>
      <c r="E2584" s="21">
        <v>10.0</v>
      </c>
      <c r="F2584" s="21" t="s">
        <v>2289</v>
      </c>
      <c r="G2584" s="19"/>
      <c r="H2584" s="19"/>
      <c r="I2584" s="19"/>
    </row>
    <row r="2585" ht="56.25" customHeight="1">
      <c r="A2585" s="21" t="s">
        <v>5349</v>
      </c>
      <c r="B2585" s="19" t="str">
        <f>image("https://storage.googleapis.com/acdb/photos/BromideNpcNmlSqu07_Remake_7_0.png")</f>
        <v/>
      </c>
      <c r="C2585" s="21" t="s">
        <v>187</v>
      </c>
      <c r="D2585" s="21" t="s">
        <v>51</v>
      </c>
      <c r="E2585" s="21">
        <v>10.0</v>
      </c>
      <c r="F2585" s="21" t="s">
        <v>2289</v>
      </c>
      <c r="G2585" s="19"/>
      <c r="H2585" s="19"/>
      <c r="I2585" s="19"/>
    </row>
    <row r="2586" ht="56.25" customHeight="1">
      <c r="A2586" s="21" t="s">
        <v>5357</v>
      </c>
      <c r="B2586" s="19" t="str">
        <f>image("https://storage.googleapis.com/acdb/photos/BromideNpcNmlMus04_Remake_0_0.png")</f>
        <v/>
      </c>
      <c r="C2586" s="21" t="s">
        <v>219</v>
      </c>
      <c r="D2586" s="21" t="s">
        <v>51</v>
      </c>
      <c r="E2586" s="21">
        <v>10.0</v>
      </c>
      <c r="F2586" s="21" t="s">
        <v>2289</v>
      </c>
      <c r="G2586" s="19"/>
      <c r="H2586" s="19"/>
      <c r="I2586" s="19"/>
    </row>
    <row r="2587" ht="56.25" customHeight="1">
      <c r="A2587" s="21" t="s">
        <v>5357</v>
      </c>
      <c r="B2587" s="19" t="str">
        <f>image("https://storage.googleapis.com/acdb/photos/BromideNpcNmlMus04_Remake_1_0.png")</f>
        <v/>
      </c>
      <c r="C2587" s="21" t="s">
        <v>795</v>
      </c>
      <c r="D2587" s="21" t="s">
        <v>51</v>
      </c>
      <c r="E2587" s="21">
        <v>10.0</v>
      </c>
      <c r="F2587" s="21" t="s">
        <v>2289</v>
      </c>
      <c r="G2587" s="19"/>
      <c r="H2587" s="19"/>
      <c r="I2587" s="19"/>
    </row>
    <row r="2588" ht="56.25" customHeight="1">
      <c r="A2588" s="21" t="s">
        <v>5357</v>
      </c>
      <c r="B2588" s="19" t="str">
        <f>image("https://storage.googleapis.com/acdb/photos/BromideNpcNmlMus04_Remake_2_0.png")</f>
        <v/>
      </c>
      <c r="C2588" s="21" t="s">
        <v>954</v>
      </c>
      <c r="D2588" s="21" t="s">
        <v>51</v>
      </c>
      <c r="E2588" s="21">
        <v>10.0</v>
      </c>
      <c r="F2588" s="21" t="s">
        <v>2289</v>
      </c>
      <c r="G2588" s="19"/>
      <c r="H2588" s="19"/>
      <c r="I2588" s="19"/>
    </row>
    <row r="2589" ht="56.25" customHeight="1">
      <c r="A2589" s="21" t="s">
        <v>5357</v>
      </c>
      <c r="B2589" s="19" t="str">
        <f>image("https://storage.googleapis.com/acdb/photos/BromideNpcNmlMus04_Remake_3_0.png")</f>
        <v/>
      </c>
      <c r="C2589" s="21" t="s">
        <v>82</v>
      </c>
      <c r="D2589" s="21" t="s">
        <v>51</v>
      </c>
      <c r="E2589" s="21">
        <v>10.0</v>
      </c>
      <c r="F2589" s="21" t="s">
        <v>2289</v>
      </c>
      <c r="G2589" s="19"/>
      <c r="H2589" s="19"/>
      <c r="I2589" s="19"/>
    </row>
    <row r="2590" ht="56.25" customHeight="1">
      <c r="A2590" s="21" t="s">
        <v>5357</v>
      </c>
      <c r="B2590" s="19" t="str">
        <f>image("https://storage.googleapis.com/acdb/photos/BromideNpcNmlMus04_Remake_4_0.png")</f>
        <v/>
      </c>
      <c r="C2590" s="21" t="s">
        <v>833</v>
      </c>
      <c r="D2590" s="21" t="s">
        <v>51</v>
      </c>
      <c r="E2590" s="21">
        <v>10.0</v>
      </c>
      <c r="F2590" s="21" t="s">
        <v>2289</v>
      </c>
      <c r="G2590" s="19"/>
      <c r="H2590" s="19"/>
      <c r="I2590" s="19"/>
    </row>
    <row r="2591" ht="56.25" customHeight="1">
      <c r="A2591" s="21" t="s">
        <v>5357</v>
      </c>
      <c r="B2591" s="19" t="str">
        <f>image("https://storage.googleapis.com/acdb/photos/BromideNpcNmlMus04_Remake_5_0.png")</f>
        <v/>
      </c>
      <c r="C2591" s="21" t="s">
        <v>258</v>
      </c>
      <c r="D2591" s="21" t="s">
        <v>51</v>
      </c>
      <c r="E2591" s="21">
        <v>10.0</v>
      </c>
      <c r="F2591" s="21" t="s">
        <v>2289</v>
      </c>
      <c r="G2591" s="19"/>
      <c r="H2591" s="19"/>
      <c r="I2591" s="19"/>
    </row>
    <row r="2592" ht="56.25" customHeight="1">
      <c r="A2592" s="21" t="s">
        <v>5357</v>
      </c>
      <c r="B2592" s="19" t="str">
        <f>image("https://storage.googleapis.com/acdb/photos/BromideNpcNmlMus04_Remake_6_0.png")</f>
        <v/>
      </c>
      <c r="C2592" s="21" t="s">
        <v>182</v>
      </c>
      <c r="D2592" s="21" t="s">
        <v>51</v>
      </c>
      <c r="E2592" s="21">
        <v>10.0</v>
      </c>
      <c r="F2592" s="21" t="s">
        <v>2289</v>
      </c>
      <c r="G2592" s="19"/>
      <c r="H2592" s="19"/>
      <c r="I2592" s="19"/>
    </row>
    <row r="2593" ht="56.25" customHeight="1">
      <c r="A2593" s="21" t="s">
        <v>5357</v>
      </c>
      <c r="B2593" s="19" t="str">
        <f>image("https://storage.googleapis.com/acdb/photos/BromideNpcNmlMus04_Remake_7_0.png")</f>
        <v/>
      </c>
      <c r="C2593" s="21" t="s">
        <v>187</v>
      </c>
      <c r="D2593" s="21" t="s">
        <v>51</v>
      </c>
      <c r="E2593" s="21">
        <v>10.0</v>
      </c>
      <c r="F2593" s="21" t="s">
        <v>2289</v>
      </c>
      <c r="G2593" s="19"/>
      <c r="H2593" s="19"/>
      <c r="I2593" s="19"/>
    </row>
    <row r="2594" ht="56.25" customHeight="1">
      <c r="A2594" s="21" t="s">
        <v>5384</v>
      </c>
      <c r="B2594" s="19" t="str">
        <f>image("https://storage.googleapis.com/acdb/photos/BromideNpcNmlOst02_Remake_0_0.png")</f>
        <v/>
      </c>
      <c r="C2594" s="21" t="s">
        <v>219</v>
      </c>
      <c r="D2594" s="21" t="s">
        <v>51</v>
      </c>
      <c r="E2594" s="21">
        <v>10.0</v>
      </c>
      <c r="F2594" s="21" t="s">
        <v>2289</v>
      </c>
      <c r="G2594" s="19"/>
      <c r="H2594" s="19"/>
      <c r="I2594" s="19"/>
    </row>
    <row r="2595" ht="56.25" customHeight="1">
      <c r="A2595" s="21" t="s">
        <v>5384</v>
      </c>
      <c r="B2595" s="19" t="str">
        <f>image("https://storage.googleapis.com/acdb/photos/BromideNpcNmlOst02_Remake_1_0.png")</f>
        <v/>
      </c>
      <c r="C2595" s="21" t="s">
        <v>795</v>
      </c>
      <c r="D2595" s="21" t="s">
        <v>51</v>
      </c>
      <c r="E2595" s="21">
        <v>10.0</v>
      </c>
      <c r="F2595" s="21" t="s">
        <v>2289</v>
      </c>
      <c r="G2595" s="19"/>
      <c r="H2595" s="19"/>
      <c r="I2595" s="19"/>
    </row>
    <row r="2596" ht="56.25" customHeight="1">
      <c r="A2596" s="21" t="s">
        <v>5384</v>
      </c>
      <c r="B2596" s="19" t="str">
        <f>image("https://storage.googleapis.com/acdb/photos/BromideNpcNmlOst02_Remake_2_0.png")</f>
        <v/>
      </c>
      <c r="C2596" s="21" t="s">
        <v>954</v>
      </c>
      <c r="D2596" s="21" t="s">
        <v>51</v>
      </c>
      <c r="E2596" s="21">
        <v>10.0</v>
      </c>
      <c r="F2596" s="21" t="s">
        <v>2289</v>
      </c>
      <c r="G2596" s="19"/>
      <c r="H2596" s="19"/>
      <c r="I2596" s="19"/>
    </row>
    <row r="2597" ht="56.25" customHeight="1">
      <c r="A2597" s="21" t="s">
        <v>5384</v>
      </c>
      <c r="B2597" s="19" t="str">
        <f>image("https://storage.googleapis.com/acdb/photos/BromideNpcNmlOst02_Remake_3_0.png")</f>
        <v/>
      </c>
      <c r="C2597" s="21" t="s">
        <v>82</v>
      </c>
      <c r="D2597" s="21" t="s">
        <v>51</v>
      </c>
      <c r="E2597" s="21">
        <v>10.0</v>
      </c>
      <c r="F2597" s="21" t="s">
        <v>2289</v>
      </c>
      <c r="G2597" s="19"/>
      <c r="H2597" s="19"/>
      <c r="I2597" s="19"/>
    </row>
    <row r="2598" ht="56.25" customHeight="1">
      <c r="A2598" s="21" t="s">
        <v>5384</v>
      </c>
      <c r="B2598" s="19" t="str">
        <f>image("https://storage.googleapis.com/acdb/photos/BromideNpcNmlOst02_Remake_4_0.png")</f>
        <v/>
      </c>
      <c r="C2598" s="21" t="s">
        <v>833</v>
      </c>
      <c r="D2598" s="21" t="s">
        <v>51</v>
      </c>
      <c r="E2598" s="21">
        <v>10.0</v>
      </c>
      <c r="F2598" s="21" t="s">
        <v>2289</v>
      </c>
      <c r="G2598" s="19"/>
      <c r="H2598" s="19"/>
      <c r="I2598" s="19"/>
    </row>
    <row r="2599" ht="56.25" customHeight="1">
      <c r="A2599" s="21" t="s">
        <v>5384</v>
      </c>
      <c r="B2599" s="19" t="str">
        <f>image("https://storage.googleapis.com/acdb/photos/BromideNpcNmlOst02_Remake_5_0.png")</f>
        <v/>
      </c>
      <c r="C2599" s="21" t="s">
        <v>258</v>
      </c>
      <c r="D2599" s="21" t="s">
        <v>51</v>
      </c>
      <c r="E2599" s="21">
        <v>10.0</v>
      </c>
      <c r="F2599" s="21" t="s">
        <v>2289</v>
      </c>
      <c r="G2599" s="19"/>
      <c r="H2599" s="19"/>
      <c r="I2599" s="19"/>
    </row>
    <row r="2600" ht="56.25" customHeight="1">
      <c r="A2600" s="21" t="s">
        <v>5384</v>
      </c>
      <c r="B2600" s="19" t="str">
        <f>image("https://storage.googleapis.com/acdb/photos/BromideNpcNmlOst02_Remake_6_0.png")</f>
        <v/>
      </c>
      <c r="C2600" s="21" t="s">
        <v>182</v>
      </c>
      <c r="D2600" s="21" t="s">
        <v>51</v>
      </c>
      <c r="E2600" s="21">
        <v>10.0</v>
      </c>
      <c r="F2600" s="21" t="s">
        <v>2289</v>
      </c>
      <c r="G2600" s="19"/>
      <c r="H2600" s="19"/>
      <c r="I2600" s="19"/>
    </row>
    <row r="2601" ht="56.25" customHeight="1">
      <c r="A2601" s="21" t="s">
        <v>5384</v>
      </c>
      <c r="B2601" s="19" t="str">
        <f>image("https://storage.googleapis.com/acdb/photos/BromideNpcNmlOst02_Remake_7_0.png")</f>
        <v/>
      </c>
      <c r="C2601" s="21" t="s">
        <v>187</v>
      </c>
      <c r="D2601" s="21" t="s">
        <v>51</v>
      </c>
      <c r="E2601" s="21">
        <v>10.0</v>
      </c>
      <c r="F2601" s="21" t="s">
        <v>2289</v>
      </c>
      <c r="G2601" s="19"/>
      <c r="H2601" s="19"/>
      <c r="I2601" s="19"/>
    </row>
    <row r="2602" ht="56.25" customHeight="1">
      <c r="A2602" s="21" t="s">
        <v>5409</v>
      </c>
      <c r="B2602" s="19" t="str">
        <f>image("https://storage.googleapis.com/acdb/photos/BromideNpcNmlHrs02_Remake_0_0.png")</f>
        <v/>
      </c>
      <c r="C2602" s="21" t="s">
        <v>219</v>
      </c>
      <c r="D2602" s="21" t="s">
        <v>51</v>
      </c>
      <c r="E2602" s="21">
        <v>10.0</v>
      </c>
      <c r="F2602" s="21" t="s">
        <v>2289</v>
      </c>
      <c r="G2602" s="19"/>
      <c r="H2602" s="19"/>
      <c r="I2602" s="19"/>
    </row>
    <row r="2603" ht="56.25" customHeight="1">
      <c r="A2603" s="21" t="s">
        <v>5409</v>
      </c>
      <c r="B2603" s="19" t="str">
        <f>image("https://storage.googleapis.com/acdb/photos/BromideNpcNmlHrs02_Remake_1_0.png")</f>
        <v/>
      </c>
      <c r="C2603" s="21" t="s">
        <v>795</v>
      </c>
      <c r="D2603" s="21" t="s">
        <v>51</v>
      </c>
      <c r="E2603" s="21">
        <v>10.0</v>
      </c>
      <c r="F2603" s="21" t="s">
        <v>2289</v>
      </c>
      <c r="G2603" s="19"/>
      <c r="H2603" s="19"/>
      <c r="I2603" s="19"/>
    </row>
    <row r="2604" ht="56.25" customHeight="1">
      <c r="A2604" s="21" t="s">
        <v>5409</v>
      </c>
      <c r="B2604" s="19" t="str">
        <f>image("https://storage.googleapis.com/acdb/photos/BromideNpcNmlHrs02_Remake_2_0.png")</f>
        <v/>
      </c>
      <c r="C2604" s="21" t="s">
        <v>954</v>
      </c>
      <c r="D2604" s="21" t="s">
        <v>51</v>
      </c>
      <c r="E2604" s="21">
        <v>10.0</v>
      </c>
      <c r="F2604" s="21" t="s">
        <v>2289</v>
      </c>
      <c r="G2604" s="19"/>
      <c r="H2604" s="19"/>
      <c r="I2604" s="19"/>
    </row>
    <row r="2605" ht="56.25" customHeight="1">
      <c r="A2605" s="21" t="s">
        <v>5409</v>
      </c>
      <c r="B2605" s="19" t="str">
        <f>image("https://storage.googleapis.com/acdb/photos/BromideNpcNmlHrs02_Remake_3_0.png")</f>
        <v/>
      </c>
      <c r="C2605" s="21" t="s">
        <v>82</v>
      </c>
      <c r="D2605" s="21" t="s">
        <v>51</v>
      </c>
      <c r="E2605" s="21">
        <v>10.0</v>
      </c>
      <c r="F2605" s="21" t="s">
        <v>2289</v>
      </c>
      <c r="G2605" s="19"/>
      <c r="H2605" s="19"/>
      <c r="I2605" s="19"/>
    </row>
    <row r="2606" ht="56.25" customHeight="1">
      <c r="A2606" s="21" t="s">
        <v>5409</v>
      </c>
      <c r="B2606" s="19" t="str">
        <f>image("https://storage.googleapis.com/acdb/photos/BromideNpcNmlHrs02_Remake_4_0.png")</f>
        <v/>
      </c>
      <c r="C2606" s="21" t="s">
        <v>833</v>
      </c>
      <c r="D2606" s="21" t="s">
        <v>51</v>
      </c>
      <c r="E2606" s="21">
        <v>10.0</v>
      </c>
      <c r="F2606" s="21" t="s">
        <v>2289</v>
      </c>
      <c r="G2606" s="19"/>
      <c r="H2606" s="19"/>
      <c r="I2606" s="19"/>
    </row>
    <row r="2607" ht="56.25" customHeight="1">
      <c r="A2607" s="21" t="s">
        <v>5409</v>
      </c>
      <c r="B2607" s="19" t="str">
        <f>image("https://storage.googleapis.com/acdb/photos/BromideNpcNmlHrs02_Remake_5_0.png")</f>
        <v/>
      </c>
      <c r="C2607" s="21" t="s">
        <v>258</v>
      </c>
      <c r="D2607" s="21" t="s">
        <v>51</v>
      </c>
      <c r="E2607" s="21">
        <v>10.0</v>
      </c>
      <c r="F2607" s="21" t="s">
        <v>2289</v>
      </c>
      <c r="G2607" s="19"/>
      <c r="H2607" s="19"/>
      <c r="I2607" s="19"/>
    </row>
    <row r="2608" ht="56.25" customHeight="1">
      <c r="A2608" s="21" t="s">
        <v>5409</v>
      </c>
      <c r="B2608" s="19" t="str">
        <f>image("https://storage.googleapis.com/acdb/photos/BromideNpcNmlHrs02_Remake_6_0.png")</f>
        <v/>
      </c>
      <c r="C2608" s="21" t="s">
        <v>182</v>
      </c>
      <c r="D2608" s="21" t="s">
        <v>51</v>
      </c>
      <c r="E2608" s="21">
        <v>10.0</v>
      </c>
      <c r="F2608" s="21" t="s">
        <v>2289</v>
      </c>
      <c r="G2608" s="19"/>
      <c r="H2608" s="19"/>
      <c r="I2608" s="19"/>
    </row>
    <row r="2609" ht="56.25" customHeight="1">
      <c r="A2609" s="21" t="s">
        <v>5409</v>
      </c>
      <c r="B2609" s="19" t="str">
        <f>image("https://storage.googleapis.com/acdb/photos/BromideNpcNmlHrs02_Remake_7_0.png")</f>
        <v/>
      </c>
      <c r="C2609" s="21" t="s">
        <v>187</v>
      </c>
      <c r="D2609" s="21" t="s">
        <v>51</v>
      </c>
      <c r="E2609" s="21">
        <v>10.0</v>
      </c>
      <c r="F2609" s="21" t="s">
        <v>2289</v>
      </c>
      <c r="G2609" s="19"/>
      <c r="H2609" s="19"/>
      <c r="I2609" s="19"/>
    </row>
    <row r="2610" ht="56.25" customHeight="1">
      <c r="A2610" s="21" t="s">
        <v>5433</v>
      </c>
      <c r="B2610" s="19" t="str">
        <f>image("https://storage.googleapis.com/acdb/photos/BromideNpcNmlDuk10_Remake_0_0.png")</f>
        <v/>
      </c>
      <c r="C2610" s="21" t="s">
        <v>219</v>
      </c>
      <c r="D2610" s="21" t="s">
        <v>51</v>
      </c>
      <c r="E2610" s="21">
        <v>10.0</v>
      </c>
      <c r="F2610" s="21" t="s">
        <v>2289</v>
      </c>
      <c r="G2610" s="19"/>
      <c r="H2610" s="19"/>
      <c r="I2610" s="19"/>
    </row>
    <row r="2611" ht="56.25" customHeight="1">
      <c r="A2611" s="21" t="s">
        <v>5433</v>
      </c>
      <c r="B2611" s="19" t="str">
        <f>image("https://storage.googleapis.com/acdb/photos/BromideNpcNmlDuk10_Remake_1_0.png")</f>
        <v/>
      </c>
      <c r="C2611" s="21" t="s">
        <v>795</v>
      </c>
      <c r="D2611" s="21" t="s">
        <v>51</v>
      </c>
      <c r="E2611" s="21">
        <v>10.0</v>
      </c>
      <c r="F2611" s="21" t="s">
        <v>2289</v>
      </c>
      <c r="G2611" s="19"/>
      <c r="H2611" s="19"/>
      <c r="I2611" s="19"/>
    </row>
    <row r="2612" ht="56.25" customHeight="1">
      <c r="A2612" s="21" t="s">
        <v>5433</v>
      </c>
      <c r="B2612" s="19" t="str">
        <f>image("https://storage.googleapis.com/acdb/photos/BromideNpcNmlDuk10_Remake_2_0.png")</f>
        <v/>
      </c>
      <c r="C2612" s="21" t="s">
        <v>954</v>
      </c>
      <c r="D2612" s="21" t="s">
        <v>51</v>
      </c>
      <c r="E2612" s="21">
        <v>10.0</v>
      </c>
      <c r="F2612" s="21" t="s">
        <v>2289</v>
      </c>
      <c r="G2612" s="19"/>
      <c r="H2612" s="19"/>
      <c r="I2612" s="19"/>
    </row>
    <row r="2613" ht="56.25" customHeight="1">
      <c r="A2613" s="21" t="s">
        <v>5433</v>
      </c>
      <c r="B2613" s="19" t="str">
        <f>image("https://storage.googleapis.com/acdb/photos/BromideNpcNmlDuk10_Remake_3_0.png")</f>
        <v/>
      </c>
      <c r="C2613" s="21" t="s">
        <v>82</v>
      </c>
      <c r="D2613" s="21" t="s">
        <v>51</v>
      </c>
      <c r="E2613" s="21">
        <v>10.0</v>
      </c>
      <c r="F2613" s="21" t="s">
        <v>2289</v>
      </c>
      <c r="G2613" s="19"/>
      <c r="H2613" s="19"/>
      <c r="I2613" s="19"/>
    </row>
    <row r="2614" ht="56.25" customHeight="1">
      <c r="A2614" s="21" t="s">
        <v>5433</v>
      </c>
      <c r="B2614" s="19" t="str">
        <f>image("https://storage.googleapis.com/acdb/photos/BromideNpcNmlDuk10_Remake_4_0.png")</f>
        <v/>
      </c>
      <c r="C2614" s="21" t="s">
        <v>833</v>
      </c>
      <c r="D2614" s="21" t="s">
        <v>51</v>
      </c>
      <c r="E2614" s="21">
        <v>10.0</v>
      </c>
      <c r="F2614" s="21" t="s">
        <v>2289</v>
      </c>
      <c r="G2614" s="19"/>
      <c r="H2614" s="19"/>
      <c r="I2614" s="19"/>
    </row>
    <row r="2615" ht="56.25" customHeight="1">
      <c r="A2615" s="21" t="s">
        <v>5433</v>
      </c>
      <c r="B2615" s="19" t="str">
        <f>image("https://storage.googleapis.com/acdb/photos/BromideNpcNmlDuk10_Remake_5_0.png")</f>
        <v/>
      </c>
      <c r="C2615" s="21" t="s">
        <v>258</v>
      </c>
      <c r="D2615" s="21" t="s">
        <v>51</v>
      </c>
      <c r="E2615" s="21">
        <v>10.0</v>
      </c>
      <c r="F2615" s="21" t="s">
        <v>2289</v>
      </c>
      <c r="G2615" s="19"/>
      <c r="H2615" s="19"/>
      <c r="I2615" s="19"/>
    </row>
    <row r="2616" ht="56.25" customHeight="1">
      <c r="A2616" s="21" t="s">
        <v>5433</v>
      </c>
      <c r="B2616" s="19" t="str">
        <f>image("https://storage.googleapis.com/acdb/photos/BromideNpcNmlDuk10_Remake_6_0.png")</f>
        <v/>
      </c>
      <c r="C2616" s="21" t="s">
        <v>182</v>
      </c>
      <c r="D2616" s="21" t="s">
        <v>51</v>
      </c>
      <c r="E2616" s="21">
        <v>10.0</v>
      </c>
      <c r="F2616" s="21" t="s">
        <v>2289</v>
      </c>
      <c r="G2616" s="19"/>
      <c r="H2616" s="19"/>
      <c r="I2616" s="19"/>
    </row>
    <row r="2617" ht="56.25" customHeight="1">
      <c r="A2617" s="21" t="s">
        <v>5433</v>
      </c>
      <c r="B2617" s="19" t="str">
        <f>image("https://storage.googleapis.com/acdb/photos/BromideNpcNmlDuk10_Remake_7_0.png")</f>
        <v/>
      </c>
      <c r="C2617" s="21" t="s">
        <v>187</v>
      </c>
      <c r="D2617" s="21" t="s">
        <v>51</v>
      </c>
      <c r="E2617" s="21">
        <v>10.0</v>
      </c>
      <c r="F2617" s="21" t="s">
        <v>2289</v>
      </c>
      <c r="G2617" s="19"/>
      <c r="H2617" s="19"/>
      <c r="I2617" s="19"/>
    </row>
    <row r="2618" ht="56.25" customHeight="1">
      <c r="A2618" s="21" t="s">
        <v>5451</v>
      </c>
      <c r="B2618" s="19" t="str">
        <f>image("https://storage.googleapis.com/acdb/photos/BromideNpcNmlMnk07_Remake_0_0.png")</f>
        <v/>
      </c>
      <c r="C2618" s="21" t="s">
        <v>219</v>
      </c>
      <c r="D2618" s="21" t="s">
        <v>51</v>
      </c>
      <c r="E2618" s="21">
        <v>10.0</v>
      </c>
      <c r="F2618" s="21" t="s">
        <v>2289</v>
      </c>
      <c r="G2618" s="19"/>
      <c r="H2618" s="19"/>
      <c r="I2618" s="19"/>
    </row>
    <row r="2619" ht="56.25" customHeight="1">
      <c r="A2619" s="21" t="s">
        <v>5451</v>
      </c>
      <c r="B2619" s="19" t="str">
        <f>image("https://storage.googleapis.com/acdb/photos/BromideNpcNmlMnk07_Remake_1_0.png")</f>
        <v/>
      </c>
      <c r="C2619" s="21" t="s">
        <v>795</v>
      </c>
      <c r="D2619" s="21" t="s">
        <v>51</v>
      </c>
      <c r="E2619" s="21">
        <v>10.0</v>
      </c>
      <c r="F2619" s="21" t="s">
        <v>2289</v>
      </c>
      <c r="G2619" s="19"/>
      <c r="H2619" s="19"/>
      <c r="I2619" s="19"/>
    </row>
    <row r="2620" ht="56.25" customHeight="1">
      <c r="A2620" s="21" t="s">
        <v>5451</v>
      </c>
      <c r="B2620" s="19" t="str">
        <f>image("https://storage.googleapis.com/acdb/photos/BromideNpcNmlMnk07_Remake_2_0.png")</f>
        <v/>
      </c>
      <c r="C2620" s="21" t="s">
        <v>954</v>
      </c>
      <c r="D2620" s="21" t="s">
        <v>51</v>
      </c>
      <c r="E2620" s="21">
        <v>10.0</v>
      </c>
      <c r="F2620" s="21" t="s">
        <v>2289</v>
      </c>
      <c r="G2620" s="19"/>
      <c r="H2620" s="19"/>
      <c r="I2620" s="19"/>
    </row>
    <row r="2621" ht="56.25" customHeight="1">
      <c r="A2621" s="21" t="s">
        <v>5451</v>
      </c>
      <c r="B2621" s="19" t="str">
        <f>image("https://storage.googleapis.com/acdb/photos/BromideNpcNmlMnk07_Remake_3_0.png")</f>
        <v/>
      </c>
      <c r="C2621" s="21" t="s">
        <v>82</v>
      </c>
      <c r="D2621" s="21" t="s">
        <v>51</v>
      </c>
      <c r="E2621" s="21">
        <v>10.0</v>
      </c>
      <c r="F2621" s="21" t="s">
        <v>2289</v>
      </c>
      <c r="G2621" s="19"/>
      <c r="H2621" s="19"/>
      <c r="I2621" s="19"/>
    </row>
    <row r="2622" ht="56.25" customHeight="1">
      <c r="A2622" s="21" t="s">
        <v>5451</v>
      </c>
      <c r="B2622" s="19" t="str">
        <f>image("https://storage.googleapis.com/acdb/photos/BromideNpcNmlMnk07_Remake_4_0.png")</f>
        <v/>
      </c>
      <c r="C2622" s="21" t="s">
        <v>833</v>
      </c>
      <c r="D2622" s="21" t="s">
        <v>51</v>
      </c>
      <c r="E2622" s="21">
        <v>10.0</v>
      </c>
      <c r="F2622" s="21" t="s">
        <v>2289</v>
      </c>
      <c r="G2622" s="19"/>
      <c r="H2622" s="19"/>
      <c r="I2622" s="19"/>
    </row>
    <row r="2623" ht="56.25" customHeight="1">
      <c r="A2623" s="21" t="s">
        <v>5451</v>
      </c>
      <c r="B2623" s="19" t="str">
        <f>image("https://storage.googleapis.com/acdb/photos/BromideNpcNmlMnk07_Remake_5_0.png")</f>
        <v/>
      </c>
      <c r="C2623" s="21" t="s">
        <v>258</v>
      </c>
      <c r="D2623" s="21" t="s">
        <v>51</v>
      </c>
      <c r="E2623" s="21">
        <v>10.0</v>
      </c>
      <c r="F2623" s="21" t="s">
        <v>2289</v>
      </c>
      <c r="G2623" s="19"/>
      <c r="H2623" s="19"/>
      <c r="I2623" s="19"/>
    </row>
    <row r="2624" ht="56.25" customHeight="1">
      <c r="A2624" s="21" t="s">
        <v>5451</v>
      </c>
      <c r="B2624" s="19" t="str">
        <f>image("https://storage.googleapis.com/acdb/photos/BromideNpcNmlMnk07_Remake_6_0.png")</f>
        <v/>
      </c>
      <c r="C2624" s="21" t="s">
        <v>182</v>
      </c>
      <c r="D2624" s="21" t="s">
        <v>51</v>
      </c>
      <c r="E2624" s="21">
        <v>10.0</v>
      </c>
      <c r="F2624" s="21" t="s">
        <v>2289</v>
      </c>
      <c r="G2624" s="19"/>
      <c r="H2624" s="19"/>
      <c r="I2624" s="19"/>
    </row>
    <row r="2625" ht="56.25" customHeight="1">
      <c r="A2625" s="21" t="s">
        <v>5451</v>
      </c>
      <c r="B2625" s="19" t="str">
        <f>image("https://storage.googleapis.com/acdb/photos/BromideNpcNmlMnk07_Remake_7_0.png")</f>
        <v/>
      </c>
      <c r="C2625" s="21" t="s">
        <v>187</v>
      </c>
      <c r="D2625" s="21" t="s">
        <v>51</v>
      </c>
      <c r="E2625" s="21">
        <v>10.0</v>
      </c>
      <c r="F2625" s="21" t="s">
        <v>2289</v>
      </c>
      <c r="G2625" s="19"/>
      <c r="H2625" s="19"/>
      <c r="I2625" s="19"/>
    </row>
    <row r="2626" ht="56.25" customHeight="1">
      <c r="A2626" s="21" t="s">
        <v>5474</v>
      </c>
      <c r="B2626" s="19" t="str">
        <f>image("https://storage.googleapis.com/acdb/photos/BromideNpcNmlSqu16_Remake_0_0.png")</f>
        <v/>
      </c>
      <c r="C2626" s="21" t="s">
        <v>219</v>
      </c>
      <c r="D2626" s="21" t="s">
        <v>51</v>
      </c>
      <c r="E2626" s="21">
        <v>10.0</v>
      </c>
      <c r="F2626" s="21" t="s">
        <v>2289</v>
      </c>
      <c r="G2626" s="19"/>
      <c r="H2626" s="19"/>
      <c r="I2626" s="19"/>
    </row>
    <row r="2627" ht="56.25" customHeight="1">
      <c r="A2627" s="21" t="s">
        <v>5474</v>
      </c>
      <c r="B2627" s="19" t="str">
        <f>image("https://storage.googleapis.com/acdb/photos/BromideNpcNmlSqu16_Remake_1_0.png")</f>
        <v/>
      </c>
      <c r="C2627" s="21" t="s">
        <v>795</v>
      </c>
      <c r="D2627" s="21" t="s">
        <v>51</v>
      </c>
      <c r="E2627" s="21">
        <v>10.0</v>
      </c>
      <c r="F2627" s="21" t="s">
        <v>2289</v>
      </c>
      <c r="G2627" s="19"/>
      <c r="H2627" s="19"/>
      <c r="I2627" s="19"/>
    </row>
    <row r="2628" ht="56.25" customHeight="1">
      <c r="A2628" s="21" t="s">
        <v>5474</v>
      </c>
      <c r="B2628" s="19" t="str">
        <f>image("https://storage.googleapis.com/acdb/photos/BromideNpcNmlSqu16_Remake_2_0.png")</f>
        <v/>
      </c>
      <c r="C2628" s="21" t="s">
        <v>954</v>
      </c>
      <c r="D2628" s="21" t="s">
        <v>51</v>
      </c>
      <c r="E2628" s="21">
        <v>10.0</v>
      </c>
      <c r="F2628" s="21" t="s">
        <v>2289</v>
      </c>
      <c r="G2628" s="19"/>
      <c r="H2628" s="19"/>
      <c r="I2628" s="19"/>
    </row>
    <row r="2629" ht="56.25" customHeight="1">
      <c r="A2629" s="21" t="s">
        <v>5474</v>
      </c>
      <c r="B2629" s="19" t="str">
        <f>image("https://storage.googleapis.com/acdb/photos/BromideNpcNmlSqu16_Remake_3_0.png")</f>
        <v/>
      </c>
      <c r="C2629" s="21" t="s">
        <v>82</v>
      </c>
      <c r="D2629" s="21" t="s">
        <v>51</v>
      </c>
      <c r="E2629" s="21">
        <v>10.0</v>
      </c>
      <c r="F2629" s="21" t="s">
        <v>2289</v>
      </c>
      <c r="G2629" s="19"/>
      <c r="H2629" s="19"/>
      <c r="I2629" s="19"/>
    </row>
    <row r="2630" ht="56.25" customHeight="1">
      <c r="A2630" s="21" t="s">
        <v>5474</v>
      </c>
      <c r="B2630" s="19" t="str">
        <f>image("https://storage.googleapis.com/acdb/photos/BromideNpcNmlSqu16_Remake_4_0.png")</f>
        <v/>
      </c>
      <c r="C2630" s="21" t="s">
        <v>833</v>
      </c>
      <c r="D2630" s="21" t="s">
        <v>51</v>
      </c>
      <c r="E2630" s="21">
        <v>10.0</v>
      </c>
      <c r="F2630" s="21" t="s">
        <v>2289</v>
      </c>
      <c r="G2630" s="19"/>
      <c r="H2630" s="19"/>
      <c r="I2630" s="19"/>
    </row>
    <row r="2631" ht="56.25" customHeight="1">
      <c r="A2631" s="21" t="s">
        <v>5474</v>
      </c>
      <c r="B2631" s="19" t="str">
        <f>image("https://storage.googleapis.com/acdb/photos/BromideNpcNmlSqu16_Remake_5_0.png")</f>
        <v/>
      </c>
      <c r="C2631" s="21" t="s">
        <v>258</v>
      </c>
      <c r="D2631" s="21" t="s">
        <v>51</v>
      </c>
      <c r="E2631" s="21">
        <v>10.0</v>
      </c>
      <c r="F2631" s="21" t="s">
        <v>2289</v>
      </c>
      <c r="G2631" s="19"/>
      <c r="H2631" s="19"/>
      <c r="I2631" s="19"/>
    </row>
    <row r="2632" ht="56.25" customHeight="1">
      <c r="A2632" s="21" t="s">
        <v>5474</v>
      </c>
      <c r="B2632" s="19" t="str">
        <f>image("https://storage.googleapis.com/acdb/photos/BromideNpcNmlSqu16_Remake_6_0.png")</f>
        <v/>
      </c>
      <c r="C2632" s="21" t="s">
        <v>182</v>
      </c>
      <c r="D2632" s="21" t="s">
        <v>51</v>
      </c>
      <c r="E2632" s="21">
        <v>10.0</v>
      </c>
      <c r="F2632" s="21" t="s">
        <v>2289</v>
      </c>
      <c r="G2632" s="19"/>
      <c r="H2632" s="19"/>
      <c r="I2632" s="19"/>
    </row>
    <row r="2633" ht="56.25" customHeight="1">
      <c r="A2633" s="21" t="s">
        <v>5474</v>
      </c>
      <c r="B2633" s="19" t="str">
        <f>image("https://storage.googleapis.com/acdb/photos/BromideNpcNmlSqu16_Remake_7_0.png")</f>
        <v/>
      </c>
      <c r="C2633" s="21" t="s">
        <v>187</v>
      </c>
      <c r="D2633" s="21" t="s">
        <v>51</v>
      </c>
      <c r="E2633" s="21">
        <v>10.0</v>
      </c>
      <c r="F2633" s="21" t="s">
        <v>2289</v>
      </c>
      <c r="G2633" s="19"/>
      <c r="H2633" s="19"/>
      <c r="I2633" s="19"/>
    </row>
    <row r="2634" ht="56.25" customHeight="1">
      <c r="A2634" s="21" t="s">
        <v>5494</v>
      </c>
      <c r="B2634" s="19" t="str">
        <f>image("https://storage.googleapis.com/acdb/photos/BromideNpcNmlDog18_Remake_0_0.png")</f>
        <v/>
      </c>
      <c r="C2634" s="21" t="s">
        <v>219</v>
      </c>
      <c r="D2634" s="21" t="s">
        <v>51</v>
      </c>
      <c r="E2634" s="21">
        <v>10.0</v>
      </c>
      <c r="F2634" s="21" t="s">
        <v>2289</v>
      </c>
      <c r="G2634" s="19"/>
      <c r="H2634" s="19"/>
      <c r="I2634" s="19"/>
    </row>
    <row r="2635" ht="56.25" customHeight="1">
      <c r="A2635" s="21" t="s">
        <v>5494</v>
      </c>
      <c r="B2635" s="19" t="str">
        <f>image("https://storage.googleapis.com/acdb/photos/BromideNpcNmlDog18_Remake_1_0.png")</f>
        <v/>
      </c>
      <c r="C2635" s="21" t="s">
        <v>795</v>
      </c>
      <c r="D2635" s="21" t="s">
        <v>51</v>
      </c>
      <c r="E2635" s="21">
        <v>10.0</v>
      </c>
      <c r="F2635" s="21" t="s">
        <v>2289</v>
      </c>
      <c r="G2635" s="19"/>
      <c r="H2635" s="19"/>
      <c r="I2635" s="19"/>
    </row>
    <row r="2636" ht="56.25" customHeight="1">
      <c r="A2636" s="21" t="s">
        <v>5494</v>
      </c>
      <c r="B2636" s="19" t="str">
        <f>image("https://storage.googleapis.com/acdb/photos/BromideNpcNmlDog18_Remake_2_0.png")</f>
        <v/>
      </c>
      <c r="C2636" s="21" t="s">
        <v>954</v>
      </c>
      <c r="D2636" s="21" t="s">
        <v>51</v>
      </c>
      <c r="E2636" s="21">
        <v>10.0</v>
      </c>
      <c r="F2636" s="21" t="s">
        <v>2289</v>
      </c>
      <c r="G2636" s="19"/>
      <c r="H2636" s="19"/>
      <c r="I2636" s="19"/>
    </row>
    <row r="2637" ht="56.25" customHeight="1">
      <c r="A2637" s="21" t="s">
        <v>5494</v>
      </c>
      <c r="B2637" s="19" t="str">
        <f>image("https://storage.googleapis.com/acdb/photos/BromideNpcNmlDog18_Remake_3_0.png")</f>
        <v/>
      </c>
      <c r="C2637" s="21" t="s">
        <v>82</v>
      </c>
      <c r="D2637" s="21" t="s">
        <v>51</v>
      </c>
      <c r="E2637" s="21">
        <v>10.0</v>
      </c>
      <c r="F2637" s="21" t="s">
        <v>2289</v>
      </c>
      <c r="G2637" s="19"/>
      <c r="H2637" s="19"/>
      <c r="I2637" s="19"/>
    </row>
    <row r="2638" ht="56.25" customHeight="1">
      <c r="A2638" s="21" t="s">
        <v>5494</v>
      </c>
      <c r="B2638" s="19" t="str">
        <f>image("https://storage.googleapis.com/acdb/photos/BromideNpcNmlDog18_Remake_4_0.png")</f>
        <v/>
      </c>
      <c r="C2638" s="21" t="s">
        <v>833</v>
      </c>
      <c r="D2638" s="21" t="s">
        <v>51</v>
      </c>
      <c r="E2638" s="21">
        <v>10.0</v>
      </c>
      <c r="F2638" s="21" t="s">
        <v>2289</v>
      </c>
      <c r="G2638" s="19"/>
      <c r="H2638" s="19"/>
      <c r="I2638" s="19"/>
    </row>
    <row r="2639" ht="56.25" customHeight="1">
      <c r="A2639" s="21" t="s">
        <v>5494</v>
      </c>
      <c r="B2639" s="19" t="str">
        <f>image("https://storage.googleapis.com/acdb/photos/BromideNpcNmlDog18_Remake_5_0.png")</f>
        <v/>
      </c>
      <c r="C2639" s="21" t="s">
        <v>258</v>
      </c>
      <c r="D2639" s="21" t="s">
        <v>51</v>
      </c>
      <c r="E2639" s="21">
        <v>10.0</v>
      </c>
      <c r="F2639" s="21" t="s">
        <v>2289</v>
      </c>
      <c r="G2639" s="19"/>
      <c r="H2639" s="19"/>
      <c r="I2639" s="19"/>
    </row>
    <row r="2640" ht="56.25" customHeight="1">
      <c r="A2640" s="21" t="s">
        <v>5494</v>
      </c>
      <c r="B2640" s="19" t="str">
        <f>image("https://storage.googleapis.com/acdb/photos/BromideNpcNmlDog18_Remake_6_0.png")</f>
        <v/>
      </c>
      <c r="C2640" s="21" t="s">
        <v>182</v>
      </c>
      <c r="D2640" s="21" t="s">
        <v>51</v>
      </c>
      <c r="E2640" s="21">
        <v>10.0</v>
      </c>
      <c r="F2640" s="21" t="s">
        <v>2289</v>
      </c>
      <c r="G2640" s="19"/>
      <c r="H2640" s="19"/>
      <c r="I2640" s="19"/>
    </row>
    <row r="2641" ht="56.25" customHeight="1">
      <c r="A2641" s="21" t="s">
        <v>5494</v>
      </c>
      <c r="B2641" s="19" t="str">
        <f>image("https://storage.googleapis.com/acdb/photos/BromideNpcNmlDog18_Remake_7_0.png")</f>
        <v/>
      </c>
      <c r="C2641" s="21" t="s">
        <v>187</v>
      </c>
      <c r="D2641" s="21" t="s">
        <v>51</v>
      </c>
      <c r="E2641" s="21">
        <v>10.0</v>
      </c>
      <c r="F2641" s="21" t="s">
        <v>2289</v>
      </c>
      <c r="G2641" s="19"/>
      <c r="H2641" s="19"/>
      <c r="I2641" s="19"/>
    </row>
    <row r="2642" ht="56.25" customHeight="1">
      <c r="A2642" s="21" t="s">
        <v>5517</v>
      </c>
      <c r="B2642" s="19" t="str">
        <f>image("https://storage.googleapis.com/acdb/photos/BromideNpcNmlGoa09_Remake_0_0.png")</f>
        <v/>
      </c>
      <c r="C2642" s="21" t="s">
        <v>219</v>
      </c>
      <c r="D2642" s="21" t="s">
        <v>51</v>
      </c>
      <c r="E2642" s="21">
        <v>10.0</v>
      </c>
      <c r="F2642" s="21" t="s">
        <v>2289</v>
      </c>
      <c r="G2642" s="19"/>
      <c r="H2642" s="19"/>
      <c r="I2642" s="19"/>
    </row>
    <row r="2643" ht="56.25" customHeight="1">
      <c r="A2643" s="21" t="s">
        <v>5517</v>
      </c>
      <c r="B2643" s="19" t="str">
        <f>image("https://storage.googleapis.com/acdb/photos/BromideNpcNmlGoa09_Remake_1_0.png")</f>
        <v/>
      </c>
      <c r="C2643" s="21" t="s">
        <v>795</v>
      </c>
      <c r="D2643" s="21" t="s">
        <v>51</v>
      </c>
      <c r="E2643" s="21">
        <v>10.0</v>
      </c>
      <c r="F2643" s="21" t="s">
        <v>2289</v>
      </c>
      <c r="G2643" s="19"/>
      <c r="H2643" s="19"/>
      <c r="I2643" s="19"/>
    </row>
    <row r="2644" ht="56.25" customHeight="1">
      <c r="A2644" s="21" t="s">
        <v>5517</v>
      </c>
      <c r="B2644" s="19" t="str">
        <f>image("https://storage.googleapis.com/acdb/photos/BromideNpcNmlGoa09_Remake_2_0.png")</f>
        <v/>
      </c>
      <c r="C2644" s="21" t="s">
        <v>954</v>
      </c>
      <c r="D2644" s="21" t="s">
        <v>51</v>
      </c>
      <c r="E2644" s="21">
        <v>10.0</v>
      </c>
      <c r="F2644" s="21" t="s">
        <v>2289</v>
      </c>
      <c r="G2644" s="19"/>
      <c r="H2644" s="19"/>
      <c r="I2644" s="19"/>
    </row>
    <row r="2645" ht="56.25" customHeight="1">
      <c r="A2645" s="21" t="s">
        <v>5517</v>
      </c>
      <c r="B2645" s="19" t="str">
        <f>image("https://storage.googleapis.com/acdb/photos/BromideNpcNmlGoa09_Remake_3_0.png")</f>
        <v/>
      </c>
      <c r="C2645" s="21" t="s">
        <v>82</v>
      </c>
      <c r="D2645" s="21" t="s">
        <v>51</v>
      </c>
      <c r="E2645" s="21">
        <v>10.0</v>
      </c>
      <c r="F2645" s="21" t="s">
        <v>2289</v>
      </c>
      <c r="G2645" s="19"/>
      <c r="H2645" s="19"/>
      <c r="I2645" s="19"/>
    </row>
    <row r="2646" ht="56.25" customHeight="1">
      <c r="A2646" s="21" t="s">
        <v>5517</v>
      </c>
      <c r="B2646" s="19" t="str">
        <f>image("https://storage.googleapis.com/acdb/photos/BromideNpcNmlGoa09_Remake_4_0.png")</f>
        <v/>
      </c>
      <c r="C2646" s="21" t="s">
        <v>833</v>
      </c>
      <c r="D2646" s="21" t="s">
        <v>51</v>
      </c>
      <c r="E2646" s="21">
        <v>10.0</v>
      </c>
      <c r="F2646" s="21" t="s">
        <v>2289</v>
      </c>
      <c r="G2646" s="19"/>
      <c r="H2646" s="19"/>
      <c r="I2646" s="19"/>
    </row>
    <row r="2647" ht="56.25" customHeight="1">
      <c r="A2647" s="21" t="s">
        <v>5517</v>
      </c>
      <c r="B2647" s="19" t="str">
        <f>image("https://storage.googleapis.com/acdb/photos/BromideNpcNmlGoa09_Remake_5_0.png")</f>
        <v/>
      </c>
      <c r="C2647" s="21" t="s">
        <v>258</v>
      </c>
      <c r="D2647" s="21" t="s">
        <v>51</v>
      </c>
      <c r="E2647" s="21">
        <v>10.0</v>
      </c>
      <c r="F2647" s="21" t="s">
        <v>2289</v>
      </c>
      <c r="G2647" s="19"/>
      <c r="H2647" s="19"/>
      <c r="I2647" s="19"/>
    </row>
    <row r="2648" ht="56.25" customHeight="1">
      <c r="A2648" s="21" t="s">
        <v>5517</v>
      </c>
      <c r="B2648" s="19" t="str">
        <f>image("https://storage.googleapis.com/acdb/photos/BromideNpcNmlGoa09_Remake_6_0.png")</f>
        <v/>
      </c>
      <c r="C2648" s="21" t="s">
        <v>182</v>
      </c>
      <c r="D2648" s="21" t="s">
        <v>51</v>
      </c>
      <c r="E2648" s="21">
        <v>10.0</v>
      </c>
      <c r="F2648" s="21" t="s">
        <v>2289</v>
      </c>
      <c r="G2648" s="19"/>
      <c r="H2648" s="19"/>
      <c r="I2648" s="19"/>
    </row>
    <row r="2649" ht="56.25" customHeight="1">
      <c r="A2649" s="21" t="s">
        <v>5517</v>
      </c>
      <c r="B2649" s="19" t="str">
        <f>image("https://storage.googleapis.com/acdb/photos/BromideNpcNmlGoa09_Remake_7_0.png")</f>
        <v/>
      </c>
      <c r="C2649" s="21" t="s">
        <v>187</v>
      </c>
      <c r="D2649" s="21" t="s">
        <v>51</v>
      </c>
      <c r="E2649" s="21">
        <v>10.0</v>
      </c>
      <c r="F2649" s="21" t="s">
        <v>2289</v>
      </c>
      <c r="G2649" s="19"/>
      <c r="H2649" s="19"/>
      <c r="I2649" s="19"/>
    </row>
    <row r="2650" ht="56.25" customHeight="1">
      <c r="A2650" s="21" t="s">
        <v>5527</v>
      </c>
      <c r="B2650" s="19" t="str">
        <f>image("https://storage.googleapis.com/acdb/photos/BromideNpcNmlMnk02_Remake_0_0.png")</f>
        <v/>
      </c>
      <c r="C2650" s="21" t="s">
        <v>219</v>
      </c>
      <c r="D2650" s="21" t="s">
        <v>51</v>
      </c>
      <c r="E2650" s="21">
        <v>10.0</v>
      </c>
      <c r="F2650" s="21" t="s">
        <v>2289</v>
      </c>
      <c r="G2650" s="19"/>
      <c r="H2650" s="19"/>
      <c r="I2650" s="19"/>
    </row>
    <row r="2651" ht="56.25" customHeight="1">
      <c r="A2651" s="21" t="s">
        <v>5527</v>
      </c>
      <c r="B2651" s="19" t="str">
        <f>image("https://storage.googleapis.com/acdb/photos/BromideNpcNmlMnk02_Remake_1_0.png")</f>
        <v/>
      </c>
      <c r="C2651" s="21" t="s">
        <v>795</v>
      </c>
      <c r="D2651" s="21" t="s">
        <v>51</v>
      </c>
      <c r="E2651" s="21">
        <v>10.0</v>
      </c>
      <c r="F2651" s="21" t="s">
        <v>2289</v>
      </c>
      <c r="G2651" s="19"/>
      <c r="H2651" s="19"/>
      <c r="I2651" s="19"/>
    </row>
    <row r="2652" ht="56.25" customHeight="1">
      <c r="A2652" s="21" t="s">
        <v>5527</v>
      </c>
      <c r="B2652" s="19" t="str">
        <f>image("https://storage.googleapis.com/acdb/photos/BromideNpcNmlMnk02_Remake_2_0.png")</f>
        <v/>
      </c>
      <c r="C2652" s="21" t="s">
        <v>954</v>
      </c>
      <c r="D2652" s="21" t="s">
        <v>51</v>
      </c>
      <c r="E2652" s="21">
        <v>10.0</v>
      </c>
      <c r="F2652" s="21" t="s">
        <v>2289</v>
      </c>
      <c r="G2652" s="19"/>
      <c r="H2652" s="19"/>
      <c r="I2652" s="19"/>
    </row>
    <row r="2653" ht="56.25" customHeight="1">
      <c r="A2653" s="21" t="s">
        <v>5527</v>
      </c>
      <c r="B2653" s="19" t="str">
        <f>image("https://storage.googleapis.com/acdb/photos/BromideNpcNmlMnk02_Remake_3_0.png")</f>
        <v/>
      </c>
      <c r="C2653" s="21" t="s">
        <v>82</v>
      </c>
      <c r="D2653" s="21" t="s">
        <v>51</v>
      </c>
      <c r="E2653" s="21">
        <v>10.0</v>
      </c>
      <c r="F2653" s="21" t="s">
        <v>2289</v>
      </c>
      <c r="G2653" s="19"/>
      <c r="H2653" s="19"/>
      <c r="I2653" s="19"/>
    </row>
    <row r="2654" ht="56.25" customHeight="1">
      <c r="A2654" s="21" t="s">
        <v>5527</v>
      </c>
      <c r="B2654" s="19" t="str">
        <f>image("https://storage.googleapis.com/acdb/photos/BromideNpcNmlMnk02_Remake_4_0.png")</f>
        <v/>
      </c>
      <c r="C2654" s="21" t="s">
        <v>833</v>
      </c>
      <c r="D2654" s="21" t="s">
        <v>51</v>
      </c>
      <c r="E2654" s="21">
        <v>10.0</v>
      </c>
      <c r="F2654" s="21" t="s">
        <v>2289</v>
      </c>
      <c r="G2654" s="19"/>
      <c r="H2654" s="19"/>
      <c r="I2654" s="19"/>
    </row>
    <row r="2655" ht="56.25" customHeight="1">
      <c r="A2655" s="21" t="s">
        <v>5527</v>
      </c>
      <c r="B2655" s="19" t="str">
        <f>image("https://storage.googleapis.com/acdb/photos/BromideNpcNmlMnk02_Remake_5_0.png")</f>
        <v/>
      </c>
      <c r="C2655" s="21" t="s">
        <v>258</v>
      </c>
      <c r="D2655" s="21" t="s">
        <v>51</v>
      </c>
      <c r="E2655" s="21">
        <v>10.0</v>
      </c>
      <c r="F2655" s="21" t="s">
        <v>2289</v>
      </c>
      <c r="G2655" s="19"/>
      <c r="H2655" s="19"/>
      <c r="I2655" s="19"/>
    </row>
    <row r="2656" ht="56.25" customHeight="1">
      <c r="A2656" s="21" t="s">
        <v>5527</v>
      </c>
      <c r="B2656" s="19" t="str">
        <f>image("https://storage.googleapis.com/acdb/photos/BromideNpcNmlMnk02_Remake_6_0.png")</f>
        <v/>
      </c>
      <c r="C2656" s="21" t="s">
        <v>182</v>
      </c>
      <c r="D2656" s="21" t="s">
        <v>51</v>
      </c>
      <c r="E2656" s="21">
        <v>10.0</v>
      </c>
      <c r="F2656" s="21" t="s">
        <v>2289</v>
      </c>
      <c r="G2656" s="19"/>
      <c r="H2656" s="19"/>
      <c r="I2656" s="19"/>
    </row>
    <row r="2657" ht="56.25" customHeight="1">
      <c r="A2657" s="21" t="s">
        <v>5527</v>
      </c>
      <c r="B2657" s="19" t="str">
        <f>image("https://storage.googleapis.com/acdb/photos/BromideNpcNmlMnk02_Remake_7_0.png")</f>
        <v/>
      </c>
      <c r="C2657" s="21" t="s">
        <v>187</v>
      </c>
      <c r="D2657" s="21" t="s">
        <v>51</v>
      </c>
      <c r="E2657" s="21">
        <v>10.0</v>
      </c>
      <c r="F2657" s="21" t="s">
        <v>2289</v>
      </c>
      <c r="G2657" s="19"/>
      <c r="H2657" s="19"/>
      <c r="I2657" s="19"/>
    </row>
    <row r="2658" ht="56.25" customHeight="1">
      <c r="A2658" s="21" t="s">
        <v>5541</v>
      </c>
      <c r="B2658" s="19" t="str">
        <f>image("https://storage.googleapis.com/acdb/photos/BromideNpcNmlWol09_Remake_0_0.png")</f>
        <v/>
      </c>
      <c r="C2658" s="21" t="s">
        <v>219</v>
      </c>
      <c r="D2658" s="21" t="s">
        <v>51</v>
      </c>
      <c r="E2658" s="21">
        <v>10.0</v>
      </c>
      <c r="F2658" s="21" t="s">
        <v>2289</v>
      </c>
      <c r="G2658" s="19"/>
      <c r="H2658" s="19"/>
      <c r="I2658" s="19"/>
    </row>
    <row r="2659" ht="56.25" customHeight="1">
      <c r="A2659" s="21" t="s">
        <v>5541</v>
      </c>
      <c r="B2659" s="19" t="str">
        <f>image("https://storage.googleapis.com/acdb/photos/BromideNpcNmlWol09_Remake_1_0.png")</f>
        <v/>
      </c>
      <c r="C2659" s="21" t="s">
        <v>795</v>
      </c>
      <c r="D2659" s="21" t="s">
        <v>51</v>
      </c>
      <c r="E2659" s="21">
        <v>10.0</v>
      </c>
      <c r="F2659" s="21" t="s">
        <v>2289</v>
      </c>
      <c r="G2659" s="19"/>
      <c r="H2659" s="19"/>
      <c r="I2659" s="19"/>
    </row>
    <row r="2660" ht="56.25" customHeight="1">
      <c r="A2660" s="21" t="s">
        <v>5541</v>
      </c>
      <c r="B2660" s="19" t="str">
        <f>image("https://storage.googleapis.com/acdb/photos/BromideNpcNmlWol09_Remake_2_0.png")</f>
        <v/>
      </c>
      <c r="C2660" s="21" t="s">
        <v>954</v>
      </c>
      <c r="D2660" s="21" t="s">
        <v>51</v>
      </c>
      <c r="E2660" s="21">
        <v>10.0</v>
      </c>
      <c r="F2660" s="21" t="s">
        <v>2289</v>
      </c>
      <c r="G2660" s="19"/>
      <c r="H2660" s="19"/>
      <c r="I2660" s="19"/>
    </row>
    <row r="2661" ht="56.25" customHeight="1">
      <c r="A2661" s="21" t="s">
        <v>5541</v>
      </c>
      <c r="B2661" s="19" t="str">
        <f>image("https://storage.googleapis.com/acdb/photos/BromideNpcNmlWol09_Remake_3_0.png")</f>
        <v/>
      </c>
      <c r="C2661" s="21" t="s">
        <v>82</v>
      </c>
      <c r="D2661" s="21" t="s">
        <v>51</v>
      </c>
      <c r="E2661" s="21">
        <v>10.0</v>
      </c>
      <c r="F2661" s="21" t="s">
        <v>2289</v>
      </c>
      <c r="G2661" s="19"/>
      <c r="H2661" s="19"/>
      <c r="I2661" s="19"/>
    </row>
    <row r="2662" ht="56.25" customHeight="1">
      <c r="A2662" s="21" t="s">
        <v>5541</v>
      </c>
      <c r="B2662" s="19" t="str">
        <f>image("https://storage.googleapis.com/acdb/photos/BromideNpcNmlWol09_Remake_4_0.png")</f>
        <v/>
      </c>
      <c r="C2662" s="21" t="s">
        <v>833</v>
      </c>
      <c r="D2662" s="21" t="s">
        <v>51</v>
      </c>
      <c r="E2662" s="21">
        <v>10.0</v>
      </c>
      <c r="F2662" s="21" t="s">
        <v>2289</v>
      </c>
      <c r="G2662" s="19"/>
      <c r="H2662" s="19"/>
      <c r="I2662" s="19"/>
    </row>
    <row r="2663" ht="56.25" customHeight="1">
      <c r="A2663" s="21" t="s">
        <v>5541</v>
      </c>
      <c r="B2663" s="19" t="str">
        <f>image("https://storage.googleapis.com/acdb/photos/BromideNpcNmlWol09_Remake_5_0.png")</f>
        <v/>
      </c>
      <c r="C2663" s="21" t="s">
        <v>258</v>
      </c>
      <c r="D2663" s="21" t="s">
        <v>51</v>
      </c>
      <c r="E2663" s="21">
        <v>10.0</v>
      </c>
      <c r="F2663" s="21" t="s">
        <v>2289</v>
      </c>
      <c r="G2663" s="19"/>
      <c r="H2663" s="19"/>
      <c r="I2663" s="19"/>
    </row>
    <row r="2664" ht="56.25" customHeight="1">
      <c r="A2664" s="21" t="s">
        <v>5541</v>
      </c>
      <c r="B2664" s="19" t="str">
        <f>image("https://storage.googleapis.com/acdb/photos/BromideNpcNmlWol09_Remake_6_0.png")</f>
        <v/>
      </c>
      <c r="C2664" s="21" t="s">
        <v>182</v>
      </c>
      <c r="D2664" s="21" t="s">
        <v>51</v>
      </c>
      <c r="E2664" s="21">
        <v>10.0</v>
      </c>
      <c r="F2664" s="21" t="s">
        <v>2289</v>
      </c>
      <c r="G2664" s="19"/>
      <c r="H2664" s="19"/>
      <c r="I2664" s="19"/>
    </row>
    <row r="2665" ht="56.25" customHeight="1">
      <c r="A2665" s="21" t="s">
        <v>5541</v>
      </c>
      <c r="B2665" s="19" t="str">
        <f>image("https://storage.googleapis.com/acdb/photos/BromideNpcNmlWol09_Remake_7_0.png")</f>
        <v/>
      </c>
      <c r="C2665" s="21" t="s">
        <v>187</v>
      </c>
      <c r="D2665" s="21" t="s">
        <v>51</v>
      </c>
      <c r="E2665" s="21">
        <v>10.0</v>
      </c>
      <c r="F2665" s="21" t="s">
        <v>2289</v>
      </c>
      <c r="G2665" s="19"/>
      <c r="H2665" s="19"/>
      <c r="I2665" s="19"/>
    </row>
    <row r="2666" ht="56.25" customHeight="1">
      <c r="A2666" s="21" t="s">
        <v>5563</v>
      </c>
      <c r="B2666" s="19" t="str">
        <f>image("https://storage.googleapis.com/acdb/photos/BromideNpcNmlCrd06_Remake_0_0.png")</f>
        <v/>
      </c>
      <c r="C2666" s="21" t="s">
        <v>219</v>
      </c>
      <c r="D2666" s="21" t="s">
        <v>51</v>
      </c>
      <c r="E2666" s="21">
        <v>10.0</v>
      </c>
      <c r="F2666" s="21" t="s">
        <v>2289</v>
      </c>
      <c r="G2666" s="19"/>
      <c r="H2666" s="19"/>
      <c r="I2666" s="19"/>
    </row>
    <row r="2667" ht="56.25" customHeight="1">
      <c r="A2667" s="21" t="s">
        <v>5563</v>
      </c>
      <c r="B2667" s="19" t="str">
        <f>image("https://storage.googleapis.com/acdb/photos/BromideNpcNmlCrd06_Remake_1_0.png")</f>
        <v/>
      </c>
      <c r="C2667" s="21" t="s">
        <v>795</v>
      </c>
      <c r="D2667" s="21" t="s">
        <v>51</v>
      </c>
      <c r="E2667" s="21">
        <v>10.0</v>
      </c>
      <c r="F2667" s="21" t="s">
        <v>2289</v>
      </c>
      <c r="G2667" s="19"/>
      <c r="H2667" s="19"/>
      <c r="I2667" s="19"/>
    </row>
    <row r="2668" ht="56.25" customHeight="1">
      <c r="A2668" s="21" t="s">
        <v>5563</v>
      </c>
      <c r="B2668" s="19" t="str">
        <f>image("https://storage.googleapis.com/acdb/photos/BromideNpcNmlCrd06_Remake_2_0.png")</f>
        <v/>
      </c>
      <c r="C2668" s="21" t="s">
        <v>954</v>
      </c>
      <c r="D2668" s="21" t="s">
        <v>51</v>
      </c>
      <c r="E2668" s="21">
        <v>10.0</v>
      </c>
      <c r="F2668" s="21" t="s">
        <v>2289</v>
      </c>
      <c r="G2668" s="19"/>
      <c r="H2668" s="19"/>
      <c r="I2668" s="19"/>
    </row>
    <row r="2669" ht="56.25" customHeight="1">
      <c r="A2669" s="21" t="s">
        <v>5563</v>
      </c>
      <c r="B2669" s="19" t="str">
        <f>image("https://storage.googleapis.com/acdb/photos/BromideNpcNmlCrd06_Remake_3_0.png")</f>
        <v/>
      </c>
      <c r="C2669" s="21" t="s">
        <v>82</v>
      </c>
      <c r="D2669" s="21" t="s">
        <v>51</v>
      </c>
      <c r="E2669" s="21">
        <v>10.0</v>
      </c>
      <c r="F2669" s="21" t="s">
        <v>2289</v>
      </c>
      <c r="G2669" s="19"/>
      <c r="H2669" s="19"/>
      <c r="I2669" s="19"/>
    </row>
    <row r="2670" ht="56.25" customHeight="1">
      <c r="A2670" s="21" t="s">
        <v>5563</v>
      </c>
      <c r="B2670" s="19" t="str">
        <f>image("https://storage.googleapis.com/acdb/photos/BromideNpcNmlCrd06_Remake_4_0.png")</f>
        <v/>
      </c>
      <c r="C2670" s="21" t="s">
        <v>833</v>
      </c>
      <c r="D2670" s="21" t="s">
        <v>51</v>
      </c>
      <c r="E2670" s="21">
        <v>10.0</v>
      </c>
      <c r="F2670" s="21" t="s">
        <v>2289</v>
      </c>
      <c r="G2670" s="19"/>
      <c r="H2670" s="19"/>
      <c r="I2670" s="19"/>
    </row>
    <row r="2671" ht="56.25" customHeight="1">
      <c r="A2671" s="21" t="s">
        <v>5563</v>
      </c>
      <c r="B2671" s="19" t="str">
        <f>image("https://storage.googleapis.com/acdb/photos/BromideNpcNmlCrd06_Remake_5_0.png")</f>
        <v/>
      </c>
      <c r="C2671" s="21" t="s">
        <v>258</v>
      </c>
      <c r="D2671" s="21" t="s">
        <v>51</v>
      </c>
      <c r="E2671" s="21">
        <v>10.0</v>
      </c>
      <c r="F2671" s="21" t="s">
        <v>2289</v>
      </c>
      <c r="G2671" s="19"/>
      <c r="H2671" s="19"/>
      <c r="I2671" s="19"/>
    </row>
    <row r="2672" ht="56.25" customHeight="1">
      <c r="A2672" s="21" t="s">
        <v>5563</v>
      </c>
      <c r="B2672" s="19" t="str">
        <f>image("https://storage.googleapis.com/acdb/photos/BromideNpcNmlCrd06_Remake_6_0.png")</f>
        <v/>
      </c>
      <c r="C2672" s="21" t="s">
        <v>182</v>
      </c>
      <c r="D2672" s="21" t="s">
        <v>51</v>
      </c>
      <c r="E2672" s="21">
        <v>10.0</v>
      </c>
      <c r="F2672" s="21" t="s">
        <v>2289</v>
      </c>
      <c r="G2672" s="19"/>
      <c r="H2672" s="19"/>
      <c r="I2672" s="19"/>
    </row>
    <row r="2673" ht="56.25" customHeight="1">
      <c r="A2673" s="21" t="s">
        <v>5563</v>
      </c>
      <c r="B2673" s="19" t="str">
        <f>image("https://storage.googleapis.com/acdb/photos/BromideNpcNmlCrd06_Remake_7_0.png")</f>
        <v/>
      </c>
      <c r="C2673" s="21" t="s">
        <v>187</v>
      </c>
      <c r="D2673" s="21" t="s">
        <v>51</v>
      </c>
      <c r="E2673" s="21">
        <v>10.0</v>
      </c>
      <c r="F2673" s="21" t="s">
        <v>2289</v>
      </c>
      <c r="G2673" s="19"/>
      <c r="H2673" s="19"/>
      <c r="I2673" s="19"/>
    </row>
    <row r="2674" ht="56.25" customHeight="1">
      <c r="A2674" s="21" t="s">
        <v>5587</v>
      </c>
      <c r="B2674" s="19" t="str">
        <f>image("https://storage.googleapis.com/acdb/photos/BromideNpcNmlRbt03_Remake_0_0.png")</f>
        <v/>
      </c>
      <c r="C2674" s="21" t="s">
        <v>219</v>
      </c>
      <c r="D2674" s="21" t="s">
        <v>51</v>
      </c>
      <c r="E2674" s="21">
        <v>10.0</v>
      </c>
      <c r="F2674" s="21" t="s">
        <v>2289</v>
      </c>
      <c r="G2674" s="19"/>
      <c r="H2674" s="19"/>
      <c r="I2674" s="19"/>
    </row>
    <row r="2675" ht="56.25" customHeight="1">
      <c r="A2675" s="21" t="s">
        <v>5587</v>
      </c>
      <c r="B2675" s="19" t="str">
        <f>image("https://storage.googleapis.com/acdb/photos/BromideNpcNmlRbt03_Remake_1_0.png")</f>
        <v/>
      </c>
      <c r="C2675" s="21" t="s">
        <v>795</v>
      </c>
      <c r="D2675" s="21" t="s">
        <v>51</v>
      </c>
      <c r="E2675" s="21">
        <v>10.0</v>
      </c>
      <c r="F2675" s="21" t="s">
        <v>2289</v>
      </c>
      <c r="G2675" s="19"/>
      <c r="H2675" s="19"/>
      <c r="I2675" s="19"/>
    </row>
    <row r="2676" ht="56.25" customHeight="1">
      <c r="A2676" s="21" t="s">
        <v>5587</v>
      </c>
      <c r="B2676" s="19" t="str">
        <f>image("https://storage.googleapis.com/acdb/photos/BromideNpcNmlRbt03_Remake_2_0.png")</f>
        <v/>
      </c>
      <c r="C2676" s="21" t="s">
        <v>954</v>
      </c>
      <c r="D2676" s="21" t="s">
        <v>51</v>
      </c>
      <c r="E2676" s="21">
        <v>10.0</v>
      </c>
      <c r="F2676" s="21" t="s">
        <v>2289</v>
      </c>
      <c r="G2676" s="19"/>
      <c r="H2676" s="19"/>
      <c r="I2676" s="19"/>
    </row>
    <row r="2677" ht="56.25" customHeight="1">
      <c r="A2677" s="21" t="s">
        <v>5587</v>
      </c>
      <c r="B2677" s="19" t="str">
        <f>image("https://storage.googleapis.com/acdb/photos/BromideNpcNmlRbt03_Remake_3_0.png")</f>
        <v/>
      </c>
      <c r="C2677" s="21" t="s">
        <v>82</v>
      </c>
      <c r="D2677" s="21" t="s">
        <v>51</v>
      </c>
      <c r="E2677" s="21">
        <v>10.0</v>
      </c>
      <c r="F2677" s="21" t="s">
        <v>2289</v>
      </c>
      <c r="G2677" s="19"/>
      <c r="H2677" s="19"/>
      <c r="I2677" s="19"/>
    </row>
    <row r="2678" ht="56.25" customHeight="1">
      <c r="A2678" s="21" t="s">
        <v>5587</v>
      </c>
      <c r="B2678" s="19" t="str">
        <f>image("https://storage.googleapis.com/acdb/photos/BromideNpcNmlRbt03_Remake_4_0.png")</f>
        <v/>
      </c>
      <c r="C2678" s="21" t="s">
        <v>833</v>
      </c>
      <c r="D2678" s="21" t="s">
        <v>51</v>
      </c>
      <c r="E2678" s="21">
        <v>10.0</v>
      </c>
      <c r="F2678" s="21" t="s">
        <v>2289</v>
      </c>
      <c r="G2678" s="19"/>
      <c r="H2678" s="19"/>
      <c r="I2678" s="19"/>
    </row>
    <row r="2679" ht="56.25" customHeight="1">
      <c r="A2679" s="21" t="s">
        <v>5587</v>
      </c>
      <c r="B2679" s="19" t="str">
        <f>image("https://storage.googleapis.com/acdb/photos/BromideNpcNmlRbt03_Remake_5_0.png")</f>
        <v/>
      </c>
      <c r="C2679" s="21" t="s">
        <v>258</v>
      </c>
      <c r="D2679" s="21" t="s">
        <v>51</v>
      </c>
      <c r="E2679" s="21">
        <v>10.0</v>
      </c>
      <c r="F2679" s="21" t="s">
        <v>2289</v>
      </c>
      <c r="G2679" s="19"/>
      <c r="H2679" s="19"/>
      <c r="I2679" s="19"/>
    </row>
    <row r="2680" ht="56.25" customHeight="1">
      <c r="A2680" s="21" t="s">
        <v>5587</v>
      </c>
      <c r="B2680" s="19" t="str">
        <f>image("https://storage.googleapis.com/acdb/photos/BromideNpcNmlRbt03_Remake_6_0.png")</f>
        <v/>
      </c>
      <c r="C2680" s="21" t="s">
        <v>182</v>
      </c>
      <c r="D2680" s="21" t="s">
        <v>51</v>
      </c>
      <c r="E2680" s="21">
        <v>10.0</v>
      </c>
      <c r="F2680" s="21" t="s">
        <v>2289</v>
      </c>
      <c r="G2680" s="19"/>
      <c r="H2680" s="19"/>
      <c r="I2680" s="19"/>
    </row>
    <row r="2681" ht="56.25" customHeight="1">
      <c r="A2681" s="21" t="s">
        <v>5587</v>
      </c>
      <c r="B2681" s="19" t="str">
        <f>image("https://storage.googleapis.com/acdb/photos/BromideNpcNmlRbt03_Remake_7_0.png")</f>
        <v/>
      </c>
      <c r="C2681" s="21" t="s">
        <v>187</v>
      </c>
      <c r="D2681" s="21" t="s">
        <v>51</v>
      </c>
      <c r="E2681" s="21">
        <v>10.0</v>
      </c>
      <c r="F2681" s="21" t="s">
        <v>2289</v>
      </c>
      <c r="G2681" s="19"/>
      <c r="H2681" s="19"/>
      <c r="I2681" s="19"/>
    </row>
    <row r="2682" ht="56.25" customHeight="1">
      <c r="A2682" s="21" t="s">
        <v>5600</v>
      </c>
      <c r="B2682" s="19" t="str">
        <f>image("https://storage.googleapis.com/acdb/photos/BromideNpcNmlAnt06_Remake_0_0.png")</f>
        <v/>
      </c>
      <c r="C2682" s="21" t="s">
        <v>219</v>
      </c>
      <c r="D2682" s="21" t="s">
        <v>51</v>
      </c>
      <c r="E2682" s="21">
        <v>10.0</v>
      </c>
      <c r="F2682" s="21" t="s">
        <v>2289</v>
      </c>
      <c r="G2682" s="19"/>
      <c r="H2682" s="19"/>
      <c r="I2682" s="19"/>
    </row>
    <row r="2683" ht="56.25" customHeight="1">
      <c r="A2683" s="21" t="s">
        <v>5600</v>
      </c>
      <c r="B2683" s="19" t="str">
        <f>image("https://storage.googleapis.com/acdb/photos/BromideNpcNmlAnt06_Remake_1_0.png")</f>
        <v/>
      </c>
      <c r="C2683" s="21" t="s">
        <v>795</v>
      </c>
      <c r="D2683" s="21" t="s">
        <v>51</v>
      </c>
      <c r="E2683" s="21">
        <v>10.0</v>
      </c>
      <c r="F2683" s="21" t="s">
        <v>2289</v>
      </c>
      <c r="G2683" s="19"/>
      <c r="H2683" s="19"/>
      <c r="I2683" s="19"/>
    </row>
    <row r="2684" ht="56.25" customHeight="1">
      <c r="A2684" s="21" t="s">
        <v>5600</v>
      </c>
      <c r="B2684" s="19" t="str">
        <f>image("https://storage.googleapis.com/acdb/photos/BromideNpcNmlAnt06_Remake_2_0.png")</f>
        <v/>
      </c>
      <c r="C2684" s="21" t="s">
        <v>954</v>
      </c>
      <c r="D2684" s="21" t="s">
        <v>51</v>
      </c>
      <c r="E2684" s="21">
        <v>10.0</v>
      </c>
      <c r="F2684" s="21" t="s">
        <v>2289</v>
      </c>
      <c r="G2684" s="19"/>
      <c r="H2684" s="19"/>
      <c r="I2684" s="19"/>
    </row>
    <row r="2685" ht="56.25" customHeight="1">
      <c r="A2685" s="21" t="s">
        <v>5600</v>
      </c>
      <c r="B2685" s="19" t="str">
        <f>image("https://storage.googleapis.com/acdb/photos/BromideNpcNmlAnt06_Remake_3_0.png")</f>
        <v/>
      </c>
      <c r="C2685" s="21" t="s">
        <v>82</v>
      </c>
      <c r="D2685" s="21" t="s">
        <v>51</v>
      </c>
      <c r="E2685" s="21">
        <v>10.0</v>
      </c>
      <c r="F2685" s="21" t="s">
        <v>2289</v>
      </c>
      <c r="G2685" s="19"/>
      <c r="H2685" s="19"/>
      <c r="I2685" s="19"/>
    </row>
    <row r="2686" ht="56.25" customHeight="1">
      <c r="A2686" s="21" t="s">
        <v>5600</v>
      </c>
      <c r="B2686" s="19" t="str">
        <f>image("https://storage.googleapis.com/acdb/photos/BromideNpcNmlAnt06_Remake_4_0.png")</f>
        <v/>
      </c>
      <c r="C2686" s="21" t="s">
        <v>833</v>
      </c>
      <c r="D2686" s="21" t="s">
        <v>51</v>
      </c>
      <c r="E2686" s="21">
        <v>10.0</v>
      </c>
      <c r="F2686" s="21" t="s">
        <v>2289</v>
      </c>
      <c r="G2686" s="19"/>
      <c r="H2686" s="19"/>
      <c r="I2686" s="19"/>
    </row>
    <row r="2687" ht="56.25" customHeight="1">
      <c r="A2687" s="21" t="s">
        <v>5600</v>
      </c>
      <c r="B2687" s="19" t="str">
        <f>image("https://storage.googleapis.com/acdb/photos/BromideNpcNmlAnt06_Remake_5_0.png")</f>
        <v/>
      </c>
      <c r="C2687" s="21" t="s">
        <v>258</v>
      </c>
      <c r="D2687" s="21" t="s">
        <v>51</v>
      </c>
      <c r="E2687" s="21">
        <v>10.0</v>
      </c>
      <c r="F2687" s="21" t="s">
        <v>2289</v>
      </c>
      <c r="G2687" s="19"/>
      <c r="H2687" s="19"/>
      <c r="I2687" s="19"/>
    </row>
    <row r="2688" ht="56.25" customHeight="1">
      <c r="A2688" s="21" t="s">
        <v>5600</v>
      </c>
      <c r="B2688" s="19" t="str">
        <f>image("https://storage.googleapis.com/acdb/photos/BromideNpcNmlAnt06_Remake_6_0.png")</f>
        <v/>
      </c>
      <c r="C2688" s="21" t="s">
        <v>182</v>
      </c>
      <c r="D2688" s="21" t="s">
        <v>51</v>
      </c>
      <c r="E2688" s="21">
        <v>10.0</v>
      </c>
      <c r="F2688" s="21" t="s">
        <v>2289</v>
      </c>
      <c r="G2688" s="19"/>
      <c r="H2688" s="19"/>
      <c r="I2688" s="19"/>
    </row>
    <row r="2689" ht="56.25" customHeight="1">
      <c r="A2689" s="21" t="s">
        <v>5600</v>
      </c>
      <c r="B2689" s="19" t="str">
        <f>image("https://storage.googleapis.com/acdb/photos/BromideNpcNmlAnt06_Remake_7_0.png")</f>
        <v/>
      </c>
      <c r="C2689" s="21" t="s">
        <v>187</v>
      </c>
      <c r="D2689" s="21" t="s">
        <v>51</v>
      </c>
      <c r="E2689" s="21">
        <v>10.0</v>
      </c>
      <c r="F2689" s="21" t="s">
        <v>2289</v>
      </c>
      <c r="G2689" s="19"/>
      <c r="H2689" s="19"/>
      <c r="I2689" s="19"/>
    </row>
    <row r="2690" ht="56.25" customHeight="1">
      <c r="A2690" s="21" t="s">
        <v>5615</v>
      </c>
      <c r="B2690" s="19" t="str">
        <f>image("https://storage.googleapis.com/acdb/photos/BromideNpcNmlHam04_Remake_0_0.png")</f>
        <v/>
      </c>
      <c r="C2690" s="21" t="s">
        <v>219</v>
      </c>
      <c r="D2690" s="21" t="s">
        <v>51</v>
      </c>
      <c r="E2690" s="21">
        <v>10.0</v>
      </c>
      <c r="F2690" s="21" t="s">
        <v>2289</v>
      </c>
      <c r="G2690" s="19"/>
      <c r="H2690" s="19"/>
      <c r="I2690" s="19"/>
    </row>
    <row r="2691" ht="56.25" customHeight="1">
      <c r="A2691" s="21" t="s">
        <v>5615</v>
      </c>
      <c r="B2691" s="19" t="str">
        <f>image("https://storage.googleapis.com/acdb/photos/BromideNpcNmlHam04_Remake_1_0.png")</f>
        <v/>
      </c>
      <c r="C2691" s="21" t="s">
        <v>795</v>
      </c>
      <c r="D2691" s="21" t="s">
        <v>51</v>
      </c>
      <c r="E2691" s="21">
        <v>10.0</v>
      </c>
      <c r="F2691" s="21" t="s">
        <v>2289</v>
      </c>
      <c r="G2691" s="19"/>
      <c r="H2691" s="19"/>
      <c r="I2691" s="19"/>
    </row>
    <row r="2692" ht="56.25" customHeight="1">
      <c r="A2692" s="21" t="s">
        <v>5615</v>
      </c>
      <c r="B2692" s="19" t="str">
        <f>image("https://storage.googleapis.com/acdb/photos/BromideNpcNmlHam04_Remake_2_0.png")</f>
        <v/>
      </c>
      <c r="C2692" s="21" t="s">
        <v>954</v>
      </c>
      <c r="D2692" s="21" t="s">
        <v>51</v>
      </c>
      <c r="E2692" s="21">
        <v>10.0</v>
      </c>
      <c r="F2692" s="21" t="s">
        <v>2289</v>
      </c>
      <c r="G2692" s="19"/>
      <c r="H2692" s="19"/>
      <c r="I2692" s="19"/>
    </row>
    <row r="2693" ht="56.25" customHeight="1">
      <c r="A2693" s="21" t="s">
        <v>5615</v>
      </c>
      <c r="B2693" s="19" t="str">
        <f>image("https://storage.googleapis.com/acdb/photos/BromideNpcNmlHam04_Remake_3_0.png")</f>
        <v/>
      </c>
      <c r="C2693" s="21" t="s">
        <v>82</v>
      </c>
      <c r="D2693" s="21" t="s">
        <v>51</v>
      </c>
      <c r="E2693" s="21">
        <v>10.0</v>
      </c>
      <c r="F2693" s="21" t="s">
        <v>2289</v>
      </c>
      <c r="G2693" s="19"/>
      <c r="H2693" s="19"/>
      <c r="I2693" s="19"/>
    </row>
    <row r="2694" ht="56.25" customHeight="1">
      <c r="A2694" s="21" t="s">
        <v>5615</v>
      </c>
      <c r="B2694" s="19" t="str">
        <f>image("https://storage.googleapis.com/acdb/photos/BromideNpcNmlHam04_Remake_4_0.png")</f>
        <v/>
      </c>
      <c r="C2694" s="21" t="s">
        <v>833</v>
      </c>
      <c r="D2694" s="21" t="s">
        <v>51</v>
      </c>
      <c r="E2694" s="21">
        <v>10.0</v>
      </c>
      <c r="F2694" s="21" t="s">
        <v>2289</v>
      </c>
      <c r="G2694" s="19"/>
      <c r="H2694" s="19"/>
      <c r="I2694" s="19"/>
    </row>
    <row r="2695" ht="56.25" customHeight="1">
      <c r="A2695" s="21" t="s">
        <v>5615</v>
      </c>
      <c r="B2695" s="19" t="str">
        <f>image("https://storage.googleapis.com/acdb/photos/BromideNpcNmlHam04_Remake_5_0.png")</f>
        <v/>
      </c>
      <c r="C2695" s="21" t="s">
        <v>258</v>
      </c>
      <c r="D2695" s="21" t="s">
        <v>51</v>
      </c>
      <c r="E2695" s="21">
        <v>10.0</v>
      </c>
      <c r="F2695" s="21" t="s">
        <v>2289</v>
      </c>
      <c r="G2695" s="19"/>
      <c r="H2695" s="19"/>
      <c r="I2695" s="19"/>
    </row>
    <row r="2696" ht="56.25" customHeight="1">
      <c r="A2696" s="21" t="s">
        <v>5615</v>
      </c>
      <c r="B2696" s="19" t="str">
        <f>image("https://storage.googleapis.com/acdb/photos/BromideNpcNmlHam04_Remake_6_0.png")</f>
        <v/>
      </c>
      <c r="C2696" s="21" t="s">
        <v>182</v>
      </c>
      <c r="D2696" s="21" t="s">
        <v>51</v>
      </c>
      <c r="E2696" s="21">
        <v>10.0</v>
      </c>
      <c r="F2696" s="21" t="s">
        <v>2289</v>
      </c>
      <c r="G2696" s="19"/>
      <c r="H2696" s="19"/>
      <c r="I2696" s="19"/>
    </row>
    <row r="2697" ht="56.25" customHeight="1">
      <c r="A2697" s="21" t="s">
        <v>5615</v>
      </c>
      <c r="B2697" s="19" t="str">
        <f>image("https://storage.googleapis.com/acdb/photos/BromideNpcNmlHam04_Remake_7_0.png")</f>
        <v/>
      </c>
      <c r="C2697" s="21" t="s">
        <v>187</v>
      </c>
      <c r="D2697" s="21" t="s">
        <v>51</v>
      </c>
      <c r="E2697" s="21">
        <v>10.0</v>
      </c>
      <c r="F2697" s="21" t="s">
        <v>2289</v>
      </c>
      <c r="G2697" s="19"/>
      <c r="H2697" s="19"/>
      <c r="I2697" s="19"/>
    </row>
    <row r="2698" ht="56.25" customHeight="1">
      <c r="A2698" s="21" t="s">
        <v>5656</v>
      </c>
      <c r="B2698" s="19" t="str">
        <f>image("https://storage.googleapis.com/acdb/photos/BromideNpcNmlBrd18_Remake_0_0.png")</f>
        <v/>
      </c>
      <c r="C2698" s="21" t="s">
        <v>219</v>
      </c>
      <c r="D2698" s="21" t="s">
        <v>51</v>
      </c>
      <c r="E2698" s="21">
        <v>10.0</v>
      </c>
      <c r="F2698" s="21" t="s">
        <v>2289</v>
      </c>
      <c r="G2698" s="19"/>
      <c r="H2698" s="19"/>
      <c r="I2698" s="19"/>
    </row>
    <row r="2699" ht="56.25" customHeight="1">
      <c r="A2699" s="21" t="s">
        <v>5656</v>
      </c>
      <c r="B2699" s="19" t="str">
        <f>image("https://storage.googleapis.com/acdb/photos/BromideNpcNmlBrd18_Remake_1_0.png")</f>
        <v/>
      </c>
      <c r="C2699" s="21" t="s">
        <v>795</v>
      </c>
      <c r="D2699" s="21" t="s">
        <v>51</v>
      </c>
      <c r="E2699" s="21">
        <v>10.0</v>
      </c>
      <c r="F2699" s="21" t="s">
        <v>2289</v>
      </c>
      <c r="G2699" s="19"/>
      <c r="H2699" s="19"/>
      <c r="I2699" s="19"/>
    </row>
    <row r="2700" ht="56.25" customHeight="1">
      <c r="A2700" s="21" t="s">
        <v>5656</v>
      </c>
      <c r="B2700" s="19" t="str">
        <f>image("https://storage.googleapis.com/acdb/photos/BromideNpcNmlBrd18_Remake_2_0.png")</f>
        <v/>
      </c>
      <c r="C2700" s="21" t="s">
        <v>954</v>
      </c>
      <c r="D2700" s="21" t="s">
        <v>51</v>
      </c>
      <c r="E2700" s="21">
        <v>10.0</v>
      </c>
      <c r="F2700" s="21" t="s">
        <v>2289</v>
      </c>
      <c r="G2700" s="19"/>
      <c r="H2700" s="19"/>
      <c r="I2700" s="19"/>
    </row>
    <row r="2701" ht="56.25" customHeight="1">
      <c r="A2701" s="21" t="s">
        <v>5656</v>
      </c>
      <c r="B2701" s="19" t="str">
        <f>image("https://storage.googleapis.com/acdb/photos/BromideNpcNmlBrd18_Remake_3_0.png")</f>
        <v/>
      </c>
      <c r="C2701" s="21" t="s">
        <v>82</v>
      </c>
      <c r="D2701" s="21" t="s">
        <v>51</v>
      </c>
      <c r="E2701" s="21">
        <v>10.0</v>
      </c>
      <c r="F2701" s="21" t="s">
        <v>2289</v>
      </c>
      <c r="G2701" s="19"/>
      <c r="H2701" s="19"/>
      <c r="I2701" s="19"/>
    </row>
    <row r="2702" ht="56.25" customHeight="1">
      <c r="A2702" s="21" t="s">
        <v>5656</v>
      </c>
      <c r="B2702" s="19" t="str">
        <f>image("https://storage.googleapis.com/acdb/photos/BromideNpcNmlBrd18_Remake_4_0.png")</f>
        <v/>
      </c>
      <c r="C2702" s="21" t="s">
        <v>833</v>
      </c>
      <c r="D2702" s="21" t="s">
        <v>51</v>
      </c>
      <c r="E2702" s="21">
        <v>10.0</v>
      </c>
      <c r="F2702" s="21" t="s">
        <v>2289</v>
      </c>
      <c r="G2702" s="19"/>
      <c r="H2702" s="19"/>
      <c r="I2702" s="19"/>
    </row>
    <row r="2703" ht="56.25" customHeight="1">
      <c r="A2703" s="21" t="s">
        <v>5656</v>
      </c>
      <c r="B2703" s="19" t="str">
        <f>image("https://storage.googleapis.com/acdb/photos/BromideNpcNmlBrd18_Remake_5_0.png")</f>
        <v/>
      </c>
      <c r="C2703" s="21" t="s">
        <v>258</v>
      </c>
      <c r="D2703" s="21" t="s">
        <v>51</v>
      </c>
      <c r="E2703" s="21">
        <v>10.0</v>
      </c>
      <c r="F2703" s="21" t="s">
        <v>2289</v>
      </c>
      <c r="G2703" s="19"/>
      <c r="H2703" s="19"/>
      <c r="I2703" s="19"/>
    </row>
    <row r="2704" ht="56.25" customHeight="1">
      <c r="A2704" s="21" t="s">
        <v>5656</v>
      </c>
      <c r="B2704" s="19" t="str">
        <f>image("https://storage.googleapis.com/acdb/photos/BromideNpcNmlBrd18_Remake_6_0.png")</f>
        <v/>
      </c>
      <c r="C2704" s="21" t="s">
        <v>182</v>
      </c>
      <c r="D2704" s="21" t="s">
        <v>51</v>
      </c>
      <c r="E2704" s="21">
        <v>10.0</v>
      </c>
      <c r="F2704" s="21" t="s">
        <v>2289</v>
      </c>
      <c r="G2704" s="19"/>
      <c r="H2704" s="19"/>
      <c r="I2704" s="19"/>
    </row>
    <row r="2705" ht="56.25" customHeight="1">
      <c r="A2705" s="21" t="s">
        <v>5656</v>
      </c>
      <c r="B2705" s="19" t="str">
        <f>image("https://storage.googleapis.com/acdb/photos/BromideNpcNmlBrd18_Remake_7_0.png")</f>
        <v/>
      </c>
      <c r="C2705" s="21" t="s">
        <v>187</v>
      </c>
      <c r="D2705" s="21" t="s">
        <v>51</v>
      </c>
      <c r="E2705" s="21">
        <v>10.0</v>
      </c>
      <c r="F2705" s="21" t="s">
        <v>2289</v>
      </c>
      <c r="G2705" s="19"/>
      <c r="H2705" s="19"/>
      <c r="I2705" s="19"/>
    </row>
    <row r="2706" ht="56.25" customHeight="1">
      <c r="A2706" s="21" t="s">
        <v>5687</v>
      </c>
      <c r="B2706" s="19" t="str">
        <f>image("https://storage.googleapis.com/acdb/photos/BromideNpcNmlRhn02_Remake_0_0.png")</f>
        <v/>
      </c>
      <c r="C2706" s="21" t="s">
        <v>219</v>
      </c>
      <c r="D2706" s="21" t="s">
        <v>51</v>
      </c>
      <c r="E2706" s="21">
        <v>10.0</v>
      </c>
      <c r="F2706" s="21" t="s">
        <v>2289</v>
      </c>
      <c r="G2706" s="19"/>
      <c r="H2706" s="19"/>
      <c r="I2706" s="19"/>
    </row>
    <row r="2707" ht="56.25" customHeight="1">
      <c r="A2707" s="21" t="s">
        <v>5687</v>
      </c>
      <c r="B2707" s="19" t="str">
        <f>image("https://storage.googleapis.com/acdb/photos/BromideNpcNmlRhn02_Remake_1_0.png")</f>
        <v/>
      </c>
      <c r="C2707" s="21" t="s">
        <v>795</v>
      </c>
      <c r="D2707" s="21" t="s">
        <v>51</v>
      </c>
      <c r="E2707" s="21">
        <v>10.0</v>
      </c>
      <c r="F2707" s="21" t="s">
        <v>2289</v>
      </c>
      <c r="G2707" s="19"/>
      <c r="H2707" s="19"/>
      <c r="I2707" s="19"/>
    </row>
    <row r="2708" ht="56.25" customHeight="1">
      <c r="A2708" s="21" t="s">
        <v>5687</v>
      </c>
      <c r="B2708" s="19" t="str">
        <f>image("https://storage.googleapis.com/acdb/photos/BromideNpcNmlRhn02_Remake_2_0.png")</f>
        <v/>
      </c>
      <c r="C2708" s="21" t="s">
        <v>954</v>
      </c>
      <c r="D2708" s="21" t="s">
        <v>51</v>
      </c>
      <c r="E2708" s="21">
        <v>10.0</v>
      </c>
      <c r="F2708" s="21" t="s">
        <v>2289</v>
      </c>
      <c r="G2708" s="19"/>
      <c r="H2708" s="19"/>
      <c r="I2708" s="19"/>
    </row>
    <row r="2709" ht="56.25" customHeight="1">
      <c r="A2709" s="21" t="s">
        <v>5687</v>
      </c>
      <c r="B2709" s="19" t="str">
        <f>image("https://storage.googleapis.com/acdb/photos/BromideNpcNmlRhn02_Remake_3_0.png")</f>
        <v/>
      </c>
      <c r="C2709" s="21" t="s">
        <v>82</v>
      </c>
      <c r="D2709" s="21" t="s">
        <v>51</v>
      </c>
      <c r="E2709" s="21">
        <v>10.0</v>
      </c>
      <c r="F2709" s="21" t="s">
        <v>2289</v>
      </c>
      <c r="G2709" s="19"/>
      <c r="H2709" s="19"/>
      <c r="I2709" s="19"/>
    </row>
    <row r="2710" ht="56.25" customHeight="1">
      <c r="A2710" s="21" t="s">
        <v>5687</v>
      </c>
      <c r="B2710" s="19" t="str">
        <f>image("https://storage.googleapis.com/acdb/photos/BromideNpcNmlRhn02_Remake_4_0.png")</f>
        <v/>
      </c>
      <c r="C2710" s="21" t="s">
        <v>833</v>
      </c>
      <c r="D2710" s="21" t="s">
        <v>51</v>
      </c>
      <c r="E2710" s="21">
        <v>10.0</v>
      </c>
      <c r="F2710" s="21" t="s">
        <v>2289</v>
      </c>
      <c r="G2710" s="19"/>
      <c r="H2710" s="19"/>
      <c r="I2710" s="19"/>
    </row>
    <row r="2711" ht="56.25" customHeight="1">
      <c r="A2711" s="21" t="s">
        <v>5687</v>
      </c>
      <c r="B2711" s="19" t="str">
        <f>image("https://storage.googleapis.com/acdb/photos/BromideNpcNmlRhn02_Remake_5_0.png")</f>
        <v/>
      </c>
      <c r="C2711" s="21" t="s">
        <v>258</v>
      </c>
      <c r="D2711" s="21" t="s">
        <v>51</v>
      </c>
      <c r="E2711" s="21">
        <v>10.0</v>
      </c>
      <c r="F2711" s="21" t="s">
        <v>2289</v>
      </c>
      <c r="G2711" s="19"/>
      <c r="H2711" s="19"/>
      <c r="I2711" s="19"/>
    </row>
    <row r="2712" ht="56.25" customHeight="1">
      <c r="A2712" s="21" t="s">
        <v>5687</v>
      </c>
      <c r="B2712" s="19" t="str">
        <f>image("https://storage.googleapis.com/acdb/photos/BromideNpcNmlRhn02_Remake_6_0.png")</f>
        <v/>
      </c>
      <c r="C2712" s="21" t="s">
        <v>182</v>
      </c>
      <c r="D2712" s="21" t="s">
        <v>51</v>
      </c>
      <c r="E2712" s="21">
        <v>10.0</v>
      </c>
      <c r="F2712" s="21" t="s">
        <v>2289</v>
      </c>
      <c r="G2712" s="19"/>
      <c r="H2712" s="19"/>
      <c r="I2712" s="19"/>
    </row>
    <row r="2713" ht="56.25" customHeight="1">
      <c r="A2713" s="21" t="s">
        <v>5687</v>
      </c>
      <c r="B2713" s="19" t="str">
        <f>image("https://storage.googleapis.com/acdb/photos/BromideNpcNmlRhn02_Remake_7_0.png")</f>
        <v/>
      </c>
      <c r="C2713" s="21" t="s">
        <v>187</v>
      </c>
      <c r="D2713" s="21" t="s">
        <v>51</v>
      </c>
      <c r="E2713" s="21">
        <v>10.0</v>
      </c>
      <c r="F2713" s="21" t="s">
        <v>2289</v>
      </c>
      <c r="G2713" s="19"/>
      <c r="H2713" s="19"/>
      <c r="I2713" s="19"/>
    </row>
    <row r="2714" ht="56.25" customHeight="1">
      <c r="A2714" s="21" t="s">
        <v>5723</v>
      </c>
      <c r="B2714" s="19" t="str">
        <f>image("https://storage.googleapis.com/acdb/photos/BromideNpcNmlPgn14_Remake_0_0.png")</f>
        <v/>
      </c>
      <c r="C2714" s="21" t="s">
        <v>219</v>
      </c>
      <c r="D2714" s="21" t="s">
        <v>51</v>
      </c>
      <c r="E2714" s="21">
        <v>10.0</v>
      </c>
      <c r="F2714" s="21" t="s">
        <v>2289</v>
      </c>
      <c r="G2714" s="19"/>
      <c r="H2714" s="19"/>
      <c r="I2714" s="19"/>
    </row>
    <row r="2715" ht="56.25" customHeight="1">
      <c r="A2715" s="21" t="s">
        <v>5723</v>
      </c>
      <c r="B2715" s="19" t="str">
        <f>image("https://storage.googleapis.com/acdb/photos/BromideNpcNmlPgn14_Remake_1_0.png")</f>
        <v/>
      </c>
      <c r="C2715" s="21" t="s">
        <v>795</v>
      </c>
      <c r="D2715" s="21" t="s">
        <v>51</v>
      </c>
      <c r="E2715" s="21">
        <v>10.0</v>
      </c>
      <c r="F2715" s="21" t="s">
        <v>2289</v>
      </c>
      <c r="G2715" s="19"/>
      <c r="H2715" s="19"/>
      <c r="I2715" s="19"/>
    </row>
    <row r="2716" ht="56.25" customHeight="1">
      <c r="A2716" s="21" t="s">
        <v>5723</v>
      </c>
      <c r="B2716" s="19" t="str">
        <f>image("https://storage.googleapis.com/acdb/photos/BromideNpcNmlPgn14_Remake_2_0.png")</f>
        <v/>
      </c>
      <c r="C2716" s="21" t="s">
        <v>954</v>
      </c>
      <c r="D2716" s="21" t="s">
        <v>51</v>
      </c>
      <c r="E2716" s="21">
        <v>10.0</v>
      </c>
      <c r="F2716" s="21" t="s">
        <v>2289</v>
      </c>
      <c r="G2716" s="19"/>
      <c r="H2716" s="19"/>
      <c r="I2716" s="19"/>
    </row>
    <row r="2717" ht="56.25" customHeight="1">
      <c r="A2717" s="21" t="s">
        <v>5723</v>
      </c>
      <c r="B2717" s="19" t="str">
        <f>image("https://storage.googleapis.com/acdb/photos/BromideNpcNmlPgn14_Remake_3_0.png")</f>
        <v/>
      </c>
      <c r="C2717" s="21" t="s">
        <v>82</v>
      </c>
      <c r="D2717" s="21" t="s">
        <v>51</v>
      </c>
      <c r="E2717" s="21">
        <v>10.0</v>
      </c>
      <c r="F2717" s="21" t="s">
        <v>2289</v>
      </c>
      <c r="G2717" s="19"/>
      <c r="H2717" s="19"/>
      <c r="I2717" s="19"/>
    </row>
    <row r="2718" ht="56.25" customHeight="1">
      <c r="A2718" s="21" t="s">
        <v>5723</v>
      </c>
      <c r="B2718" s="19" t="str">
        <f>image("https://storage.googleapis.com/acdb/photos/BromideNpcNmlPgn14_Remake_4_0.png")</f>
        <v/>
      </c>
      <c r="C2718" s="21" t="s">
        <v>833</v>
      </c>
      <c r="D2718" s="21" t="s">
        <v>51</v>
      </c>
      <c r="E2718" s="21">
        <v>10.0</v>
      </c>
      <c r="F2718" s="21" t="s">
        <v>2289</v>
      </c>
      <c r="G2718" s="19"/>
      <c r="H2718" s="19"/>
      <c r="I2718" s="19"/>
    </row>
    <row r="2719" ht="56.25" customHeight="1">
      <c r="A2719" s="21" t="s">
        <v>5723</v>
      </c>
      <c r="B2719" s="19" t="str">
        <f>image("https://storage.googleapis.com/acdb/photos/BromideNpcNmlPgn14_Remake_5_0.png")</f>
        <v/>
      </c>
      <c r="C2719" s="21" t="s">
        <v>258</v>
      </c>
      <c r="D2719" s="21" t="s">
        <v>51</v>
      </c>
      <c r="E2719" s="21">
        <v>10.0</v>
      </c>
      <c r="F2719" s="21" t="s">
        <v>2289</v>
      </c>
      <c r="G2719" s="19"/>
      <c r="H2719" s="19"/>
      <c r="I2719" s="19"/>
    </row>
    <row r="2720" ht="56.25" customHeight="1">
      <c r="A2720" s="21" t="s">
        <v>5723</v>
      </c>
      <c r="B2720" s="19" t="str">
        <f>image("https://storage.googleapis.com/acdb/photos/BromideNpcNmlPgn14_Remake_6_0.png")</f>
        <v/>
      </c>
      <c r="C2720" s="21" t="s">
        <v>182</v>
      </c>
      <c r="D2720" s="21" t="s">
        <v>51</v>
      </c>
      <c r="E2720" s="21">
        <v>10.0</v>
      </c>
      <c r="F2720" s="21" t="s">
        <v>2289</v>
      </c>
      <c r="G2720" s="19"/>
      <c r="H2720" s="19"/>
      <c r="I2720" s="19"/>
    </row>
    <row r="2721" ht="56.25" customHeight="1">
      <c r="A2721" s="21" t="s">
        <v>5723</v>
      </c>
      <c r="B2721" s="19" t="str">
        <f>image("https://storage.googleapis.com/acdb/photos/BromideNpcNmlPgn14_Remake_7_0.png")</f>
        <v/>
      </c>
      <c r="C2721" s="21" t="s">
        <v>187</v>
      </c>
      <c r="D2721" s="21" t="s">
        <v>51</v>
      </c>
      <c r="E2721" s="21">
        <v>10.0</v>
      </c>
      <c r="F2721" s="21" t="s">
        <v>2289</v>
      </c>
      <c r="G2721" s="19"/>
      <c r="H2721" s="19"/>
      <c r="I2721" s="19"/>
    </row>
    <row r="2722" ht="56.25" customHeight="1">
      <c r="A2722" s="21" t="s">
        <v>5751</v>
      </c>
      <c r="B2722" s="19" t="str">
        <f>image("https://storage.googleapis.com/acdb/photos/BromideNpcNmlOst03_Remake_0_0.png")</f>
        <v/>
      </c>
      <c r="C2722" s="21" t="s">
        <v>219</v>
      </c>
      <c r="D2722" s="21" t="s">
        <v>51</v>
      </c>
      <c r="E2722" s="21">
        <v>10.0</v>
      </c>
      <c r="F2722" s="21" t="s">
        <v>2289</v>
      </c>
      <c r="G2722" s="19"/>
      <c r="H2722" s="19"/>
      <c r="I2722" s="19"/>
    </row>
    <row r="2723" ht="56.25" customHeight="1">
      <c r="A2723" s="21" t="s">
        <v>5751</v>
      </c>
      <c r="B2723" s="19" t="str">
        <f>image("https://storage.googleapis.com/acdb/photos/BromideNpcNmlOst03_Remake_1_0.png")</f>
        <v/>
      </c>
      <c r="C2723" s="21" t="s">
        <v>795</v>
      </c>
      <c r="D2723" s="21" t="s">
        <v>51</v>
      </c>
      <c r="E2723" s="21">
        <v>10.0</v>
      </c>
      <c r="F2723" s="21" t="s">
        <v>2289</v>
      </c>
      <c r="G2723" s="19"/>
      <c r="H2723" s="19"/>
      <c r="I2723" s="19"/>
    </row>
    <row r="2724" ht="56.25" customHeight="1">
      <c r="A2724" s="21" t="s">
        <v>5751</v>
      </c>
      <c r="B2724" s="19" t="str">
        <f>image("https://storage.googleapis.com/acdb/photos/BromideNpcNmlOst03_Remake_2_0.png")</f>
        <v/>
      </c>
      <c r="C2724" s="21" t="s">
        <v>954</v>
      </c>
      <c r="D2724" s="21" t="s">
        <v>51</v>
      </c>
      <c r="E2724" s="21">
        <v>10.0</v>
      </c>
      <c r="F2724" s="21" t="s">
        <v>2289</v>
      </c>
      <c r="G2724" s="19"/>
      <c r="H2724" s="19"/>
      <c r="I2724" s="19"/>
    </row>
    <row r="2725" ht="56.25" customHeight="1">
      <c r="A2725" s="21" t="s">
        <v>5751</v>
      </c>
      <c r="B2725" s="19" t="str">
        <f>image("https://storage.googleapis.com/acdb/photos/BromideNpcNmlOst03_Remake_3_0.png")</f>
        <v/>
      </c>
      <c r="C2725" s="21" t="s">
        <v>82</v>
      </c>
      <c r="D2725" s="21" t="s">
        <v>51</v>
      </c>
      <c r="E2725" s="21">
        <v>10.0</v>
      </c>
      <c r="F2725" s="21" t="s">
        <v>2289</v>
      </c>
      <c r="G2725" s="19"/>
      <c r="H2725" s="19"/>
      <c r="I2725" s="19"/>
    </row>
    <row r="2726" ht="56.25" customHeight="1">
      <c r="A2726" s="21" t="s">
        <v>5751</v>
      </c>
      <c r="B2726" s="19" t="str">
        <f>image("https://storage.googleapis.com/acdb/photos/BromideNpcNmlOst03_Remake_4_0.png")</f>
        <v/>
      </c>
      <c r="C2726" s="21" t="s">
        <v>833</v>
      </c>
      <c r="D2726" s="21" t="s">
        <v>51</v>
      </c>
      <c r="E2726" s="21">
        <v>10.0</v>
      </c>
      <c r="F2726" s="21" t="s">
        <v>2289</v>
      </c>
      <c r="G2726" s="19"/>
      <c r="H2726" s="19"/>
      <c r="I2726" s="19"/>
    </row>
    <row r="2727" ht="56.25" customHeight="1">
      <c r="A2727" s="21" t="s">
        <v>5751</v>
      </c>
      <c r="B2727" s="19" t="str">
        <f>image("https://storage.googleapis.com/acdb/photos/BromideNpcNmlOst03_Remake_5_0.png")</f>
        <v/>
      </c>
      <c r="C2727" s="21" t="s">
        <v>258</v>
      </c>
      <c r="D2727" s="21" t="s">
        <v>51</v>
      </c>
      <c r="E2727" s="21">
        <v>10.0</v>
      </c>
      <c r="F2727" s="21" t="s">
        <v>2289</v>
      </c>
      <c r="G2727" s="19"/>
      <c r="H2727" s="19"/>
      <c r="I2727" s="19"/>
    </row>
    <row r="2728" ht="56.25" customHeight="1">
      <c r="A2728" s="21" t="s">
        <v>5751</v>
      </c>
      <c r="B2728" s="19" t="str">
        <f>image("https://storage.googleapis.com/acdb/photos/BromideNpcNmlOst03_Remake_6_0.png")</f>
        <v/>
      </c>
      <c r="C2728" s="21" t="s">
        <v>182</v>
      </c>
      <c r="D2728" s="21" t="s">
        <v>51</v>
      </c>
      <c r="E2728" s="21">
        <v>10.0</v>
      </c>
      <c r="F2728" s="21" t="s">
        <v>2289</v>
      </c>
      <c r="G2728" s="19"/>
      <c r="H2728" s="19"/>
      <c r="I2728" s="19"/>
    </row>
    <row r="2729" ht="56.25" customHeight="1">
      <c r="A2729" s="21" t="s">
        <v>5751</v>
      </c>
      <c r="B2729" s="19" t="str">
        <f>image("https://storage.googleapis.com/acdb/photos/BromideNpcNmlOst03_Remake_7_0.png")</f>
        <v/>
      </c>
      <c r="C2729" s="21" t="s">
        <v>187</v>
      </c>
      <c r="D2729" s="21" t="s">
        <v>51</v>
      </c>
      <c r="E2729" s="21">
        <v>10.0</v>
      </c>
      <c r="F2729" s="21" t="s">
        <v>2289</v>
      </c>
      <c r="G2729" s="19"/>
      <c r="H2729" s="19"/>
      <c r="I2729" s="19"/>
    </row>
    <row r="2730" ht="56.25" customHeight="1">
      <c r="A2730" s="21" t="s">
        <v>5783</v>
      </c>
      <c r="B2730" s="19" t="str">
        <f>image("https://storage.googleapis.com/acdb/photos/BromideNpcNmlSqu08_Remake_0_0.png")</f>
        <v/>
      </c>
      <c r="C2730" s="21" t="s">
        <v>219</v>
      </c>
      <c r="D2730" s="21" t="s">
        <v>51</v>
      </c>
      <c r="E2730" s="21">
        <v>10.0</v>
      </c>
      <c r="F2730" s="21" t="s">
        <v>2289</v>
      </c>
      <c r="G2730" s="19"/>
      <c r="H2730" s="19"/>
      <c r="I2730" s="19"/>
    </row>
    <row r="2731" ht="56.25" customHeight="1">
      <c r="A2731" s="21" t="s">
        <v>5783</v>
      </c>
      <c r="B2731" s="19" t="str">
        <f>image("https://storage.googleapis.com/acdb/photos/BromideNpcNmlSqu08_Remake_1_0.png")</f>
        <v/>
      </c>
      <c r="C2731" s="21" t="s">
        <v>795</v>
      </c>
      <c r="D2731" s="21" t="s">
        <v>51</v>
      </c>
      <c r="E2731" s="21">
        <v>10.0</v>
      </c>
      <c r="F2731" s="21" t="s">
        <v>2289</v>
      </c>
      <c r="G2731" s="19"/>
      <c r="H2731" s="19"/>
      <c r="I2731" s="19"/>
    </row>
    <row r="2732" ht="56.25" customHeight="1">
      <c r="A2732" s="21" t="s">
        <v>5783</v>
      </c>
      <c r="B2732" s="19" t="str">
        <f>image("https://storage.googleapis.com/acdb/photos/BromideNpcNmlSqu08_Remake_2_0.png")</f>
        <v/>
      </c>
      <c r="C2732" s="21" t="s">
        <v>954</v>
      </c>
      <c r="D2732" s="21" t="s">
        <v>51</v>
      </c>
      <c r="E2732" s="21">
        <v>10.0</v>
      </c>
      <c r="F2732" s="21" t="s">
        <v>2289</v>
      </c>
      <c r="G2732" s="19"/>
      <c r="H2732" s="19"/>
      <c r="I2732" s="19"/>
    </row>
    <row r="2733" ht="56.25" customHeight="1">
      <c r="A2733" s="21" t="s">
        <v>5783</v>
      </c>
      <c r="B2733" s="19" t="str">
        <f>image("https://storage.googleapis.com/acdb/photos/BromideNpcNmlSqu08_Remake_3_0.png")</f>
        <v/>
      </c>
      <c r="C2733" s="21" t="s">
        <v>82</v>
      </c>
      <c r="D2733" s="21" t="s">
        <v>51</v>
      </c>
      <c r="E2733" s="21">
        <v>10.0</v>
      </c>
      <c r="F2733" s="21" t="s">
        <v>2289</v>
      </c>
      <c r="G2733" s="19"/>
      <c r="H2733" s="19"/>
      <c r="I2733" s="19"/>
    </row>
    <row r="2734" ht="56.25" customHeight="1">
      <c r="A2734" s="21" t="s">
        <v>5783</v>
      </c>
      <c r="B2734" s="19" t="str">
        <f>image("https://storage.googleapis.com/acdb/photos/BromideNpcNmlSqu08_Remake_4_0.png")</f>
        <v/>
      </c>
      <c r="C2734" s="21" t="s">
        <v>833</v>
      </c>
      <c r="D2734" s="21" t="s">
        <v>51</v>
      </c>
      <c r="E2734" s="21">
        <v>10.0</v>
      </c>
      <c r="F2734" s="21" t="s">
        <v>2289</v>
      </c>
      <c r="G2734" s="19"/>
      <c r="H2734" s="19"/>
      <c r="I2734" s="19"/>
    </row>
    <row r="2735" ht="56.25" customHeight="1">
      <c r="A2735" s="21" t="s">
        <v>5783</v>
      </c>
      <c r="B2735" s="19" t="str">
        <f>image("https://storage.googleapis.com/acdb/photos/BromideNpcNmlSqu08_Remake_5_0.png")</f>
        <v/>
      </c>
      <c r="C2735" s="21" t="s">
        <v>258</v>
      </c>
      <c r="D2735" s="21" t="s">
        <v>51</v>
      </c>
      <c r="E2735" s="21">
        <v>10.0</v>
      </c>
      <c r="F2735" s="21" t="s">
        <v>2289</v>
      </c>
      <c r="G2735" s="19"/>
      <c r="H2735" s="19"/>
      <c r="I2735" s="19"/>
    </row>
    <row r="2736" ht="56.25" customHeight="1">
      <c r="A2736" s="21" t="s">
        <v>5783</v>
      </c>
      <c r="B2736" s="19" t="str">
        <f>image("https://storage.googleapis.com/acdb/photos/BromideNpcNmlSqu08_Remake_6_0.png")</f>
        <v/>
      </c>
      <c r="C2736" s="21" t="s">
        <v>182</v>
      </c>
      <c r="D2736" s="21" t="s">
        <v>51</v>
      </c>
      <c r="E2736" s="21">
        <v>10.0</v>
      </c>
      <c r="F2736" s="21" t="s">
        <v>2289</v>
      </c>
      <c r="G2736" s="19"/>
      <c r="H2736" s="19"/>
      <c r="I2736" s="19"/>
    </row>
    <row r="2737" ht="56.25" customHeight="1">
      <c r="A2737" s="21" t="s">
        <v>5783</v>
      </c>
      <c r="B2737" s="19" t="str">
        <f>image("https://storage.googleapis.com/acdb/photos/BromideNpcNmlSqu08_Remake_7_0.png")</f>
        <v/>
      </c>
      <c r="C2737" s="21" t="s">
        <v>187</v>
      </c>
      <c r="D2737" s="21" t="s">
        <v>51</v>
      </c>
      <c r="E2737" s="21">
        <v>10.0</v>
      </c>
      <c r="F2737" s="21" t="s">
        <v>2289</v>
      </c>
      <c r="G2737" s="19"/>
      <c r="H2737" s="19"/>
      <c r="I2737" s="19"/>
    </row>
    <row r="2738" ht="56.25" customHeight="1">
      <c r="A2738" s="21" t="s">
        <v>5822</v>
      </c>
      <c r="B2738" s="19" t="str">
        <f>image("https://storage.googleapis.com/acdb/photos/BromideNpcNmlShp03_Remake_0_0.png")</f>
        <v/>
      </c>
      <c r="C2738" s="21" t="s">
        <v>219</v>
      </c>
      <c r="D2738" s="21" t="s">
        <v>51</v>
      </c>
      <c r="E2738" s="21">
        <v>10.0</v>
      </c>
      <c r="F2738" s="21" t="s">
        <v>2289</v>
      </c>
      <c r="G2738" s="19"/>
      <c r="H2738" s="19"/>
      <c r="I2738" s="19"/>
    </row>
    <row r="2739" ht="56.25" customHeight="1">
      <c r="A2739" s="21" t="s">
        <v>5822</v>
      </c>
      <c r="B2739" s="19" t="str">
        <f>image("https://storage.googleapis.com/acdb/photos/BromideNpcNmlShp03_Remake_1_0.png")</f>
        <v/>
      </c>
      <c r="C2739" s="21" t="s">
        <v>795</v>
      </c>
      <c r="D2739" s="21" t="s">
        <v>51</v>
      </c>
      <c r="E2739" s="21">
        <v>10.0</v>
      </c>
      <c r="F2739" s="21" t="s">
        <v>2289</v>
      </c>
      <c r="G2739" s="19"/>
      <c r="H2739" s="19"/>
      <c r="I2739" s="19"/>
    </row>
    <row r="2740" ht="56.25" customHeight="1">
      <c r="A2740" s="21" t="s">
        <v>5822</v>
      </c>
      <c r="B2740" s="19" t="str">
        <f>image("https://storage.googleapis.com/acdb/photos/BromideNpcNmlShp03_Remake_2_0.png")</f>
        <v/>
      </c>
      <c r="C2740" s="21" t="s">
        <v>954</v>
      </c>
      <c r="D2740" s="21" t="s">
        <v>51</v>
      </c>
      <c r="E2740" s="21">
        <v>10.0</v>
      </c>
      <c r="F2740" s="21" t="s">
        <v>2289</v>
      </c>
      <c r="G2740" s="19"/>
      <c r="H2740" s="19"/>
      <c r="I2740" s="19"/>
    </row>
    <row r="2741" ht="56.25" customHeight="1">
      <c r="A2741" s="21" t="s">
        <v>5822</v>
      </c>
      <c r="B2741" s="19" t="str">
        <f>image("https://storage.googleapis.com/acdb/photos/BromideNpcNmlShp03_Remake_3_0.png")</f>
        <v/>
      </c>
      <c r="C2741" s="21" t="s">
        <v>82</v>
      </c>
      <c r="D2741" s="21" t="s">
        <v>51</v>
      </c>
      <c r="E2741" s="21">
        <v>10.0</v>
      </c>
      <c r="F2741" s="21" t="s">
        <v>2289</v>
      </c>
      <c r="G2741" s="19"/>
      <c r="H2741" s="19"/>
      <c r="I2741" s="19"/>
    </row>
    <row r="2742" ht="56.25" customHeight="1">
      <c r="A2742" s="21" t="s">
        <v>5822</v>
      </c>
      <c r="B2742" s="19" t="str">
        <f>image("https://storage.googleapis.com/acdb/photos/BromideNpcNmlShp03_Remake_4_0.png")</f>
        <v/>
      </c>
      <c r="C2742" s="21" t="s">
        <v>833</v>
      </c>
      <c r="D2742" s="21" t="s">
        <v>51</v>
      </c>
      <c r="E2742" s="21">
        <v>10.0</v>
      </c>
      <c r="F2742" s="21" t="s">
        <v>2289</v>
      </c>
      <c r="G2742" s="19"/>
      <c r="H2742" s="19"/>
      <c r="I2742" s="19"/>
    </row>
    <row r="2743" ht="56.25" customHeight="1">
      <c r="A2743" s="21" t="s">
        <v>5822</v>
      </c>
      <c r="B2743" s="19" t="str">
        <f>image("https://storage.googleapis.com/acdb/photos/BromideNpcNmlShp03_Remake_5_0.png")</f>
        <v/>
      </c>
      <c r="C2743" s="21" t="s">
        <v>258</v>
      </c>
      <c r="D2743" s="21" t="s">
        <v>51</v>
      </c>
      <c r="E2743" s="21">
        <v>10.0</v>
      </c>
      <c r="F2743" s="21" t="s">
        <v>2289</v>
      </c>
      <c r="G2743" s="19"/>
      <c r="H2743" s="19"/>
      <c r="I2743" s="19"/>
    </row>
    <row r="2744" ht="56.25" customHeight="1">
      <c r="A2744" s="21" t="s">
        <v>5822</v>
      </c>
      <c r="B2744" s="19" t="str">
        <f>image("https://storage.googleapis.com/acdb/photos/BromideNpcNmlShp03_Remake_6_0.png")</f>
        <v/>
      </c>
      <c r="C2744" s="21" t="s">
        <v>182</v>
      </c>
      <c r="D2744" s="21" t="s">
        <v>51</v>
      </c>
      <c r="E2744" s="21">
        <v>10.0</v>
      </c>
      <c r="F2744" s="21" t="s">
        <v>2289</v>
      </c>
      <c r="G2744" s="19"/>
      <c r="H2744" s="19"/>
      <c r="I2744" s="19"/>
    </row>
    <row r="2745" ht="56.25" customHeight="1">
      <c r="A2745" s="21" t="s">
        <v>5822</v>
      </c>
      <c r="B2745" s="19" t="str">
        <f>image("https://storage.googleapis.com/acdb/photos/BromideNpcNmlShp03_Remake_7_0.png")</f>
        <v/>
      </c>
      <c r="C2745" s="21" t="s">
        <v>187</v>
      </c>
      <c r="D2745" s="21" t="s">
        <v>51</v>
      </c>
      <c r="E2745" s="21">
        <v>10.0</v>
      </c>
      <c r="F2745" s="21" t="s">
        <v>2289</v>
      </c>
      <c r="G2745" s="19"/>
      <c r="H2745" s="19"/>
      <c r="I2745" s="19"/>
    </row>
    <row r="2746" ht="56.25" customHeight="1">
      <c r="A2746" s="21" t="s">
        <v>5855</v>
      </c>
      <c r="B2746" s="19" t="str">
        <f>image("https://storage.googleapis.com/acdb/photos/BromideNpcNmlPbr07_Remake_0_0.png")</f>
        <v/>
      </c>
      <c r="C2746" s="21" t="s">
        <v>219</v>
      </c>
      <c r="D2746" s="21" t="s">
        <v>51</v>
      </c>
      <c r="E2746" s="21">
        <v>10.0</v>
      </c>
      <c r="F2746" s="21" t="s">
        <v>2289</v>
      </c>
      <c r="G2746" s="19"/>
      <c r="H2746" s="19"/>
      <c r="I2746" s="19"/>
    </row>
    <row r="2747" ht="56.25" customHeight="1">
      <c r="A2747" s="21" t="s">
        <v>5855</v>
      </c>
      <c r="B2747" s="19" t="str">
        <f>image("https://storage.googleapis.com/acdb/photos/BromideNpcNmlPbr07_Remake_1_0.png")</f>
        <v/>
      </c>
      <c r="C2747" s="21" t="s">
        <v>795</v>
      </c>
      <c r="D2747" s="21" t="s">
        <v>51</v>
      </c>
      <c r="E2747" s="21">
        <v>10.0</v>
      </c>
      <c r="F2747" s="21" t="s">
        <v>2289</v>
      </c>
      <c r="G2747" s="19"/>
      <c r="H2747" s="19"/>
      <c r="I2747" s="19"/>
    </row>
    <row r="2748" ht="56.25" customHeight="1">
      <c r="A2748" s="21" t="s">
        <v>5855</v>
      </c>
      <c r="B2748" s="19" t="str">
        <f>image("https://storage.googleapis.com/acdb/photos/BromideNpcNmlPbr07_Remake_2_0.png")</f>
        <v/>
      </c>
      <c r="C2748" s="21" t="s">
        <v>954</v>
      </c>
      <c r="D2748" s="21" t="s">
        <v>51</v>
      </c>
      <c r="E2748" s="21">
        <v>10.0</v>
      </c>
      <c r="F2748" s="21" t="s">
        <v>2289</v>
      </c>
      <c r="G2748" s="19"/>
      <c r="H2748" s="19"/>
      <c r="I2748" s="19"/>
    </row>
    <row r="2749" ht="56.25" customHeight="1">
      <c r="A2749" s="21" t="s">
        <v>5855</v>
      </c>
      <c r="B2749" s="19" t="str">
        <f>image("https://storage.googleapis.com/acdb/photos/BromideNpcNmlPbr07_Remake_3_0.png")</f>
        <v/>
      </c>
      <c r="C2749" s="21" t="s">
        <v>82</v>
      </c>
      <c r="D2749" s="21" t="s">
        <v>51</v>
      </c>
      <c r="E2749" s="21">
        <v>10.0</v>
      </c>
      <c r="F2749" s="21" t="s">
        <v>2289</v>
      </c>
      <c r="G2749" s="19"/>
      <c r="H2749" s="19"/>
      <c r="I2749" s="19"/>
    </row>
    <row r="2750" ht="56.25" customHeight="1">
      <c r="A2750" s="21" t="s">
        <v>5855</v>
      </c>
      <c r="B2750" s="19" t="str">
        <f>image("https://storage.googleapis.com/acdb/photos/BromideNpcNmlPbr07_Remake_4_0.png")</f>
        <v/>
      </c>
      <c r="C2750" s="21" t="s">
        <v>833</v>
      </c>
      <c r="D2750" s="21" t="s">
        <v>51</v>
      </c>
      <c r="E2750" s="21">
        <v>10.0</v>
      </c>
      <c r="F2750" s="21" t="s">
        <v>2289</v>
      </c>
      <c r="G2750" s="19"/>
      <c r="H2750" s="19"/>
      <c r="I2750" s="19"/>
    </row>
    <row r="2751" ht="56.25" customHeight="1">
      <c r="A2751" s="21" t="s">
        <v>5855</v>
      </c>
      <c r="B2751" s="19" t="str">
        <f>image("https://storage.googleapis.com/acdb/photos/BromideNpcNmlPbr07_Remake_5_0.png")</f>
        <v/>
      </c>
      <c r="C2751" s="21" t="s">
        <v>258</v>
      </c>
      <c r="D2751" s="21" t="s">
        <v>51</v>
      </c>
      <c r="E2751" s="21">
        <v>10.0</v>
      </c>
      <c r="F2751" s="21" t="s">
        <v>2289</v>
      </c>
      <c r="G2751" s="19"/>
      <c r="H2751" s="19"/>
      <c r="I2751" s="19"/>
    </row>
    <row r="2752" ht="56.25" customHeight="1">
      <c r="A2752" s="21" t="s">
        <v>5855</v>
      </c>
      <c r="B2752" s="19" t="str">
        <f>image("https://storage.googleapis.com/acdb/photos/BromideNpcNmlPbr07_Remake_6_0.png")</f>
        <v/>
      </c>
      <c r="C2752" s="21" t="s">
        <v>182</v>
      </c>
      <c r="D2752" s="21" t="s">
        <v>51</v>
      </c>
      <c r="E2752" s="21">
        <v>10.0</v>
      </c>
      <c r="F2752" s="21" t="s">
        <v>2289</v>
      </c>
      <c r="G2752" s="19"/>
      <c r="H2752" s="19"/>
      <c r="I2752" s="19"/>
    </row>
    <row r="2753" ht="56.25" customHeight="1">
      <c r="A2753" s="21" t="s">
        <v>5855</v>
      </c>
      <c r="B2753" s="19" t="str">
        <f>image("https://storage.googleapis.com/acdb/photos/BromideNpcNmlPbr07_Remake_7_0.png")</f>
        <v/>
      </c>
      <c r="C2753" s="21" t="s">
        <v>187</v>
      </c>
      <c r="D2753" s="21" t="s">
        <v>51</v>
      </c>
      <c r="E2753" s="21">
        <v>10.0</v>
      </c>
      <c r="F2753" s="21" t="s">
        <v>2289</v>
      </c>
      <c r="G2753" s="19"/>
      <c r="H2753" s="19"/>
      <c r="I2753" s="19"/>
    </row>
    <row r="2754" ht="56.25" customHeight="1">
      <c r="A2754" s="21" t="s">
        <v>5881</v>
      </c>
      <c r="B2754" s="19" t="str">
        <f>image("https://storage.googleapis.com/acdb/photos/BromideNpcNmlCat13_Remake_0_0.png")</f>
        <v/>
      </c>
      <c r="C2754" s="21" t="s">
        <v>219</v>
      </c>
      <c r="D2754" s="21" t="s">
        <v>51</v>
      </c>
      <c r="E2754" s="21">
        <v>10.0</v>
      </c>
      <c r="F2754" s="21" t="s">
        <v>2289</v>
      </c>
      <c r="G2754" s="19"/>
      <c r="H2754" s="19"/>
      <c r="I2754" s="19"/>
    </row>
    <row r="2755" ht="56.25" customHeight="1">
      <c r="A2755" s="21" t="s">
        <v>5881</v>
      </c>
      <c r="B2755" s="19" t="str">
        <f>image("https://storage.googleapis.com/acdb/photos/BromideNpcNmlCat13_Remake_1_0.png")</f>
        <v/>
      </c>
      <c r="C2755" s="21" t="s">
        <v>795</v>
      </c>
      <c r="D2755" s="21" t="s">
        <v>51</v>
      </c>
      <c r="E2755" s="21">
        <v>10.0</v>
      </c>
      <c r="F2755" s="21" t="s">
        <v>2289</v>
      </c>
      <c r="G2755" s="19"/>
      <c r="H2755" s="19"/>
      <c r="I2755" s="19"/>
    </row>
    <row r="2756" ht="56.25" customHeight="1">
      <c r="A2756" s="21" t="s">
        <v>5881</v>
      </c>
      <c r="B2756" s="19" t="str">
        <f>image("https://storage.googleapis.com/acdb/photos/BromideNpcNmlCat13_Remake_2_0.png")</f>
        <v/>
      </c>
      <c r="C2756" s="21" t="s">
        <v>954</v>
      </c>
      <c r="D2756" s="21" t="s">
        <v>51</v>
      </c>
      <c r="E2756" s="21">
        <v>10.0</v>
      </c>
      <c r="F2756" s="21" t="s">
        <v>2289</v>
      </c>
      <c r="G2756" s="19"/>
      <c r="H2756" s="19"/>
      <c r="I2756" s="19"/>
    </row>
    <row r="2757" ht="56.25" customHeight="1">
      <c r="A2757" s="21" t="s">
        <v>5881</v>
      </c>
      <c r="B2757" s="19" t="str">
        <f>image("https://storage.googleapis.com/acdb/photos/BromideNpcNmlCat13_Remake_3_0.png")</f>
        <v/>
      </c>
      <c r="C2757" s="21" t="s">
        <v>82</v>
      </c>
      <c r="D2757" s="21" t="s">
        <v>51</v>
      </c>
      <c r="E2757" s="21">
        <v>10.0</v>
      </c>
      <c r="F2757" s="21" t="s">
        <v>2289</v>
      </c>
      <c r="G2757" s="19"/>
      <c r="H2757" s="19"/>
      <c r="I2757" s="19"/>
    </row>
    <row r="2758" ht="56.25" customHeight="1">
      <c r="A2758" s="21" t="s">
        <v>5881</v>
      </c>
      <c r="B2758" s="19" t="str">
        <f>image("https://storage.googleapis.com/acdb/photos/BromideNpcNmlCat13_Remake_4_0.png")</f>
        <v/>
      </c>
      <c r="C2758" s="21" t="s">
        <v>833</v>
      </c>
      <c r="D2758" s="21" t="s">
        <v>51</v>
      </c>
      <c r="E2758" s="21">
        <v>10.0</v>
      </c>
      <c r="F2758" s="21" t="s">
        <v>2289</v>
      </c>
      <c r="G2758" s="19"/>
      <c r="H2758" s="19"/>
      <c r="I2758" s="19"/>
    </row>
    <row r="2759" ht="56.25" customHeight="1">
      <c r="A2759" s="21" t="s">
        <v>5881</v>
      </c>
      <c r="B2759" s="19" t="str">
        <f>image("https://storage.googleapis.com/acdb/photos/BromideNpcNmlCat13_Remake_5_0.png")</f>
        <v/>
      </c>
      <c r="C2759" s="21" t="s">
        <v>258</v>
      </c>
      <c r="D2759" s="21" t="s">
        <v>51</v>
      </c>
      <c r="E2759" s="21">
        <v>10.0</v>
      </c>
      <c r="F2759" s="21" t="s">
        <v>2289</v>
      </c>
      <c r="G2759" s="19"/>
      <c r="H2759" s="19"/>
      <c r="I2759" s="19"/>
    </row>
    <row r="2760" ht="56.25" customHeight="1">
      <c r="A2760" s="21" t="s">
        <v>5881</v>
      </c>
      <c r="B2760" s="19" t="str">
        <f>image("https://storage.googleapis.com/acdb/photos/BromideNpcNmlCat13_Remake_6_0.png")</f>
        <v/>
      </c>
      <c r="C2760" s="21" t="s">
        <v>182</v>
      </c>
      <c r="D2760" s="21" t="s">
        <v>51</v>
      </c>
      <c r="E2760" s="21">
        <v>10.0</v>
      </c>
      <c r="F2760" s="21" t="s">
        <v>2289</v>
      </c>
      <c r="G2760" s="19"/>
      <c r="H2760" s="19"/>
      <c r="I2760" s="19"/>
    </row>
    <row r="2761" ht="56.25" customHeight="1">
      <c r="A2761" s="21" t="s">
        <v>5881</v>
      </c>
      <c r="B2761" s="19" t="str">
        <f>image("https://storage.googleapis.com/acdb/photos/BromideNpcNmlCat13_Remake_7_0.png")</f>
        <v/>
      </c>
      <c r="C2761" s="21" t="s">
        <v>187</v>
      </c>
      <c r="D2761" s="21" t="s">
        <v>51</v>
      </c>
      <c r="E2761" s="21">
        <v>10.0</v>
      </c>
      <c r="F2761" s="21" t="s">
        <v>2289</v>
      </c>
      <c r="G2761" s="19"/>
      <c r="H2761" s="19"/>
      <c r="I2761" s="19"/>
    </row>
    <row r="2762" ht="56.25" customHeight="1">
      <c r="A2762" s="21" t="s">
        <v>5898</v>
      </c>
      <c r="B2762" s="19" t="str">
        <f>image("https://storage.googleapis.com/acdb/photos/BromideNpcNmlCbr05_Remake_0_0.png")</f>
        <v/>
      </c>
      <c r="C2762" s="21" t="s">
        <v>219</v>
      </c>
      <c r="D2762" s="21" t="s">
        <v>51</v>
      </c>
      <c r="E2762" s="21">
        <v>10.0</v>
      </c>
      <c r="F2762" s="21" t="s">
        <v>2289</v>
      </c>
      <c r="G2762" s="19"/>
      <c r="H2762" s="19"/>
      <c r="I2762" s="19"/>
    </row>
    <row r="2763" ht="56.25" customHeight="1">
      <c r="A2763" s="21" t="s">
        <v>5898</v>
      </c>
      <c r="B2763" s="19" t="str">
        <f>image("https://storage.googleapis.com/acdb/photos/BromideNpcNmlCbr05_Remake_1_0.png")</f>
        <v/>
      </c>
      <c r="C2763" s="21" t="s">
        <v>795</v>
      </c>
      <c r="D2763" s="21" t="s">
        <v>51</v>
      </c>
      <c r="E2763" s="21">
        <v>10.0</v>
      </c>
      <c r="F2763" s="21" t="s">
        <v>2289</v>
      </c>
      <c r="G2763" s="19"/>
      <c r="H2763" s="19"/>
      <c r="I2763" s="19"/>
    </row>
    <row r="2764" ht="56.25" customHeight="1">
      <c r="A2764" s="21" t="s">
        <v>5898</v>
      </c>
      <c r="B2764" s="19" t="str">
        <f>image("https://storage.googleapis.com/acdb/photos/BromideNpcNmlCbr05_Remake_2_0.png")</f>
        <v/>
      </c>
      <c r="C2764" s="21" t="s">
        <v>954</v>
      </c>
      <c r="D2764" s="21" t="s">
        <v>51</v>
      </c>
      <c r="E2764" s="21">
        <v>10.0</v>
      </c>
      <c r="F2764" s="21" t="s">
        <v>2289</v>
      </c>
      <c r="G2764" s="19"/>
      <c r="H2764" s="19"/>
      <c r="I2764" s="19"/>
    </row>
    <row r="2765" ht="56.25" customHeight="1">
      <c r="A2765" s="21" t="s">
        <v>5898</v>
      </c>
      <c r="B2765" s="19" t="str">
        <f>image("https://storage.googleapis.com/acdb/photos/BromideNpcNmlCbr05_Remake_3_0.png")</f>
        <v/>
      </c>
      <c r="C2765" s="21" t="s">
        <v>82</v>
      </c>
      <c r="D2765" s="21" t="s">
        <v>51</v>
      </c>
      <c r="E2765" s="21">
        <v>10.0</v>
      </c>
      <c r="F2765" s="21" t="s">
        <v>2289</v>
      </c>
      <c r="G2765" s="19"/>
      <c r="H2765" s="19"/>
      <c r="I2765" s="19"/>
    </row>
    <row r="2766" ht="56.25" customHeight="1">
      <c r="A2766" s="21" t="s">
        <v>5898</v>
      </c>
      <c r="B2766" s="19" t="str">
        <f>image("https://storage.googleapis.com/acdb/photos/BromideNpcNmlCbr05_Remake_4_0.png")</f>
        <v/>
      </c>
      <c r="C2766" s="21" t="s">
        <v>833</v>
      </c>
      <c r="D2766" s="21" t="s">
        <v>51</v>
      </c>
      <c r="E2766" s="21">
        <v>10.0</v>
      </c>
      <c r="F2766" s="21" t="s">
        <v>2289</v>
      </c>
      <c r="G2766" s="19"/>
      <c r="H2766" s="19"/>
      <c r="I2766" s="19"/>
    </row>
    <row r="2767" ht="56.25" customHeight="1">
      <c r="A2767" s="21" t="s">
        <v>5898</v>
      </c>
      <c r="B2767" s="19" t="str">
        <f>image("https://storage.googleapis.com/acdb/photos/BromideNpcNmlCbr05_Remake_5_0.png")</f>
        <v/>
      </c>
      <c r="C2767" s="21" t="s">
        <v>258</v>
      </c>
      <c r="D2767" s="21" t="s">
        <v>51</v>
      </c>
      <c r="E2767" s="21">
        <v>10.0</v>
      </c>
      <c r="F2767" s="21" t="s">
        <v>2289</v>
      </c>
      <c r="G2767" s="19"/>
      <c r="H2767" s="19"/>
      <c r="I2767" s="19"/>
    </row>
    <row r="2768" ht="56.25" customHeight="1">
      <c r="A2768" s="21" t="s">
        <v>5898</v>
      </c>
      <c r="B2768" s="19" t="str">
        <f>image("https://storage.googleapis.com/acdb/photos/BromideNpcNmlCbr05_Remake_6_0.png")</f>
        <v/>
      </c>
      <c r="C2768" s="21" t="s">
        <v>182</v>
      </c>
      <c r="D2768" s="21" t="s">
        <v>51</v>
      </c>
      <c r="E2768" s="21">
        <v>10.0</v>
      </c>
      <c r="F2768" s="21" t="s">
        <v>2289</v>
      </c>
      <c r="G2768" s="19"/>
      <c r="H2768" s="19"/>
      <c r="I2768" s="19"/>
    </row>
    <row r="2769" ht="56.25" customHeight="1">
      <c r="A2769" s="21" t="s">
        <v>5898</v>
      </c>
      <c r="B2769" s="19" t="str">
        <f>image("https://storage.googleapis.com/acdb/photos/BromideNpcNmlCbr05_Remake_7_0.png")</f>
        <v/>
      </c>
      <c r="C2769" s="21" t="s">
        <v>187</v>
      </c>
      <c r="D2769" s="21" t="s">
        <v>51</v>
      </c>
      <c r="E2769" s="21">
        <v>10.0</v>
      </c>
      <c r="F2769" s="21" t="s">
        <v>2289</v>
      </c>
      <c r="G2769" s="19"/>
      <c r="H2769" s="19"/>
      <c r="I2769" s="19"/>
    </row>
    <row r="2770" ht="56.25" customHeight="1">
      <c r="A2770" s="21" t="s">
        <v>5934</v>
      </c>
      <c r="B2770" s="19" t="str">
        <f>image("https://storage.googleapis.com/acdb/photos/BromideNpcNmlBul03_Remake_0_0.png")</f>
        <v/>
      </c>
      <c r="C2770" s="21" t="s">
        <v>219</v>
      </c>
      <c r="D2770" s="21" t="s">
        <v>51</v>
      </c>
      <c r="E2770" s="21">
        <v>10.0</v>
      </c>
      <c r="F2770" s="21" t="s">
        <v>2289</v>
      </c>
      <c r="G2770" s="19"/>
      <c r="H2770" s="19"/>
      <c r="I2770" s="19"/>
    </row>
    <row r="2771" ht="56.25" customHeight="1">
      <c r="A2771" s="21" t="s">
        <v>5934</v>
      </c>
      <c r="B2771" s="19" t="str">
        <f>image("https://storage.googleapis.com/acdb/photos/BromideNpcNmlBul03_Remake_1_0.png")</f>
        <v/>
      </c>
      <c r="C2771" s="21" t="s">
        <v>795</v>
      </c>
      <c r="D2771" s="21" t="s">
        <v>51</v>
      </c>
      <c r="E2771" s="21">
        <v>10.0</v>
      </c>
      <c r="F2771" s="21" t="s">
        <v>2289</v>
      </c>
      <c r="G2771" s="19"/>
      <c r="H2771" s="19"/>
      <c r="I2771" s="19"/>
    </row>
    <row r="2772" ht="56.25" customHeight="1">
      <c r="A2772" s="21" t="s">
        <v>5934</v>
      </c>
      <c r="B2772" s="19" t="str">
        <f>image("https://storage.googleapis.com/acdb/photos/BromideNpcNmlBul03_Remake_2_0.png")</f>
        <v/>
      </c>
      <c r="C2772" s="21" t="s">
        <v>954</v>
      </c>
      <c r="D2772" s="21" t="s">
        <v>51</v>
      </c>
      <c r="E2772" s="21">
        <v>10.0</v>
      </c>
      <c r="F2772" s="21" t="s">
        <v>2289</v>
      </c>
      <c r="G2772" s="19"/>
      <c r="H2772" s="19"/>
      <c r="I2772" s="19"/>
    </row>
    <row r="2773" ht="56.25" customHeight="1">
      <c r="A2773" s="21" t="s">
        <v>5934</v>
      </c>
      <c r="B2773" s="19" t="str">
        <f>image("https://storage.googleapis.com/acdb/photos/BromideNpcNmlBul03_Remake_3_0.png")</f>
        <v/>
      </c>
      <c r="C2773" s="21" t="s">
        <v>82</v>
      </c>
      <c r="D2773" s="21" t="s">
        <v>51</v>
      </c>
      <c r="E2773" s="21">
        <v>10.0</v>
      </c>
      <c r="F2773" s="21" t="s">
        <v>2289</v>
      </c>
      <c r="G2773" s="19"/>
      <c r="H2773" s="19"/>
      <c r="I2773" s="19"/>
    </row>
    <row r="2774" ht="56.25" customHeight="1">
      <c r="A2774" s="21" t="s">
        <v>5934</v>
      </c>
      <c r="B2774" s="19" t="str">
        <f>image("https://storage.googleapis.com/acdb/photos/BromideNpcNmlBul03_Remake_4_0.png")</f>
        <v/>
      </c>
      <c r="C2774" s="21" t="s">
        <v>833</v>
      </c>
      <c r="D2774" s="21" t="s">
        <v>51</v>
      </c>
      <c r="E2774" s="21">
        <v>10.0</v>
      </c>
      <c r="F2774" s="21" t="s">
        <v>2289</v>
      </c>
      <c r="G2774" s="19"/>
      <c r="H2774" s="19"/>
      <c r="I2774" s="19"/>
    </row>
    <row r="2775" ht="56.25" customHeight="1">
      <c r="A2775" s="21" t="s">
        <v>5934</v>
      </c>
      <c r="B2775" s="19" t="str">
        <f>image("https://storage.googleapis.com/acdb/photos/BromideNpcNmlBul03_Remake_5_0.png")</f>
        <v/>
      </c>
      <c r="C2775" s="21" t="s">
        <v>258</v>
      </c>
      <c r="D2775" s="21" t="s">
        <v>51</v>
      </c>
      <c r="E2775" s="21">
        <v>10.0</v>
      </c>
      <c r="F2775" s="21" t="s">
        <v>2289</v>
      </c>
      <c r="G2775" s="19"/>
      <c r="H2775" s="19"/>
      <c r="I2775" s="19"/>
    </row>
    <row r="2776" ht="56.25" customHeight="1">
      <c r="A2776" s="21" t="s">
        <v>5934</v>
      </c>
      <c r="B2776" s="19" t="str">
        <f>image("https://storage.googleapis.com/acdb/photos/BromideNpcNmlBul03_Remake_6_0.png")</f>
        <v/>
      </c>
      <c r="C2776" s="21" t="s">
        <v>182</v>
      </c>
      <c r="D2776" s="21" t="s">
        <v>51</v>
      </c>
      <c r="E2776" s="21">
        <v>10.0</v>
      </c>
      <c r="F2776" s="21" t="s">
        <v>2289</v>
      </c>
      <c r="G2776" s="19"/>
      <c r="H2776" s="19"/>
      <c r="I2776" s="19"/>
    </row>
    <row r="2777" ht="56.25" customHeight="1">
      <c r="A2777" s="21" t="s">
        <v>5934</v>
      </c>
      <c r="B2777" s="19" t="str">
        <f>image("https://storage.googleapis.com/acdb/photos/BromideNpcNmlBul03_Remake_7_0.png")</f>
        <v/>
      </c>
      <c r="C2777" s="21" t="s">
        <v>187</v>
      </c>
      <c r="D2777" s="21" t="s">
        <v>51</v>
      </c>
      <c r="E2777" s="21">
        <v>10.0</v>
      </c>
      <c r="F2777" s="21" t="s">
        <v>2289</v>
      </c>
      <c r="G2777" s="19"/>
      <c r="H2777" s="19"/>
      <c r="I2777" s="19"/>
    </row>
    <row r="2778" ht="56.25" customHeight="1">
      <c r="A2778" s="21" t="s">
        <v>5967</v>
      </c>
      <c r="B2778" s="19" t="str">
        <f>image("https://storage.googleapis.com/acdb/photos/BromideNpcNmlKal03_Remake_0_0.png")</f>
        <v/>
      </c>
      <c r="C2778" s="21" t="s">
        <v>219</v>
      </c>
      <c r="D2778" s="21" t="s">
        <v>51</v>
      </c>
      <c r="E2778" s="21">
        <v>10.0</v>
      </c>
      <c r="F2778" s="21" t="s">
        <v>2289</v>
      </c>
      <c r="G2778" s="19"/>
      <c r="H2778" s="19"/>
      <c r="I2778" s="19"/>
    </row>
    <row r="2779" ht="56.25" customHeight="1">
      <c r="A2779" s="21" t="s">
        <v>5967</v>
      </c>
      <c r="B2779" s="19" t="str">
        <f>image("https://storage.googleapis.com/acdb/photos/BromideNpcNmlKal03_Remake_1_0.png")</f>
        <v/>
      </c>
      <c r="C2779" s="21" t="s">
        <v>795</v>
      </c>
      <c r="D2779" s="21" t="s">
        <v>51</v>
      </c>
      <c r="E2779" s="21">
        <v>10.0</v>
      </c>
      <c r="F2779" s="21" t="s">
        <v>2289</v>
      </c>
      <c r="G2779" s="19"/>
      <c r="H2779" s="19"/>
      <c r="I2779" s="19"/>
    </row>
    <row r="2780" ht="56.25" customHeight="1">
      <c r="A2780" s="21" t="s">
        <v>5967</v>
      </c>
      <c r="B2780" s="19" t="str">
        <f>image("https://storage.googleapis.com/acdb/photos/BromideNpcNmlKal03_Remake_2_0.png")</f>
        <v/>
      </c>
      <c r="C2780" s="21" t="s">
        <v>954</v>
      </c>
      <c r="D2780" s="21" t="s">
        <v>51</v>
      </c>
      <c r="E2780" s="21">
        <v>10.0</v>
      </c>
      <c r="F2780" s="21" t="s">
        <v>2289</v>
      </c>
      <c r="G2780" s="19"/>
      <c r="H2780" s="19"/>
      <c r="I2780" s="19"/>
    </row>
    <row r="2781" ht="56.25" customHeight="1">
      <c r="A2781" s="21" t="s">
        <v>5967</v>
      </c>
      <c r="B2781" s="19" t="str">
        <f>image("https://storage.googleapis.com/acdb/photos/BromideNpcNmlKal03_Remake_3_0.png")</f>
        <v/>
      </c>
      <c r="C2781" s="21" t="s">
        <v>82</v>
      </c>
      <c r="D2781" s="21" t="s">
        <v>51</v>
      </c>
      <c r="E2781" s="21">
        <v>10.0</v>
      </c>
      <c r="F2781" s="21" t="s">
        <v>2289</v>
      </c>
      <c r="G2781" s="19"/>
      <c r="H2781" s="19"/>
      <c r="I2781" s="19"/>
    </row>
    <row r="2782" ht="56.25" customHeight="1">
      <c r="A2782" s="21" t="s">
        <v>5967</v>
      </c>
      <c r="B2782" s="19" t="str">
        <f>image("https://storage.googleapis.com/acdb/photos/BromideNpcNmlKal03_Remake_4_0.png")</f>
        <v/>
      </c>
      <c r="C2782" s="21" t="s">
        <v>833</v>
      </c>
      <c r="D2782" s="21" t="s">
        <v>51</v>
      </c>
      <c r="E2782" s="21">
        <v>10.0</v>
      </c>
      <c r="F2782" s="21" t="s">
        <v>2289</v>
      </c>
      <c r="G2782" s="19"/>
      <c r="H2782" s="19"/>
      <c r="I2782" s="19"/>
    </row>
    <row r="2783" ht="56.25" customHeight="1">
      <c r="A2783" s="21" t="s">
        <v>5967</v>
      </c>
      <c r="B2783" s="19" t="str">
        <f>image("https://storage.googleapis.com/acdb/photos/BromideNpcNmlKal03_Remake_5_0.png")</f>
        <v/>
      </c>
      <c r="C2783" s="21" t="s">
        <v>258</v>
      </c>
      <c r="D2783" s="21" t="s">
        <v>51</v>
      </c>
      <c r="E2783" s="21">
        <v>10.0</v>
      </c>
      <c r="F2783" s="21" t="s">
        <v>2289</v>
      </c>
      <c r="G2783" s="19"/>
      <c r="H2783" s="19"/>
      <c r="I2783" s="19"/>
    </row>
    <row r="2784" ht="56.25" customHeight="1">
      <c r="A2784" s="21" t="s">
        <v>5967</v>
      </c>
      <c r="B2784" s="19" t="str">
        <f>image("https://storage.googleapis.com/acdb/photos/BromideNpcNmlKal03_Remake_6_0.png")</f>
        <v/>
      </c>
      <c r="C2784" s="21" t="s">
        <v>182</v>
      </c>
      <c r="D2784" s="21" t="s">
        <v>51</v>
      </c>
      <c r="E2784" s="21">
        <v>10.0</v>
      </c>
      <c r="F2784" s="21" t="s">
        <v>2289</v>
      </c>
      <c r="G2784" s="19"/>
      <c r="H2784" s="19"/>
      <c r="I2784" s="19"/>
    </row>
    <row r="2785" ht="56.25" customHeight="1">
      <c r="A2785" s="21" t="s">
        <v>5967</v>
      </c>
      <c r="B2785" s="19" t="str">
        <f>image("https://storage.googleapis.com/acdb/photos/BromideNpcNmlKal03_Remake_7_0.png")</f>
        <v/>
      </c>
      <c r="C2785" s="21" t="s">
        <v>187</v>
      </c>
      <c r="D2785" s="21" t="s">
        <v>51</v>
      </c>
      <c r="E2785" s="21">
        <v>10.0</v>
      </c>
      <c r="F2785" s="21" t="s">
        <v>2289</v>
      </c>
      <c r="G2785" s="19"/>
      <c r="H2785" s="19"/>
      <c r="I2785" s="19"/>
    </row>
    <row r="2786" ht="56.25" customHeight="1">
      <c r="A2786" s="21" t="s">
        <v>6001</v>
      </c>
      <c r="B2786" s="19" t="str">
        <f>image("https://storage.googleapis.com/acdb/photos/BromideNpcNmlSqu14_Remake_0_0.png")</f>
        <v/>
      </c>
      <c r="C2786" s="21" t="s">
        <v>219</v>
      </c>
      <c r="D2786" s="21" t="s">
        <v>51</v>
      </c>
      <c r="E2786" s="21">
        <v>10.0</v>
      </c>
      <c r="F2786" s="21" t="s">
        <v>2289</v>
      </c>
      <c r="G2786" s="19"/>
      <c r="H2786" s="19"/>
      <c r="I2786" s="19"/>
    </row>
    <row r="2787" ht="56.25" customHeight="1">
      <c r="A2787" s="21" t="s">
        <v>6001</v>
      </c>
      <c r="B2787" s="19" t="str">
        <f>image("https://storage.googleapis.com/acdb/photos/BromideNpcNmlSqu14_Remake_1_0.png")</f>
        <v/>
      </c>
      <c r="C2787" s="21" t="s">
        <v>795</v>
      </c>
      <c r="D2787" s="21" t="s">
        <v>51</v>
      </c>
      <c r="E2787" s="21">
        <v>10.0</v>
      </c>
      <c r="F2787" s="21" t="s">
        <v>2289</v>
      </c>
      <c r="G2787" s="19"/>
      <c r="H2787" s="19"/>
      <c r="I2787" s="19"/>
    </row>
    <row r="2788" ht="56.25" customHeight="1">
      <c r="A2788" s="21" t="s">
        <v>6001</v>
      </c>
      <c r="B2788" s="19" t="str">
        <f>image("https://storage.googleapis.com/acdb/photos/BromideNpcNmlSqu14_Remake_2_0.png")</f>
        <v/>
      </c>
      <c r="C2788" s="21" t="s">
        <v>954</v>
      </c>
      <c r="D2788" s="21" t="s">
        <v>51</v>
      </c>
      <c r="E2788" s="21">
        <v>10.0</v>
      </c>
      <c r="F2788" s="21" t="s">
        <v>2289</v>
      </c>
      <c r="G2788" s="19"/>
      <c r="H2788" s="19"/>
      <c r="I2788" s="19"/>
    </row>
    <row r="2789" ht="56.25" customHeight="1">
      <c r="A2789" s="21" t="s">
        <v>6001</v>
      </c>
      <c r="B2789" s="19" t="str">
        <f>image("https://storage.googleapis.com/acdb/photos/BromideNpcNmlSqu14_Remake_3_0.png")</f>
        <v/>
      </c>
      <c r="C2789" s="21" t="s">
        <v>82</v>
      </c>
      <c r="D2789" s="21" t="s">
        <v>51</v>
      </c>
      <c r="E2789" s="21">
        <v>10.0</v>
      </c>
      <c r="F2789" s="21" t="s">
        <v>2289</v>
      </c>
      <c r="G2789" s="19"/>
      <c r="H2789" s="19"/>
      <c r="I2789" s="19"/>
    </row>
    <row r="2790" ht="56.25" customHeight="1">
      <c r="A2790" s="21" t="s">
        <v>6001</v>
      </c>
      <c r="B2790" s="19" t="str">
        <f>image("https://storage.googleapis.com/acdb/photos/BromideNpcNmlSqu14_Remake_4_0.png")</f>
        <v/>
      </c>
      <c r="C2790" s="21" t="s">
        <v>833</v>
      </c>
      <c r="D2790" s="21" t="s">
        <v>51</v>
      </c>
      <c r="E2790" s="21">
        <v>10.0</v>
      </c>
      <c r="F2790" s="21" t="s">
        <v>2289</v>
      </c>
      <c r="G2790" s="19"/>
      <c r="H2790" s="19"/>
      <c r="I2790" s="19"/>
    </row>
    <row r="2791" ht="56.25" customHeight="1">
      <c r="A2791" s="21" t="s">
        <v>6001</v>
      </c>
      <c r="B2791" s="19" t="str">
        <f>image("https://storage.googleapis.com/acdb/photos/BromideNpcNmlSqu14_Remake_5_0.png")</f>
        <v/>
      </c>
      <c r="C2791" s="21" t="s">
        <v>258</v>
      </c>
      <c r="D2791" s="21" t="s">
        <v>51</v>
      </c>
      <c r="E2791" s="21">
        <v>10.0</v>
      </c>
      <c r="F2791" s="21" t="s">
        <v>2289</v>
      </c>
      <c r="G2791" s="19"/>
      <c r="H2791" s="19"/>
      <c r="I2791" s="19"/>
    </row>
    <row r="2792" ht="56.25" customHeight="1">
      <c r="A2792" s="21" t="s">
        <v>6001</v>
      </c>
      <c r="B2792" s="19" t="str">
        <f>image("https://storage.googleapis.com/acdb/photos/BromideNpcNmlSqu14_Remake_6_0.png")</f>
        <v/>
      </c>
      <c r="C2792" s="21" t="s">
        <v>182</v>
      </c>
      <c r="D2792" s="21" t="s">
        <v>51</v>
      </c>
      <c r="E2792" s="21">
        <v>10.0</v>
      </c>
      <c r="F2792" s="21" t="s">
        <v>2289</v>
      </c>
      <c r="G2792" s="19"/>
      <c r="H2792" s="19"/>
      <c r="I2792" s="19"/>
    </row>
    <row r="2793" ht="56.25" customHeight="1">
      <c r="A2793" s="21" t="s">
        <v>6001</v>
      </c>
      <c r="B2793" s="19" t="str">
        <f>image("https://storage.googleapis.com/acdb/photos/BromideNpcNmlSqu14_Remake_7_0.png")</f>
        <v/>
      </c>
      <c r="C2793" s="21" t="s">
        <v>187</v>
      </c>
      <c r="D2793" s="21" t="s">
        <v>51</v>
      </c>
      <c r="E2793" s="21">
        <v>10.0</v>
      </c>
      <c r="F2793" s="21" t="s">
        <v>2289</v>
      </c>
      <c r="G2793" s="19"/>
      <c r="H2793" s="19"/>
      <c r="I2793" s="19"/>
    </row>
    <row r="2794" ht="56.25" customHeight="1">
      <c r="A2794" s="21" t="s">
        <v>6035</v>
      </c>
      <c r="B2794" s="19" t="str">
        <f>image("https://storage.googleapis.com/acdb/photos/BromideNpcNmlKgr06_Remake_0_0.png")</f>
        <v/>
      </c>
      <c r="C2794" s="21" t="s">
        <v>219</v>
      </c>
      <c r="D2794" s="21" t="s">
        <v>51</v>
      </c>
      <c r="E2794" s="21">
        <v>10.0</v>
      </c>
      <c r="F2794" s="21" t="s">
        <v>2289</v>
      </c>
      <c r="G2794" s="19"/>
      <c r="H2794" s="19"/>
      <c r="I2794" s="19"/>
    </row>
    <row r="2795" ht="56.25" customHeight="1">
      <c r="A2795" s="21" t="s">
        <v>6035</v>
      </c>
      <c r="B2795" s="19" t="str">
        <f>image("https://storage.googleapis.com/acdb/photos/BromideNpcNmlKgr06_Remake_1_0.png")</f>
        <v/>
      </c>
      <c r="C2795" s="21" t="s">
        <v>795</v>
      </c>
      <c r="D2795" s="21" t="s">
        <v>51</v>
      </c>
      <c r="E2795" s="21">
        <v>10.0</v>
      </c>
      <c r="F2795" s="21" t="s">
        <v>2289</v>
      </c>
      <c r="G2795" s="19"/>
      <c r="H2795" s="19"/>
      <c r="I2795" s="19"/>
    </row>
    <row r="2796" ht="56.25" customHeight="1">
      <c r="A2796" s="21" t="s">
        <v>6035</v>
      </c>
      <c r="B2796" s="19" t="str">
        <f>image("https://storage.googleapis.com/acdb/photos/BromideNpcNmlKgr06_Remake_2_0.png")</f>
        <v/>
      </c>
      <c r="C2796" s="21" t="s">
        <v>954</v>
      </c>
      <c r="D2796" s="21" t="s">
        <v>51</v>
      </c>
      <c r="E2796" s="21">
        <v>10.0</v>
      </c>
      <c r="F2796" s="21" t="s">
        <v>2289</v>
      </c>
      <c r="G2796" s="19"/>
      <c r="H2796" s="19"/>
      <c r="I2796" s="19"/>
    </row>
    <row r="2797" ht="56.25" customHeight="1">
      <c r="A2797" s="21" t="s">
        <v>6035</v>
      </c>
      <c r="B2797" s="19" t="str">
        <f>image("https://storage.googleapis.com/acdb/photos/BromideNpcNmlKgr06_Remake_3_0.png")</f>
        <v/>
      </c>
      <c r="C2797" s="21" t="s">
        <v>82</v>
      </c>
      <c r="D2797" s="21" t="s">
        <v>51</v>
      </c>
      <c r="E2797" s="21">
        <v>10.0</v>
      </c>
      <c r="F2797" s="21" t="s">
        <v>2289</v>
      </c>
      <c r="G2797" s="19"/>
      <c r="H2797" s="19"/>
      <c r="I2797" s="19"/>
    </row>
    <row r="2798" ht="56.25" customHeight="1">
      <c r="A2798" s="21" t="s">
        <v>6035</v>
      </c>
      <c r="B2798" s="19" t="str">
        <f>image("https://storage.googleapis.com/acdb/photos/BromideNpcNmlKgr06_Remake_4_0.png")</f>
        <v/>
      </c>
      <c r="C2798" s="21" t="s">
        <v>833</v>
      </c>
      <c r="D2798" s="21" t="s">
        <v>51</v>
      </c>
      <c r="E2798" s="21">
        <v>10.0</v>
      </c>
      <c r="F2798" s="21" t="s">
        <v>2289</v>
      </c>
      <c r="G2798" s="19"/>
      <c r="H2798" s="19"/>
      <c r="I2798" s="19"/>
    </row>
    <row r="2799" ht="56.25" customHeight="1">
      <c r="A2799" s="21" t="s">
        <v>6035</v>
      </c>
      <c r="B2799" s="19" t="str">
        <f>image("https://storage.googleapis.com/acdb/photos/BromideNpcNmlKgr06_Remake_5_0.png")</f>
        <v/>
      </c>
      <c r="C2799" s="21" t="s">
        <v>258</v>
      </c>
      <c r="D2799" s="21" t="s">
        <v>51</v>
      </c>
      <c r="E2799" s="21">
        <v>10.0</v>
      </c>
      <c r="F2799" s="21" t="s">
        <v>2289</v>
      </c>
      <c r="G2799" s="19"/>
      <c r="H2799" s="19"/>
      <c r="I2799" s="19"/>
    </row>
    <row r="2800" ht="56.25" customHeight="1">
      <c r="A2800" s="21" t="s">
        <v>6035</v>
      </c>
      <c r="B2800" s="19" t="str">
        <f>image("https://storage.googleapis.com/acdb/photos/BromideNpcNmlKgr06_Remake_6_0.png")</f>
        <v/>
      </c>
      <c r="C2800" s="21" t="s">
        <v>182</v>
      </c>
      <c r="D2800" s="21" t="s">
        <v>51</v>
      </c>
      <c r="E2800" s="21">
        <v>10.0</v>
      </c>
      <c r="F2800" s="21" t="s">
        <v>2289</v>
      </c>
      <c r="G2800" s="19"/>
      <c r="H2800" s="19"/>
      <c r="I2800" s="19"/>
    </row>
    <row r="2801" ht="56.25" customHeight="1">
      <c r="A2801" s="21" t="s">
        <v>6035</v>
      </c>
      <c r="B2801" s="19" t="str">
        <f>image("https://storage.googleapis.com/acdb/photos/BromideNpcNmlKgr06_Remake_7_0.png")</f>
        <v/>
      </c>
      <c r="C2801" s="21" t="s">
        <v>187</v>
      </c>
      <c r="D2801" s="21" t="s">
        <v>51</v>
      </c>
      <c r="E2801" s="21">
        <v>10.0</v>
      </c>
      <c r="F2801" s="21" t="s">
        <v>2289</v>
      </c>
      <c r="G2801" s="19"/>
      <c r="H2801" s="19"/>
      <c r="I2801" s="19"/>
    </row>
    <row r="2802" ht="56.25" customHeight="1">
      <c r="A2802" s="21" t="s">
        <v>6072</v>
      </c>
      <c r="B2802" s="19" t="str">
        <f>image("https://storage.googleapis.com/acdb/photos/BromideNpcNmlBul05_Remake_0_0.png")</f>
        <v/>
      </c>
      <c r="C2802" s="21" t="s">
        <v>219</v>
      </c>
      <c r="D2802" s="21" t="s">
        <v>51</v>
      </c>
      <c r="E2802" s="21">
        <v>10.0</v>
      </c>
      <c r="F2802" s="21" t="s">
        <v>2289</v>
      </c>
      <c r="G2802" s="19"/>
      <c r="H2802" s="19"/>
      <c r="I2802" s="19"/>
    </row>
    <row r="2803" ht="56.25" customHeight="1">
      <c r="A2803" s="21" t="s">
        <v>6072</v>
      </c>
      <c r="B2803" s="19" t="str">
        <f>image("https://storage.googleapis.com/acdb/photos/BromideNpcNmlBul05_Remake_1_0.png")</f>
        <v/>
      </c>
      <c r="C2803" s="21" t="s">
        <v>795</v>
      </c>
      <c r="D2803" s="21" t="s">
        <v>51</v>
      </c>
      <c r="E2803" s="21">
        <v>10.0</v>
      </c>
      <c r="F2803" s="21" t="s">
        <v>2289</v>
      </c>
      <c r="G2803" s="19"/>
      <c r="H2803" s="19"/>
      <c r="I2803" s="19"/>
    </row>
    <row r="2804" ht="56.25" customHeight="1">
      <c r="A2804" s="21" t="s">
        <v>6072</v>
      </c>
      <c r="B2804" s="19" t="str">
        <f>image("https://storage.googleapis.com/acdb/photos/BromideNpcNmlBul05_Remake_2_0.png")</f>
        <v/>
      </c>
      <c r="C2804" s="21" t="s">
        <v>954</v>
      </c>
      <c r="D2804" s="21" t="s">
        <v>51</v>
      </c>
      <c r="E2804" s="21">
        <v>10.0</v>
      </c>
      <c r="F2804" s="21" t="s">
        <v>2289</v>
      </c>
      <c r="G2804" s="19"/>
      <c r="H2804" s="19"/>
      <c r="I2804" s="19"/>
    </row>
    <row r="2805" ht="56.25" customHeight="1">
      <c r="A2805" s="21" t="s">
        <v>6072</v>
      </c>
      <c r="B2805" s="19" t="str">
        <f>image("https://storage.googleapis.com/acdb/photos/BromideNpcNmlBul05_Remake_3_0.png")</f>
        <v/>
      </c>
      <c r="C2805" s="21" t="s">
        <v>82</v>
      </c>
      <c r="D2805" s="21" t="s">
        <v>51</v>
      </c>
      <c r="E2805" s="21">
        <v>10.0</v>
      </c>
      <c r="F2805" s="21" t="s">
        <v>2289</v>
      </c>
      <c r="G2805" s="19"/>
      <c r="H2805" s="19"/>
      <c r="I2805" s="19"/>
    </row>
    <row r="2806" ht="56.25" customHeight="1">
      <c r="A2806" s="21" t="s">
        <v>6072</v>
      </c>
      <c r="B2806" s="19" t="str">
        <f>image("https://storage.googleapis.com/acdb/photos/BromideNpcNmlBul05_Remake_4_0.png")</f>
        <v/>
      </c>
      <c r="C2806" s="21" t="s">
        <v>833</v>
      </c>
      <c r="D2806" s="21" t="s">
        <v>51</v>
      </c>
      <c r="E2806" s="21">
        <v>10.0</v>
      </c>
      <c r="F2806" s="21" t="s">
        <v>2289</v>
      </c>
      <c r="G2806" s="19"/>
      <c r="H2806" s="19"/>
      <c r="I2806" s="19"/>
    </row>
    <row r="2807" ht="56.25" customHeight="1">
      <c r="A2807" s="21" t="s">
        <v>6072</v>
      </c>
      <c r="B2807" s="19" t="str">
        <f>image("https://storage.googleapis.com/acdb/photos/BromideNpcNmlBul05_Remake_5_0.png")</f>
        <v/>
      </c>
      <c r="C2807" s="21" t="s">
        <v>258</v>
      </c>
      <c r="D2807" s="21" t="s">
        <v>51</v>
      </c>
      <c r="E2807" s="21">
        <v>10.0</v>
      </c>
      <c r="F2807" s="21" t="s">
        <v>2289</v>
      </c>
      <c r="G2807" s="19"/>
      <c r="H2807" s="19"/>
      <c r="I2807" s="19"/>
    </row>
    <row r="2808" ht="56.25" customHeight="1">
      <c r="A2808" s="21" t="s">
        <v>6072</v>
      </c>
      <c r="B2808" s="19" t="str">
        <f>image("https://storage.googleapis.com/acdb/photos/BromideNpcNmlBul05_Remake_6_0.png")</f>
        <v/>
      </c>
      <c r="C2808" s="21" t="s">
        <v>182</v>
      </c>
      <c r="D2808" s="21" t="s">
        <v>51</v>
      </c>
      <c r="E2808" s="21">
        <v>10.0</v>
      </c>
      <c r="F2808" s="21" t="s">
        <v>2289</v>
      </c>
      <c r="G2808" s="19"/>
      <c r="H2808" s="19"/>
      <c r="I2808" s="19"/>
    </row>
    <row r="2809" ht="56.25" customHeight="1">
      <c r="A2809" s="21" t="s">
        <v>6072</v>
      </c>
      <c r="B2809" s="19" t="str">
        <f>image("https://storage.googleapis.com/acdb/photos/BromideNpcNmlBul05_Remake_7_0.png")</f>
        <v/>
      </c>
      <c r="C2809" s="21" t="s">
        <v>187</v>
      </c>
      <c r="D2809" s="21" t="s">
        <v>51</v>
      </c>
      <c r="E2809" s="21">
        <v>10.0</v>
      </c>
      <c r="F2809" s="21" t="s">
        <v>2289</v>
      </c>
      <c r="G2809" s="19"/>
      <c r="H2809" s="19"/>
      <c r="I2809" s="19"/>
    </row>
    <row r="2810" ht="56.25" customHeight="1">
      <c r="A2810" s="21" t="s">
        <v>6087</v>
      </c>
      <c r="B2810" s="19" t="str">
        <f>image("https://storage.googleapis.com/acdb/photos/BromideNpcNmlCat12_Remake_0_0.png")</f>
        <v/>
      </c>
      <c r="C2810" s="21" t="s">
        <v>219</v>
      </c>
      <c r="D2810" s="21" t="s">
        <v>51</v>
      </c>
      <c r="E2810" s="21">
        <v>10.0</v>
      </c>
      <c r="F2810" s="21" t="s">
        <v>2289</v>
      </c>
      <c r="G2810" s="19"/>
      <c r="H2810" s="19"/>
      <c r="I2810" s="19"/>
    </row>
    <row r="2811" ht="56.25" customHeight="1">
      <c r="A2811" s="21" t="s">
        <v>6087</v>
      </c>
      <c r="B2811" s="19" t="str">
        <f>image("https://storage.googleapis.com/acdb/photos/BromideNpcNmlCat12_Remake_1_0.png")</f>
        <v/>
      </c>
      <c r="C2811" s="21" t="s">
        <v>795</v>
      </c>
      <c r="D2811" s="21" t="s">
        <v>51</v>
      </c>
      <c r="E2811" s="21">
        <v>10.0</v>
      </c>
      <c r="F2811" s="21" t="s">
        <v>2289</v>
      </c>
      <c r="G2811" s="19"/>
      <c r="H2811" s="19"/>
      <c r="I2811" s="19"/>
    </row>
    <row r="2812" ht="56.25" customHeight="1">
      <c r="A2812" s="21" t="s">
        <v>6087</v>
      </c>
      <c r="B2812" s="19" t="str">
        <f>image("https://storage.googleapis.com/acdb/photos/BromideNpcNmlCat12_Remake_2_0.png")</f>
        <v/>
      </c>
      <c r="C2812" s="21" t="s">
        <v>954</v>
      </c>
      <c r="D2812" s="21" t="s">
        <v>51</v>
      </c>
      <c r="E2812" s="21">
        <v>10.0</v>
      </c>
      <c r="F2812" s="21" t="s">
        <v>2289</v>
      </c>
      <c r="G2812" s="19"/>
      <c r="H2812" s="19"/>
      <c r="I2812" s="19"/>
    </row>
    <row r="2813" ht="56.25" customHeight="1">
      <c r="A2813" s="21" t="s">
        <v>6087</v>
      </c>
      <c r="B2813" s="19" t="str">
        <f>image("https://storage.googleapis.com/acdb/photos/BromideNpcNmlCat12_Remake_3_0.png")</f>
        <v/>
      </c>
      <c r="C2813" s="21" t="s">
        <v>82</v>
      </c>
      <c r="D2813" s="21" t="s">
        <v>51</v>
      </c>
      <c r="E2813" s="21">
        <v>10.0</v>
      </c>
      <c r="F2813" s="21" t="s">
        <v>2289</v>
      </c>
      <c r="G2813" s="19"/>
      <c r="H2813" s="19"/>
      <c r="I2813" s="19"/>
    </row>
    <row r="2814" ht="56.25" customHeight="1">
      <c r="A2814" s="21" t="s">
        <v>6087</v>
      </c>
      <c r="B2814" s="19" t="str">
        <f>image("https://storage.googleapis.com/acdb/photos/BromideNpcNmlCat12_Remake_4_0.png")</f>
        <v/>
      </c>
      <c r="C2814" s="21" t="s">
        <v>833</v>
      </c>
      <c r="D2814" s="21" t="s">
        <v>51</v>
      </c>
      <c r="E2814" s="21">
        <v>10.0</v>
      </c>
      <c r="F2814" s="21" t="s">
        <v>2289</v>
      </c>
      <c r="G2814" s="19"/>
      <c r="H2814" s="19"/>
      <c r="I2814" s="19"/>
    </row>
    <row r="2815" ht="56.25" customHeight="1">
      <c r="A2815" s="21" t="s">
        <v>6087</v>
      </c>
      <c r="B2815" s="19" t="str">
        <f>image("https://storage.googleapis.com/acdb/photos/BromideNpcNmlCat12_Remake_5_0.png")</f>
        <v/>
      </c>
      <c r="C2815" s="21" t="s">
        <v>258</v>
      </c>
      <c r="D2815" s="21" t="s">
        <v>51</v>
      </c>
      <c r="E2815" s="21">
        <v>10.0</v>
      </c>
      <c r="F2815" s="21" t="s">
        <v>2289</v>
      </c>
      <c r="G2815" s="19"/>
      <c r="H2815" s="19"/>
      <c r="I2815" s="19"/>
    </row>
    <row r="2816" ht="56.25" customHeight="1">
      <c r="A2816" s="21" t="s">
        <v>6087</v>
      </c>
      <c r="B2816" s="19" t="str">
        <f>image("https://storage.googleapis.com/acdb/photos/BromideNpcNmlCat12_Remake_6_0.png")</f>
        <v/>
      </c>
      <c r="C2816" s="21" t="s">
        <v>182</v>
      </c>
      <c r="D2816" s="21" t="s">
        <v>51</v>
      </c>
      <c r="E2816" s="21">
        <v>10.0</v>
      </c>
      <c r="F2816" s="21" t="s">
        <v>2289</v>
      </c>
      <c r="G2816" s="19"/>
      <c r="H2816" s="19"/>
      <c r="I2816" s="19"/>
    </row>
    <row r="2817" ht="56.25" customHeight="1">
      <c r="A2817" s="21" t="s">
        <v>6087</v>
      </c>
      <c r="B2817" s="19" t="str">
        <f>image("https://storage.googleapis.com/acdb/photos/BromideNpcNmlCat12_Remake_7_0.png")</f>
        <v/>
      </c>
      <c r="C2817" s="21" t="s">
        <v>187</v>
      </c>
      <c r="D2817" s="21" t="s">
        <v>51</v>
      </c>
      <c r="E2817" s="21">
        <v>10.0</v>
      </c>
      <c r="F2817" s="21" t="s">
        <v>2289</v>
      </c>
      <c r="G2817" s="19"/>
      <c r="H2817" s="19"/>
      <c r="I2817" s="19"/>
    </row>
    <row r="2818" ht="56.25" customHeight="1">
      <c r="A2818" s="21" t="s">
        <v>6101</v>
      </c>
      <c r="B2818" s="19" t="str">
        <f>image("https://storage.googleapis.com/acdb/photos/BromideNpcNmlFlg09_Remake_0_0.png")</f>
        <v/>
      </c>
      <c r="C2818" s="21" t="s">
        <v>219</v>
      </c>
      <c r="D2818" s="21" t="s">
        <v>51</v>
      </c>
      <c r="E2818" s="21">
        <v>10.0</v>
      </c>
      <c r="F2818" s="21" t="s">
        <v>2289</v>
      </c>
      <c r="G2818" s="19"/>
      <c r="H2818" s="19"/>
      <c r="I2818" s="19"/>
    </row>
    <row r="2819" ht="56.25" customHeight="1">
      <c r="A2819" s="21" t="s">
        <v>6101</v>
      </c>
      <c r="B2819" s="19" t="str">
        <f>image("https://storage.googleapis.com/acdb/photos/BromideNpcNmlFlg09_Remake_1_0.png")</f>
        <v/>
      </c>
      <c r="C2819" s="21" t="s">
        <v>795</v>
      </c>
      <c r="D2819" s="21" t="s">
        <v>51</v>
      </c>
      <c r="E2819" s="21">
        <v>10.0</v>
      </c>
      <c r="F2819" s="21" t="s">
        <v>2289</v>
      </c>
      <c r="G2819" s="19"/>
      <c r="H2819" s="19"/>
      <c r="I2819" s="19"/>
    </row>
    <row r="2820" ht="56.25" customHeight="1">
      <c r="A2820" s="21" t="s">
        <v>6101</v>
      </c>
      <c r="B2820" s="19" t="str">
        <f>image("https://storage.googleapis.com/acdb/photos/BromideNpcNmlFlg09_Remake_2_0.png")</f>
        <v/>
      </c>
      <c r="C2820" s="21" t="s">
        <v>954</v>
      </c>
      <c r="D2820" s="21" t="s">
        <v>51</v>
      </c>
      <c r="E2820" s="21">
        <v>10.0</v>
      </c>
      <c r="F2820" s="21" t="s">
        <v>2289</v>
      </c>
      <c r="G2820" s="19"/>
      <c r="H2820" s="19"/>
      <c r="I2820" s="19"/>
    </row>
    <row r="2821" ht="56.25" customHeight="1">
      <c r="A2821" s="21" t="s">
        <v>6101</v>
      </c>
      <c r="B2821" s="19" t="str">
        <f>image("https://storage.googleapis.com/acdb/photos/BromideNpcNmlFlg09_Remake_3_0.png")</f>
        <v/>
      </c>
      <c r="C2821" s="21" t="s">
        <v>82</v>
      </c>
      <c r="D2821" s="21" t="s">
        <v>51</v>
      </c>
      <c r="E2821" s="21">
        <v>10.0</v>
      </c>
      <c r="F2821" s="21" t="s">
        <v>2289</v>
      </c>
      <c r="G2821" s="19"/>
      <c r="H2821" s="19"/>
      <c r="I2821" s="19"/>
    </row>
    <row r="2822" ht="56.25" customHeight="1">
      <c r="A2822" s="21" t="s">
        <v>6101</v>
      </c>
      <c r="B2822" s="19" t="str">
        <f>image("https://storage.googleapis.com/acdb/photos/BromideNpcNmlFlg09_Remake_4_0.png")</f>
        <v/>
      </c>
      <c r="C2822" s="21" t="s">
        <v>833</v>
      </c>
      <c r="D2822" s="21" t="s">
        <v>51</v>
      </c>
      <c r="E2822" s="21">
        <v>10.0</v>
      </c>
      <c r="F2822" s="21" t="s">
        <v>2289</v>
      </c>
      <c r="G2822" s="19"/>
      <c r="H2822" s="19"/>
      <c r="I2822" s="19"/>
    </row>
    <row r="2823" ht="56.25" customHeight="1">
      <c r="A2823" s="21" t="s">
        <v>6101</v>
      </c>
      <c r="B2823" s="19" t="str">
        <f>image("https://storage.googleapis.com/acdb/photos/BromideNpcNmlFlg09_Remake_5_0.png")</f>
        <v/>
      </c>
      <c r="C2823" s="21" t="s">
        <v>258</v>
      </c>
      <c r="D2823" s="21" t="s">
        <v>51</v>
      </c>
      <c r="E2823" s="21">
        <v>10.0</v>
      </c>
      <c r="F2823" s="21" t="s">
        <v>2289</v>
      </c>
      <c r="G2823" s="19"/>
      <c r="H2823" s="19"/>
      <c r="I2823" s="19"/>
    </row>
    <row r="2824" ht="56.25" customHeight="1">
      <c r="A2824" s="21" t="s">
        <v>6101</v>
      </c>
      <c r="B2824" s="19" t="str">
        <f>image("https://storage.googleapis.com/acdb/photos/BromideNpcNmlFlg09_Remake_6_0.png")</f>
        <v/>
      </c>
      <c r="C2824" s="21" t="s">
        <v>182</v>
      </c>
      <c r="D2824" s="21" t="s">
        <v>51</v>
      </c>
      <c r="E2824" s="21">
        <v>10.0</v>
      </c>
      <c r="F2824" s="21" t="s">
        <v>2289</v>
      </c>
      <c r="G2824" s="19"/>
      <c r="H2824" s="19"/>
      <c r="I2824" s="19"/>
    </row>
    <row r="2825" ht="56.25" customHeight="1">
      <c r="A2825" s="21" t="s">
        <v>6101</v>
      </c>
      <c r="B2825" s="19" t="str">
        <f>image("https://storage.googleapis.com/acdb/photos/BromideNpcNmlFlg09_Remake_7_0.png")</f>
        <v/>
      </c>
      <c r="C2825" s="21" t="s">
        <v>187</v>
      </c>
      <c r="D2825" s="21" t="s">
        <v>51</v>
      </c>
      <c r="E2825" s="21">
        <v>10.0</v>
      </c>
      <c r="F2825" s="21" t="s">
        <v>2289</v>
      </c>
      <c r="G2825" s="19"/>
      <c r="H2825" s="19"/>
      <c r="I2825" s="19"/>
    </row>
    <row r="2826" ht="56.25" customHeight="1">
      <c r="A2826" s="21" t="s">
        <v>6109</v>
      </c>
      <c r="B2826" s="19" t="str">
        <f>image("https://storage.googleapis.com/acdb/photos/BromideNpcNmlMnk03_Remake_0_0.png")</f>
        <v/>
      </c>
      <c r="C2826" s="21" t="s">
        <v>219</v>
      </c>
      <c r="D2826" s="21" t="s">
        <v>51</v>
      </c>
      <c r="E2826" s="21">
        <v>10.0</v>
      </c>
      <c r="F2826" s="21" t="s">
        <v>2289</v>
      </c>
      <c r="G2826" s="19"/>
      <c r="H2826" s="19"/>
      <c r="I2826" s="19"/>
    </row>
    <row r="2827" ht="56.25" customHeight="1">
      <c r="A2827" s="21" t="s">
        <v>6109</v>
      </c>
      <c r="B2827" s="19" t="str">
        <f>image("https://storage.googleapis.com/acdb/photos/BromideNpcNmlMnk03_Remake_1_0.png")</f>
        <v/>
      </c>
      <c r="C2827" s="21" t="s">
        <v>795</v>
      </c>
      <c r="D2827" s="21" t="s">
        <v>51</v>
      </c>
      <c r="E2827" s="21">
        <v>10.0</v>
      </c>
      <c r="F2827" s="21" t="s">
        <v>2289</v>
      </c>
      <c r="G2827" s="19"/>
      <c r="H2827" s="19"/>
      <c r="I2827" s="19"/>
    </row>
    <row r="2828" ht="56.25" customHeight="1">
      <c r="A2828" s="21" t="s">
        <v>6109</v>
      </c>
      <c r="B2828" s="19" t="str">
        <f>image("https://storage.googleapis.com/acdb/photos/BromideNpcNmlMnk03_Remake_2_0.png")</f>
        <v/>
      </c>
      <c r="C2828" s="21" t="s">
        <v>954</v>
      </c>
      <c r="D2828" s="21" t="s">
        <v>51</v>
      </c>
      <c r="E2828" s="21">
        <v>10.0</v>
      </c>
      <c r="F2828" s="21" t="s">
        <v>2289</v>
      </c>
      <c r="G2828" s="19"/>
      <c r="H2828" s="19"/>
      <c r="I2828" s="19"/>
    </row>
    <row r="2829" ht="56.25" customHeight="1">
      <c r="A2829" s="21" t="s">
        <v>6109</v>
      </c>
      <c r="B2829" s="19" t="str">
        <f>image("https://storage.googleapis.com/acdb/photos/BromideNpcNmlMnk03_Remake_3_0.png")</f>
        <v/>
      </c>
      <c r="C2829" s="21" t="s">
        <v>82</v>
      </c>
      <c r="D2829" s="21" t="s">
        <v>51</v>
      </c>
      <c r="E2829" s="21">
        <v>10.0</v>
      </c>
      <c r="F2829" s="21" t="s">
        <v>2289</v>
      </c>
      <c r="G2829" s="19"/>
      <c r="H2829" s="19"/>
      <c r="I2829" s="19"/>
    </row>
    <row r="2830" ht="56.25" customHeight="1">
      <c r="A2830" s="21" t="s">
        <v>6109</v>
      </c>
      <c r="B2830" s="19" t="str">
        <f>image("https://storage.googleapis.com/acdb/photos/BromideNpcNmlMnk03_Remake_4_0.png")</f>
        <v/>
      </c>
      <c r="C2830" s="21" t="s">
        <v>833</v>
      </c>
      <c r="D2830" s="21" t="s">
        <v>51</v>
      </c>
      <c r="E2830" s="21">
        <v>10.0</v>
      </c>
      <c r="F2830" s="21" t="s">
        <v>2289</v>
      </c>
      <c r="G2830" s="19"/>
      <c r="H2830" s="19"/>
      <c r="I2830" s="19"/>
    </row>
    <row r="2831" ht="56.25" customHeight="1">
      <c r="A2831" s="21" t="s">
        <v>6109</v>
      </c>
      <c r="B2831" s="19" t="str">
        <f>image("https://storage.googleapis.com/acdb/photos/BromideNpcNmlMnk03_Remake_5_0.png")</f>
        <v/>
      </c>
      <c r="C2831" s="21" t="s">
        <v>258</v>
      </c>
      <c r="D2831" s="21" t="s">
        <v>51</v>
      </c>
      <c r="E2831" s="21">
        <v>10.0</v>
      </c>
      <c r="F2831" s="21" t="s">
        <v>2289</v>
      </c>
      <c r="G2831" s="19"/>
      <c r="H2831" s="19"/>
      <c r="I2831" s="19"/>
    </row>
    <row r="2832" ht="56.25" customHeight="1">
      <c r="A2832" s="21" t="s">
        <v>6109</v>
      </c>
      <c r="B2832" s="19" t="str">
        <f>image("https://storage.googleapis.com/acdb/photos/BromideNpcNmlMnk03_Remake_6_0.png")</f>
        <v/>
      </c>
      <c r="C2832" s="21" t="s">
        <v>182</v>
      </c>
      <c r="D2832" s="21" t="s">
        <v>51</v>
      </c>
      <c r="E2832" s="21">
        <v>10.0</v>
      </c>
      <c r="F2832" s="21" t="s">
        <v>2289</v>
      </c>
      <c r="G2832" s="19"/>
      <c r="H2832" s="19"/>
      <c r="I2832" s="19"/>
    </row>
    <row r="2833" ht="56.25" customHeight="1">
      <c r="A2833" s="21" t="s">
        <v>6109</v>
      </c>
      <c r="B2833" s="19" t="str">
        <f>image("https://storage.googleapis.com/acdb/photos/BromideNpcNmlMnk03_Remake_7_0.png")</f>
        <v/>
      </c>
      <c r="C2833" s="21" t="s">
        <v>187</v>
      </c>
      <c r="D2833" s="21" t="s">
        <v>51</v>
      </c>
      <c r="E2833" s="21">
        <v>10.0</v>
      </c>
      <c r="F2833" s="21" t="s">
        <v>2289</v>
      </c>
      <c r="G2833" s="19"/>
      <c r="H2833" s="19"/>
      <c r="I2833" s="19"/>
    </row>
    <row r="2834" ht="56.25" customHeight="1">
      <c r="A2834" s="21" t="s">
        <v>6130</v>
      </c>
      <c r="B2834" s="19" t="str">
        <f>image("https://storage.googleapis.com/acdb/photos/BromideNpcNmlCbr17_Remake_0_0.png")</f>
        <v/>
      </c>
      <c r="C2834" s="21" t="s">
        <v>219</v>
      </c>
      <c r="D2834" s="21" t="s">
        <v>51</v>
      </c>
      <c r="E2834" s="21">
        <v>10.0</v>
      </c>
      <c r="F2834" s="21" t="s">
        <v>2289</v>
      </c>
      <c r="G2834" s="19"/>
      <c r="H2834" s="19"/>
      <c r="I2834" s="19"/>
    </row>
    <row r="2835" ht="56.25" customHeight="1">
      <c r="A2835" s="21" t="s">
        <v>6130</v>
      </c>
      <c r="B2835" s="19" t="str">
        <f>image("https://storage.googleapis.com/acdb/photos/BromideNpcNmlCbr17_Remake_1_0.png")</f>
        <v/>
      </c>
      <c r="C2835" s="21" t="s">
        <v>795</v>
      </c>
      <c r="D2835" s="21" t="s">
        <v>51</v>
      </c>
      <c r="E2835" s="21">
        <v>10.0</v>
      </c>
      <c r="F2835" s="21" t="s">
        <v>2289</v>
      </c>
      <c r="G2835" s="19"/>
      <c r="H2835" s="19"/>
      <c r="I2835" s="19"/>
    </row>
    <row r="2836" ht="56.25" customHeight="1">
      <c r="A2836" s="21" t="s">
        <v>6130</v>
      </c>
      <c r="B2836" s="19" t="str">
        <f>image("https://storage.googleapis.com/acdb/photos/BromideNpcNmlCbr17_Remake_2_0.png")</f>
        <v/>
      </c>
      <c r="C2836" s="21" t="s">
        <v>954</v>
      </c>
      <c r="D2836" s="21" t="s">
        <v>51</v>
      </c>
      <c r="E2836" s="21">
        <v>10.0</v>
      </c>
      <c r="F2836" s="21" t="s">
        <v>2289</v>
      </c>
      <c r="G2836" s="19"/>
      <c r="H2836" s="19"/>
      <c r="I2836" s="19"/>
    </row>
    <row r="2837" ht="56.25" customHeight="1">
      <c r="A2837" s="21" t="s">
        <v>6130</v>
      </c>
      <c r="B2837" s="19" t="str">
        <f>image("https://storage.googleapis.com/acdb/photos/BromideNpcNmlCbr17_Remake_3_0.png")</f>
        <v/>
      </c>
      <c r="C2837" s="21" t="s">
        <v>82</v>
      </c>
      <c r="D2837" s="21" t="s">
        <v>51</v>
      </c>
      <c r="E2837" s="21">
        <v>10.0</v>
      </c>
      <c r="F2837" s="21" t="s">
        <v>2289</v>
      </c>
      <c r="G2837" s="19"/>
      <c r="H2837" s="19"/>
      <c r="I2837" s="19"/>
    </row>
    <row r="2838" ht="56.25" customHeight="1">
      <c r="A2838" s="21" t="s">
        <v>6130</v>
      </c>
      <c r="B2838" s="19" t="str">
        <f>image("https://storage.googleapis.com/acdb/photos/BromideNpcNmlCbr17_Remake_4_0.png")</f>
        <v/>
      </c>
      <c r="C2838" s="21" t="s">
        <v>833</v>
      </c>
      <c r="D2838" s="21" t="s">
        <v>51</v>
      </c>
      <c r="E2838" s="21">
        <v>10.0</v>
      </c>
      <c r="F2838" s="21" t="s">
        <v>2289</v>
      </c>
      <c r="G2838" s="19"/>
      <c r="H2838" s="19"/>
      <c r="I2838" s="19"/>
    </row>
    <row r="2839" ht="56.25" customHeight="1">
      <c r="A2839" s="21" t="s">
        <v>6130</v>
      </c>
      <c r="B2839" s="19" t="str">
        <f>image("https://storage.googleapis.com/acdb/photos/BromideNpcNmlCbr17_Remake_5_0.png")</f>
        <v/>
      </c>
      <c r="C2839" s="21" t="s">
        <v>258</v>
      </c>
      <c r="D2839" s="21" t="s">
        <v>51</v>
      </c>
      <c r="E2839" s="21">
        <v>10.0</v>
      </c>
      <c r="F2839" s="21" t="s">
        <v>2289</v>
      </c>
      <c r="G2839" s="19"/>
      <c r="H2839" s="19"/>
      <c r="I2839" s="19"/>
    </row>
    <row r="2840" ht="56.25" customHeight="1">
      <c r="A2840" s="21" t="s">
        <v>6130</v>
      </c>
      <c r="B2840" s="19" t="str">
        <f>image("https://storage.googleapis.com/acdb/photos/BromideNpcNmlCbr17_Remake_6_0.png")</f>
        <v/>
      </c>
      <c r="C2840" s="21" t="s">
        <v>182</v>
      </c>
      <c r="D2840" s="21" t="s">
        <v>51</v>
      </c>
      <c r="E2840" s="21">
        <v>10.0</v>
      </c>
      <c r="F2840" s="21" t="s">
        <v>2289</v>
      </c>
      <c r="G2840" s="19"/>
      <c r="H2840" s="19"/>
      <c r="I2840" s="19"/>
    </row>
    <row r="2841" ht="56.25" customHeight="1">
      <c r="A2841" s="21" t="s">
        <v>6130</v>
      </c>
      <c r="B2841" s="19" t="str">
        <f>image("https://storage.googleapis.com/acdb/photos/BromideNpcNmlCbr17_Remake_7_0.png")</f>
        <v/>
      </c>
      <c r="C2841" s="21" t="s">
        <v>187</v>
      </c>
      <c r="D2841" s="21" t="s">
        <v>51</v>
      </c>
      <c r="E2841" s="21">
        <v>10.0</v>
      </c>
      <c r="F2841" s="21" t="s">
        <v>2289</v>
      </c>
      <c r="G2841" s="19"/>
      <c r="H2841" s="19"/>
      <c r="I2841" s="19"/>
    </row>
    <row r="2842" ht="56.25" customHeight="1">
      <c r="A2842" s="21" t="s">
        <v>6139</v>
      </c>
      <c r="B2842" s="19" t="str">
        <f>image("https://storage.googleapis.com/acdb/photos/BromideNpcNmlCat05_Remake_0_0.png")</f>
        <v/>
      </c>
      <c r="C2842" s="21" t="s">
        <v>219</v>
      </c>
      <c r="D2842" s="21" t="s">
        <v>51</v>
      </c>
      <c r="E2842" s="21">
        <v>10.0</v>
      </c>
      <c r="F2842" s="21" t="s">
        <v>2289</v>
      </c>
      <c r="G2842" s="19"/>
      <c r="H2842" s="19"/>
      <c r="I2842" s="19"/>
    </row>
    <row r="2843" ht="56.25" customHeight="1">
      <c r="A2843" s="21" t="s">
        <v>6139</v>
      </c>
      <c r="B2843" s="19" t="str">
        <f>image("https://storage.googleapis.com/acdb/photos/BromideNpcNmlCat05_Remake_1_0.png")</f>
        <v/>
      </c>
      <c r="C2843" s="21" t="s">
        <v>795</v>
      </c>
      <c r="D2843" s="21" t="s">
        <v>51</v>
      </c>
      <c r="E2843" s="21">
        <v>10.0</v>
      </c>
      <c r="F2843" s="21" t="s">
        <v>2289</v>
      </c>
      <c r="G2843" s="19"/>
      <c r="H2843" s="19"/>
      <c r="I2843" s="19"/>
    </row>
    <row r="2844" ht="56.25" customHeight="1">
      <c r="A2844" s="21" t="s">
        <v>6139</v>
      </c>
      <c r="B2844" s="19" t="str">
        <f>image("https://storage.googleapis.com/acdb/photos/BromideNpcNmlCat05_Remake_2_0.png")</f>
        <v/>
      </c>
      <c r="C2844" s="21" t="s">
        <v>954</v>
      </c>
      <c r="D2844" s="21" t="s">
        <v>51</v>
      </c>
      <c r="E2844" s="21">
        <v>10.0</v>
      </c>
      <c r="F2844" s="21" t="s">
        <v>2289</v>
      </c>
      <c r="G2844" s="19"/>
      <c r="H2844" s="19"/>
      <c r="I2844" s="19"/>
    </row>
    <row r="2845" ht="56.25" customHeight="1">
      <c r="A2845" s="21" t="s">
        <v>6139</v>
      </c>
      <c r="B2845" s="19" t="str">
        <f>image("https://storage.googleapis.com/acdb/photos/BromideNpcNmlCat05_Remake_3_0.png")</f>
        <v/>
      </c>
      <c r="C2845" s="21" t="s">
        <v>82</v>
      </c>
      <c r="D2845" s="21" t="s">
        <v>51</v>
      </c>
      <c r="E2845" s="21">
        <v>10.0</v>
      </c>
      <c r="F2845" s="21" t="s">
        <v>2289</v>
      </c>
      <c r="G2845" s="19"/>
      <c r="H2845" s="19"/>
      <c r="I2845" s="19"/>
    </row>
    <row r="2846" ht="56.25" customHeight="1">
      <c r="A2846" s="21" t="s">
        <v>6139</v>
      </c>
      <c r="B2846" s="19" t="str">
        <f>image("https://storage.googleapis.com/acdb/photos/BromideNpcNmlCat05_Remake_4_0.png")</f>
        <v/>
      </c>
      <c r="C2846" s="21" t="s">
        <v>833</v>
      </c>
      <c r="D2846" s="21" t="s">
        <v>51</v>
      </c>
      <c r="E2846" s="21">
        <v>10.0</v>
      </c>
      <c r="F2846" s="21" t="s">
        <v>2289</v>
      </c>
      <c r="G2846" s="19"/>
      <c r="H2846" s="19"/>
      <c r="I2846" s="19"/>
    </row>
    <row r="2847" ht="56.25" customHeight="1">
      <c r="A2847" s="21" t="s">
        <v>6139</v>
      </c>
      <c r="B2847" s="19" t="str">
        <f>image("https://storage.googleapis.com/acdb/photos/BromideNpcNmlCat05_Remake_5_0.png")</f>
        <v/>
      </c>
      <c r="C2847" s="21" t="s">
        <v>258</v>
      </c>
      <c r="D2847" s="21" t="s">
        <v>51</v>
      </c>
      <c r="E2847" s="21">
        <v>10.0</v>
      </c>
      <c r="F2847" s="21" t="s">
        <v>2289</v>
      </c>
      <c r="G2847" s="19"/>
      <c r="H2847" s="19"/>
      <c r="I2847" s="19"/>
    </row>
    <row r="2848" ht="56.25" customHeight="1">
      <c r="A2848" s="21" t="s">
        <v>6139</v>
      </c>
      <c r="B2848" s="19" t="str">
        <f>image("https://storage.googleapis.com/acdb/photos/BromideNpcNmlCat05_Remake_6_0.png")</f>
        <v/>
      </c>
      <c r="C2848" s="21" t="s">
        <v>182</v>
      </c>
      <c r="D2848" s="21" t="s">
        <v>51</v>
      </c>
      <c r="E2848" s="21">
        <v>10.0</v>
      </c>
      <c r="F2848" s="21" t="s">
        <v>2289</v>
      </c>
      <c r="G2848" s="19"/>
      <c r="H2848" s="19"/>
      <c r="I2848" s="19"/>
    </row>
    <row r="2849" ht="56.25" customHeight="1">
      <c r="A2849" s="21" t="s">
        <v>6139</v>
      </c>
      <c r="B2849" s="19" t="str">
        <f>image("https://storage.googleapis.com/acdb/photos/BromideNpcNmlCat05_Remake_7_0.png")</f>
        <v/>
      </c>
      <c r="C2849" s="21" t="s">
        <v>187</v>
      </c>
      <c r="D2849" s="21" t="s">
        <v>51</v>
      </c>
      <c r="E2849" s="21">
        <v>10.0</v>
      </c>
      <c r="F2849" s="21" t="s">
        <v>2289</v>
      </c>
      <c r="G2849" s="19"/>
      <c r="H2849" s="19"/>
      <c r="I2849" s="19"/>
    </row>
    <row r="2850" ht="56.25" customHeight="1">
      <c r="A2850" s="21" t="s">
        <v>6151</v>
      </c>
      <c r="B2850" s="19" t="str">
        <f>image("https://storage.googleapis.com/acdb/photos/BromideNpcNmlRhn00_Remake_0_0.png")</f>
        <v/>
      </c>
      <c r="C2850" s="21" t="s">
        <v>219</v>
      </c>
      <c r="D2850" s="21" t="s">
        <v>51</v>
      </c>
      <c r="E2850" s="21">
        <v>10.0</v>
      </c>
      <c r="F2850" s="21" t="s">
        <v>2289</v>
      </c>
      <c r="G2850" s="19"/>
      <c r="H2850" s="19"/>
      <c r="I2850" s="19"/>
    </row>
    <row r="2851" ht="56.25" customHeight="1">
      <c r="A2851" s="21" t="s">
        <v>6151</v>
      </c>
      <c r="B2851" s="19" t="str">
        <f>image("https://storage.googleapis.com/acdb/photos/BromideNpcNmlRhn00_Remake_1_0.png")</f>
        <v/>
      </c>
      <c r="C2851" s="21" t="s">
        <v>795</v>
      </c>
      <c r="D2851" s="21" t="s">
        <v>51</v>
      </c>
      <c r="E2851" s="21">
        <v>10.0</v>
      </c>
      <c r="F2851" s="21" t="s">
        <v>2289</v>
      </c>
      <c r="G2851" s="19"/>
      <c r="H2851" s="19"/>
      <c r="I2851" s="19"/>
    </row>
    <row r="2852" ht="56.25" customHeight="1">
      <c r="A2852" s="21" t="s">
        <v>6151</v>
      </c>
      <c r="B2852" s="19" t="str">
        <f>image("https://storage.googleapis.com/acdb/photos/BromideNpcNmlRhn00_Remake_2_0.png")</f>
        <v/>
      </c>
      <c r="C2852" s="21" t="s">
        <v>954</v>
      </c>
      <c r="D2852" s="21" t="s">
        <v>51</v>
      </c>
      <c r="E2852" s="21">
        <v>10.0</v>
      </c>
      <c r="F2852" s="21" t="s">
        <v>2289</v>
      </c>
      <c r="G2852" s="19"/>
      <c r="H2852" s="19"/>
      <c r="I2852" s="19"/>
    </row>
    <row r="2853" ht="56.25" customHeight="1">
      <c r="A2853" s="21" t="s">
        <v>6151</v>
      </c>
      <c r="B2853" s="19" t="str">
        <f>image("https://storage.googleapis.com/acdb/photos/BromideNpcNmlRhn00_Remake_3_0.png")</f>
        <v/>
      </c>
      <c r="C2853" s="21" t="s">
        <v>82</v>
      </c>
      <c r="D2853" s="21" t="s">
        <v>51</v>
      </c>
      <c r="E2853" s="21">
        <v>10.0</v>
      </c>
      <c r="F2853" s="21" t="s">
        <v>2289</v>
      </c>
      <c r="G2853" s="19"/>
      <c r="H2853" s="19"/>
      <c r="I2853" s="19"/>
    </row>
    <row r="2854" ht="56.25" customHeight="1">
      <c r="A2854" s="21" t="s">
        <v>6151</v>
      </c>
      <c r="B2854" s="19" t="str">
        <f>image("https://storage.googleapis.com/acdb/photos/BromideNpcNmlRhn00_Remake_4_0.png")</f>
        <v/>
      </c>
      <c r="C2854" s="21" t="s">
        <v>833</v>
      </c>
      <c r="D2854" s="21" t="s">
        <v>51</v>
      </c>
      <c r="E2854" s="21">
        <v>10.0</v>
      </c>
      <c r="F2854" s="21" t="s">
        <v>2289</v>
      </c>
      <c r="G2854" s="19"/>
      <c r="H2854" s="19"/>
      <c r="I2854" s="19"/>
    </row>
    <row r="2855" ht="56.25" customHeight="1">
      <c r="A2855" s="21" t="s">
        <v>6151</v>
      </c>
      <c r="B2855" s="19" t="str">
        <f>image("https://storage.googleapis.com/acdb/photos/BromideNpcNmlRhn00_Remake_5_0.png")</f>
        <v/>
      </c>
      <c r="C2855" s="21" t="s">
        <v>258</v>
      </c>
      <c r="D2855" s="21" t="s">
        <v>51</v>
      </c>
      <c r="E2855" s="21">
        <v>10.0</v>
      </c>
      <c r="F2855" s="21" t="s">
        <v>2289</v>
      </c>
      <c r="G2855" s="19"/>
      <c r="H2855" s="19"/>
      <c r="I2855" s="19"/>
    </row>
    <row r="2856" ht="56.25" customHeight="1">
      <c r="A2856" s="21" t="s">
        <v>6151</v>
      </c>
      <c r="B2856" s="19" t="str">
        <f>image("https://storage.googleapis.com/acdb/photos/BromideNpcNmlRhn00_Remake_6_0.png")</f>
        <v/>
      </c>
      <c r="C2856" s="21" t="s">
        <v>182</v>
      </c>
      <c r="D2856" s="21" t="s">
        <v>51</v>
      </c>
      <c r="E2856" s="21">
        <v>10.0</v>
      </c>
      <c r="F2856" s="21" t="s">
        <v>2289</v>
      </c>
      <c r="G2856" s="19"/>
      <c r="H2856" s="19"/>
      <c r="I2856" s="19"/>
    </row>
    <row r="2857" ht="56.25" customHeight="1">
      <c r="A2857" s="21" t="s">
        <v>6151</v>
      </c>
      <c r="B2857" s="19" t="str">
        <f>image("https://storage.googleapis.com/acdb/photos/BromideNpcNmlRhn00_Remake_7_0.png")</f>
        <v/>
      </c>
      <c r="C2857" s="21" t="s">
        <v>187</v>
      </c>
      <c r="D2857" s="21" t="s">
        <v>51</v>
      </c>
      <c r="E2857" s="21">
        <v>10.0</v>
      </c>
      <c r="F2857" s="21" t="s">
        <v>2289</v>
      </c>
      <c r="G2857" s="19"/>
      <c r="H2857" s="19"/>
      <c r="I2857" s="19"/>
    </row>
    <row r="2858" ht="56.25" customHeight="1">
      <c r="A2858" s="21" t="s">
        <v>6164</v>
      </c>
      <c r="B2858" s="19" t="str">
        <f>image("https://storage.googleapis.com/acdb/photos/BromideNpcNmlSqu13_Remake_0_0.png")</f>
        <v/>
      </c>
      <c r="C2858" s="21" t="s">
        <v>219</v>
      </c>
      <c r="D2858" s="21" t="s">
        <v>51</v>
      </c>
      <c r="E2858" s="21">
        <v>10.0</v>
      </c>
      <c r="F2858" s="21" t="s">
        <v>2289</v>
      </c>
      <c r="G2858" s="19"/>
      <c r="H2858" s="19"/>
      <c r="I2858" s="19"/>
    </row>
    <row r="2859" ht="56.25" customHeight="1">
      <c r="A2859" s="21" t="s">
        <v>6164</v>
      </c>
      <c r="B2859" s="19" t="str">
        <f>image("https://storage.googleapis.com/acdb/photos/BromideNpcNmlSqu13_Remake_1_0.png")</f>
        <v/>
      </c>
      <c r="C2859" s="21" t="s">
        <v>795</v>
      </c>
      <c r="D2859" s="21" t="s">
        <v>51</v>
      </c>
      <c r="E2859" s="21">
        <v>10.0</v>
      </c>
      <c r="F2859" s="21" t="s">
        <v>2289</v>
      </c>
      <c r="G2859" s="19"/>
      <c r="H2859" s="19"/>
      <c r="I2859" s="19"/>
    </row>
    <row r="2860" ht="56.25" customHeight="1">
      <c r="A2860" s="21" t="s">
        <v>6164</v>
      </c>
      <c r="B2860" s="19" t="str">
        <f>image("https://storage.googleapis.com/acdb/photos/BromideNpcNmlSqu13_Remake_2_0.png")</f>
        <v/>
      </c>
      <c r="C2860" s="21" t="s">
        <v>954</v>
      </c>
      <c r="D2860" s="21" t="s">
        <v>51</v>
      </c>
      <c r="E2860" s="21">
        <v>10.0</v>
      </c>
      <c r="F2860" s="21" t="s">
        <v>2289</v>
      </c>
      <c r="G2860" s="19"/>
      <c r="H2860" s="19"/>
      <c r="I2860" s="19"/>
    </row>
    <row r="2861" ht="56.25" customHeight="1">
      <c r="A2861" s="21" t="s">
        <v>6164</v>
      </c>
      <c r="B2861" s="19" t="str">
        <f>image("https://storage.googleapis.com/acdb/photos/BromideNpcNmlSqu13_Remake_3_0.png")</f>
        <v/>
      </c>
      <c r="C2861" s="21" t="s">
        <v>82</v>
      </c>
      <c r="D2861" s="21" t="s">
        <v>51</v>
      </c>
      <c r="E2861" s="21">
        <v>10.0</v>
      </c>
      <c r="F2861" s="21" t="s">
        <v>2289</v>
      </c>
      <c r="G2861" s="19"/>
      <c r="H2861" s="19"/>
      <c r="I2861" s="19"/>
    </row>
    <row r="2862" ht="56.25" customHeight="1">
      <c r="A2862" s="21" t="s">
        <v>6164</v>
      </c>
      <c r="B2862" s="19" t="str">
        <f>image("https://storage.googleapis.com/acdb/photos/BromideNpcNmlSqu13_Remake_4_0.png")</f>
        <v/>
      </c>
      <c r="C2862" s="21" t="s">
        <v>833</v>
      </c>
      <c r="D2862" s="21" t="s">
        <v>51</v>
      </c>
      <c r="E2862" s="21">
        <v>10.0</v>
      </c>
      <c r="F2862" s="21" t="s">
        <v>2289</v>
      </c>
      <c r="G2862" s="19"/>
      <c r="H2862" s="19"/>
      <c r="I2862" s="19"/>
    </row>
    <row r="2863" ht="56.25" customHeight="1">
      <c r="A2863" s="21" t="s">
        <v>6164</v>
      </c>
      <c r="B2863" s="19" t="str">
        <f>image("https://storage.googleapis.com/acdb/photos/BromideNpcNmlSqu13_Remake_5_0.png")</f>
        <v/>
      </c>
      <c r="C2863" s="21" t="s">
        <v>258</v>
      </c>
      <c r="D2863" s="21" t="s">
        <v>51</v>
      </c>
      <c r="E2863" s="21">
        <v>10.0</v>
      </c>
      <c r="F2863" s="21" t="s">
        <v>2289</v>
      </c>
      <c r="G2863" s="19"/>
      <c r="H2863" s="19"/>
      <c r="I2863" s="19"/>
    </row>
    <row r="2864" ht="56.25" customHeight="1">
      <c r="A2864" s="21" t="s">
        <v>6164</v>
      </c>
      <c r="B2864" s="19" t="str">
        <f>image("https://storage.googleapis.com/acdb/photos/BromideNpcNmlSqu13_Remake_6_0.png")</f>
        <v/>
      </c>
      <c r="C2864" s="21" t="s">
        <v>182</v>
      </c>
      <c r="D2864" s="21" t="s">
        <v>51</v>
      </c>
      <c r="E2864" s="21">
        <v>10.0</v>
      </c>
      <c r="F2864" s="21" t="s">
        <v>2289</v>
      </c>
      <c r="G2864" s="19"/>
      <c r="H2864" s="19"/>
      <c r="I2864" s="19"/>
    </row>
    <row r="2865" ht="56.25" customHeight="1">
      <c r="A2865" s="21" t="s">
        <v>6164</v>
      </c>
      <c r="B2865" s="19" t="str">
        <f>image("https://storage.googleapis.com/acdb/photos/BromideNpcNmlSqu13_Remake_7_0.png")</f>
        <v/>
      </c>
      <c r="C2865" s="21" t="s">
        <v>187</v>
      </c>
      <c r="D2865" s="21" t="s">
        <v>51</v>
      </c>
      <c r="E2865" s="21">
        <v>10.0</v>
      </c>
      <c r="F2865" s="21" t="s">
        <v>2289</v>
      </c>
      <c r="G2865" s="19"/>
      <c r="H2865" s="19"/>
      <c r="I2865" s="19"/>
    </row>
    <row r="2866" ht="56.25" customHeight="1">
      <c r="A2866" s="21" t="s">
        <v>6184</v>
      </c>
      <c r="B2866" s="19" t="str">
        <f>image("https://storage.googleapis.com/acdb/photos/BromideNpcNmlBea00_Remake_0_0.png")</f>
        <v/>
      </c>
      <c r="C2866" s="21" t="s">
        <v>219</v>
      </c>
      <c r="D2866" s="21" t="s">
        <v>51</v>
      </c>
      <c r="E2866" s="21">
        <v>10.0</v>
      </c>
      <c r="F2866" s="21" t="s">
        <v>2289</v>
      </c>
      <c r="G2866" s="19"/>
      <c r="H2866" s="19"/>
      <c r="I2866" s="19"/>
    </row>
    <row r="2867" ht="56.25" customHeight="1">
      <c r="A2867" s="21" t="s">
        <v>6184</v>
      </c>
      <c r="B2867" s="19" t="str">
        <f>image("https://storage.googleapis.com/acdb/photos/BromideNpcNmlBea00_Remake_1_0.png")</f>
        <v/>
      </c>
      <c r="C2867" s="21" t="s">
        <v>795</v>
      </c>
      <c r="D2867" s="21" t="s">
        <v>51</v>
      </c>
      <c r="E2867" s="21">
        <v>10.0</v>
      </c>
      <c r="F2867" s="21" t="s">
        <v>2289</v>
      </c>
      <c r="G2867" s="19"/>
      <c r="H2867" s="19"/>
      <c r="I2867" s="19"/>
    </row>
    <row r="2868" ht="56.25" customHeight="1">
      <c r="A2868" s="21" t="s">
        <v>6184</v>
      </c>
      <c r="B2868" s="19" t="str">
        <f>image("https://storage.googleapis.com/acdb/photos/BromideNpcNmlBea00_Remake_2_0.png")</f>
        <v/>
      </c>
      <c r="C2868" s="21" t="s">
        <v>954</v>
      </c>
      <c r="D2868" s="21" t="s">
        <v>51</v>
      </c>
      <c r="E2868" s="21">
        <v>10.0</v>
      </c>
      <c r="F2868" s="21" t="s">
        <v>2289</v>
      </c>
      <c r="G2868" s="19"/>
      <c r="H2868" s="19"/>
      <c r="I2868" s="19"/>
    </row>
    <row r="2869" ht="56.25" customHeight="1">
      <c r="A2869" s="21" t="s">
        <v>6184</v>
      </c>
      <c r="B2869" s="19" t="str">
        <f>image("https://storage.googleapis.com/acdb/photos/BromideNpcNmlBea00_Remake_3_0.png")</f>
        <v/>
      </c>
      <c r="C2869" s="21" t="s">
        <v>82</v>
      </c>
      <c r="D2869" s="21" t="s">
        <v>51</v>
      </c>
      <c r="E2869" s="21">
        <v>10.0</v>
      </c>
      <c r="F2869" s="21" t="s">
        <v>2289</v>
      </c>
      <c r="G2869" s="19"/>
      <c r="H2869" s="19"/>
      <c r="I2869" s="19"/>
    </row>
    <row r="2870" ht="56.25" customHeight="1">
      <c r="A2870" s="21" t="s">
        <v>6184</v>
      </c>
      <c r="B2870" s="19" t="str">
        <f>image("https://storage.googleapis.com/acdb/photos/BromideNpcNmlBea00_Remake_4_0.png")</f>
        <v/>
      </c>
      <c r="C2870" s="21" t="s">
        <v>833</v>
      </c>
      <c r="D2870" s="21" t="s">
        <v>51</v>
      </c>
      <c r="E2870" s="21">
        <v>10.0</v>
      </c>
      <c r="F2870" s="21" t="s">
        <v>2289</v>
      </c>
      <c r="G2870" s="19"/>
      <c r="H2870" s="19"/>
      <c r="I2870" s="19"/>
    </row>
    <row r="2871" ht="56.25" customHeight="1">
      <c r="A2871" s="21" t="s">
        <v>6184</v>
      </c>
      <c r="B2871" s="19" t="str">
        <f>image("https://storage.googleapis.com/acdb/photos/BromideNpcNmlBea00_Remake_5_0.png")</f>
        <v/>
      </c>
      <c r="C2871" s="21" t="s">
        <v>258</v>
      </c>
      <c r="D2871" s="21" t="s">
        <v>51</v>
      </c>
      <c r="E2871" s="21">
        <v>10.0</v>
      </c>
      <c r="F2871" s="21" t="s">
        <v>2289</v>
      </c>
      <c r="G2871" s="19"/>
      <c r="H2871" s="19"/>
      <c r="I2871" s="19"/>
    </row>
    <row r="2872" ht="56.25" customHeight="1">
      <c r="A2872" s="21" t="s">
        <v>6184</v>
      </c>
      <c r="B2872" s="19" t="str">
        <f>image("https://storage.googleapis.com/acdb/photos/BromideNpcNmlBea00_Remake_6_0.png")</f>
        <v/>
      </c>
      <c r="C2872" s="21" t="s">
        <v>182</v>
      </c>
      <c r="D2872" s="21" t="s">
        <v>51</v>
      </c>
      <c r="E2872" s="21">
        <v>10.0</v>
      </c>
      <c r="F2872" s="21" t="s">
        <v>2289</v>
      </c>
      <c r="G2872" s="19"/>
      <c r="H2872" s="19"/>
      <c r="I2872" s="19"/>
    </row>
    <row r="2873" ht="56.25" customHeight="1">
      <c r="A2873" s="21" t="s">
        <v>6184</v>
      </c>
      <c r="B2873" s="19" t="str">
        <f>image("https://storage.googleapis.com/acdb/photos/BromideNpcNmlBea00_Remake_7_0.png")</f>
        <v/>
      </c>
      <c r="C2873" s="21" t="s">
        <v>187</v>
      </c>
      <c r="D2873" s="21" t="s">
        <v>51</v>
      </c>
      <c r="E2873" s="21">
        <v>10.0</v>
      </c>
      <c r="F2873" s="21" t="s">
        <v>2289</v>
      </c>
      <c r="G2873" s="19"/>
      <c r="H2873" s="19"/>
      <c r="I2873" s="19"/>
    </row>
    <row r="2874" ht="56.25" customHeight="1">
      <c r="A2874" s="21" t="s">
        <v>6200</v>
      </c>
      <c r="B2874" s="19" t="str">
        <f>image("https://storage.googleapis.com/acdb/photos/BromideNpcNmlPgn12_Remake_0_0.png")</f>
        <v/>
      </c>
      <c r="C2874" s="21" t="s">
        <v>219</v>
      </c>
      <c r="D2874" s="21" t="s">
        <v>51</v>
      </c>
      <c r="E2874" s="21">
        <v>10.0</v>
      </c>
      <c r="F2874" s="21" t="s">
        <v>2289</v>
      </c>
      <c r="G2874" s="19"/>
      <c r="H2874" s="19"/>
      <c r="I2874" s="19"/>
    </row>
    <row r="2875" ht="56.25" customHeight="1">
      <c r="A2875" s="21" t="s">
        <v>6200</v>
      </c>
      <c r="B2875" s="19" t="str">
        <f>image("https://storage.googleapis.com/acdb/photos/BromideNpcNmlPgn12_Remake_1_0.png")</f>
        <v/>
      </c>
      <c r="C2875" s="21" t="s">
        <v>795</v>
      </c>
      <c r="D2875" s="21" t="s">
        <v>51</v>
      </c>
      <c r="E2875" s="21">
        <v>10.0</v>
      </c>
      <c r="F2875" s="21" t="s">
        <v>2289</v>
      </c>
      <c r="G2875" s="19"/>
      <c r="H2875" s="19"/>
      <c r="I2875" s="19"/>
    </row>
    <row r="2876" ht="56.25" customHeight="1">
      <c r="A2876" s="21" t="s">
        <v>6200</v>
      </c>
      <c r="B2876" s="19" t="str">
        <f>image("https://storage.googleapis.com/acdb/photos/BromideNpcNmlPgn12_Remake_2_0.png")</f>
        <v/>
      </c>
      <c r="C2876" s="21" t="s">
        <v>954</v>
      </c>
      <c r="D2876" s="21" t="s">
        <v>51</v>
      </c>
      <c r="E2876" s="21">
        <v>10.0</v>
      </c>
      <c r="F2876" s="21" t="s">
        <v>2289</v>
      </c>
      <c r="G2876" s="19"/>
      <c r="H2876" s="19"/>
      <c r="I2876" s="19"/>
    </row>
    <row r="2877" ht="56.25" customHeight="1">
      <c r="A2877" s="21" t="s">
        <v>6200</v>
      </c>
      <c r="B2877" s="19" t="str">
        <f>image("https://storage.googleapis.com/acdb/photos/BromideNpcNmlPgn12_Remake_3_0.png")</f>
        <v/>
      </c>
      <c r="C2877" s="21" t="s">
        <v>82</v>
      </c>
      <c r="D2877" s="21" t="s">
        <v>51</v>
      </c>
      <c r="E2877" s="21">
        <v>10.0</v>
      </c>
      <c r="F2877" s="21" t="s">
        <v>2289</v>
      </c>
      <c r="G2877" s="19"/>
      <c r="H2877" s="19"/>
      <c r="I2877" s="19"/>
    </row>
    <row r="2878" ht="56.25" customHeight="1">
      <c r="A2878" s="21" t="s">
        <v>6200</v>
      </c>
      <c r="B2878" s="19" t="str">
        <f>image("https://storage.googleapis.com/acdb/photos/BromideNpcNmlPgn12_Remake_4_0.png")</f>
        <v/>
      </c>
      <c r="C2878" s="21" t="s">
        <v>833</v>
      </c>
      <c r="D2878" s="21" t="s">
        <v>51</v>
      </c>
      <c r="E2878" s="21">
        <v>10.0</v>
      </c>
      <c r="F2878" s="21" t="s">
        <v>2289</v>
      </c>
      <c r="G2878" s="19"/>
      <c r="H2878" s="19"/>
      <c r="I2878" s="19"/>
    </row>
    <row r="2879" ht="56.25" customHeight="1">
      <c r="A2879" s="21" t="s">
        <v>6200</v>
      </c>
      <c r="B2879" s="19" t="str">
        <f>image("https://storage.googleapis.com/acdb/photos/BromideNpcNmlPgn12_Remake_5_0.png")</f>
        <v/>
      </c>
      <c r="C2879" s="21" t="s">
        <v>258</v>
      </c>
      <c r="D2879" s="21" t="s">
        <v>51</v>
      </c>
      <c r="E2879" s="21">
        <v>10.0</v>
      </c>
      <c r="F2879" s="21" t="s">
        <v>2289</v>
      </c>
      <c r="G2879" s="19"/>
      <c r="H2879" s="19"/>
      <c r="I2879" s="19"/>
    </row>
    <row r="2880" ht="56.25" customHeight="1">
      <c r="A2880" s="21" t="s">
        <v>6200</v>
      </c>
      <c r="B2880" s="19" t="str">
        <f>image("https://storage.googleapis.com/acdb/photos/BromideNpcNmlPgn12_Remake_6_0.png")</f>
        <v/>
      </c>
      <c r="C2880" s="21" t="s">
        <v>182</v>
      </c>
      <c r="D2880" s="21" t="s">
        <v>51</v>
      </c>
      <c r="E2880" s="21">
        <v>10.0</v>
      </c>
      <c r="F2880" s="21" t="s">
        <v>2289</v>
      </c>
      <c r="G2880" s="19"/>
      <c r="H2880" s="19"/>
      <c r="I2880" s="19"/>
    </row>
    <row r="2881" ht="56.25" customHeight="1">
      <c r="A2881" s="21" t="s">
        <v>6200</v>
      </c>
      <c r="B2881" s="19" t="str">
        <f>image("https://storage.googleapis.com/acdb/photos/BromideNpcNmlPgn12_Remake_7_0.png")</f>
        <v/>
      </c>
      <c r="C2881" s="21" t="s">
        <v>187</v>
      </c>
      <c r="D2881" s="21" t="s">
        <v>51</v>
      </c>
      <c r="E2881" s="21">
        <v>10.0</v>
      </c>
      <c r="F2881" s="21" t="s">
        <v>2289</v>
      </c>
      <c r="G2881" s="19"/>
      <c r="H2881" s="19"/>
      <c r="I2881" s="19"/>
    </row>
    <row r="2882" ht="56.25" customHeight="1">
      <c r="A2882" s="21" t="s">
        <v>6221</v>
      </c>
      <c r="B2882" s="19" t="str">
        <f>image("https://storage.googleapis.com/acdb/photos/BromideNpcNmlElp10_Remake_0_0.png")</f>
        <v/>
      </c>
      <c r="C2882" s="21" t="s">
        <v>219</v>
      </c>
      <c r="D2882" s="21" t="s">
        <v>51</v>
      </c>
      <c r="E2882" s="21">
        <v>10.0</v>
      </c>
      <c r="F2882" s="21" t="s">
        <v>2289</v>
      </c>
      <c r="G2882" s="19"/>
      <c r="H2882" s="19"/>
      <c r="I2882" s="19"/>
    </row>
    <row r="2883" ht="56.25" customHeight="1">
      <c r="A2883" s="21" t="s">
        <v>6221</v>
      </c>
      <c r="B2883" s="19" t="str">
        <f>image("https://storage.googleapis.com/acdb/photos/BromideNpcNmlElp10_Remake_1_0.png")</f>
        <v/>
      </c>
      <c r="C2883" s="21" t="s">
        <v>795</v>
      </c>
      <c r="D2883" s="21" t="s">
        <v>51</v>
      </c>
      <c r="E2883" s="21">
        <v>10.0</v>
      </c>
      <c r="F2883" s="21" t="s">
        <v>2289</v>
      </c>
      <c r="G2883" s="19"/>
      <c r="H2883" s="19"/>
      <c r="I2883" s="19"/>
    </row>
    <row r="2884" ht="56.25" customHeight="1">
      <c r="A2884" s="21" t="s">
        <v>6221</v>
      </c>
      <c r="B2884" s="19" t="str">
        <f>image("https://storage.googleapis.com/acdb/photos/BromideNpcNmlElp10_Remake_2_0.png")</f>
        <v/>
      </c>
      <c r="C2884" s="21" t="s">
        <v>954</v>
      </c>
      <c r="D2884" s="21" t="s">
        <v>51</v>
      </c>
      <c r="E2884" s="21">
        <v>10.0</v>
      </c>
      <c r="F2884" s="21" t="s">
        <v>2289</v>
      </c>
      <c r="G2884" s="19"/>
      <c r="H2884" s="19"/>
      <c r="I2884" s="19"/>
    </row>
    <row r="2885" ht="56.25" customHeight="1">
      <c r="A2885" s="21" t="s">
        <v>6221</v>
      </c>
      <c r="B2885" s="19" t="str">
        <f>image("https://storage.googleapis.com/acdb/photos/BromideNpcNmlElp10_Remake_3_0.png")</f>
        <v/>
      </c>
      <c r="C2885" s="21" t="s">
        <v>82</v>
      </c>
      <c r="D2885" s="21" t="s">
        <v>51</v>
      </c>
      <c r="E2885" s="21">
        <v>10.0</v>
      </c>
      <c r="F2885" s="21" t="s">
        <v>2289</v>
      </c>
      <c r="G2885" s="19"/>
      <c r="H2885" s="19"/>
      <c r="I2885" s="19"/>
    </row>
    <row r="2886" ht="56.25" customHeight="1">
      <c r="A2886" s="21" t="s">
        <v>6221</v>
      </c>
      <c r="B2886" s="19" t="str">
        <f>image("https://storage.googleapis.com/acdb/photos/BromideNpcNmlElp10_Remake_4_0.png")</f>
        <v/>
      </c>
      <c r="C2886" s="21" t="s">
        <v>833</v>
      </c>
      <c r="D2886" s="21" t="s">
        <v>51</v>
      </c>
      <c r="E2886" s="21">
        <v>10.0</v>
      </c>
      <c r="F2886" s="21" t="s">
        <v>2289</v>
      </c>
      <c r="G2886" s="19"/>
      <c r="H2886" s="19"/>
      <c r="I2886" s="19"/>
    </row>
    <row r="2887" ht="56.25" customHeight="1">
      <c r="A2887" s="21" t="s">
        <v>6221</v>
      </c>
      <c r="B2887" s="19" t="str">
        <f>image("https://storage.googleapis.com/acdb/photos/BromideNpcNmlElp10_Remake_5_0.png")</f>
        <v/>
      </c>
      <c r="C2887" s="21" t="s">
        <v>258</v>
      </c>
      <c r="D2887" s="21" t="s">
        <v>51</v>
      </c>
      <c r="E2887" s="21">
        <v>10.0</v>
      </c>
      <c r="F2887" s="21" t="s">
        <v>2289</v>
      </c>
      <c r="G2887" s="19"/>
      <c r="H2887" s="19"/>
      <c r="I2887" s="19"/>
    </row>
    <row r="2888" ht="56.25" customHeight="1">
      <c r="A2888" s="21" t="s">
        <v>6221</v>
      </c>
      <c r="B2888" s="19" t="str">
        <f>image("https://storage.googleapis.com/acdb/photos/BromideNpcNmlElp10_Remake_6_0.png")</f>
        <v/>
      </c>
      <c r="C2888" s="21" t="s">
        <v>182</v>
      </c>
      <c r="D2888" s="21" t="s">
        <v>51</v>
      </c>
      <c r="E2888" s="21">
        <v>10.0</v>
      </c>
      <c r="F2888" s="21" t="s">
        <v>2289</v>
      </c>
      <c r="G2888" s="19"/>
      <c r="H2888" s="19"/>
      <c r="I2888" s="19"/>
    </row>
    <row r="2889" ht="56.25" customHeight="1">
      <c r="A2889" s="21" t="s">
        <v>6221</v>
      </c>
      <c r="B2889" s="19" t="str">
        <f>image("https://storage.googleapis.com/acdb/photos/BromideNpcNmlElp10_Remake_7_0.png")</f>
        <v/>
      </c>
      <c r="C2889" s="21" t="s">
        <v>187</v>
      </c>
      <c r="D2889" s="21" t="s">
        <v>51</v>
      </c>
      <c r="E2889" s="21">
        <v>10.0</v>
      </c>
      <c r="F2889" s="21" t="s">
        <v>2289</v>
      </c>
      <c r="G2889" s="19"/>
      <c r="H2889" s="19"/>
      <c r="I2889" s="19"/>
    </row>
    <row r="2890" ht="56.25" customHeight="1">
      <c r="A2890" s="21" t="s">
        <v>6232</v>
      </c>
      <c r="B2890" s="19" t="str">
        <f>image("https://storage.googleapis.com/acdb/photos/BromideNpcNmlRbt07_Remake_0_0.png")</f>
        <v/>
      </c>
      <c r="C2890" s="21" t="s">
        <v>219</v>
      </c>
      <c r="D2890" s="21" t="s">
        <v>51</v>
      </c>
      <c r="E2890" s="21">
        <v>10.0</v>
      </c>
      <c r="F2890" s="21" t="s">
        <v>2289</v>
      </c>
      <c r="G2890" s="19"/>
      <c r="H2890" s="19"/>
      <c r="I2890" s="19"/>
    </row>
    <row r="2891" ht="56.25" customHeight="1">
      <c r="A2891" s="21" t="s">
        <v>6232</v>
      </c>
      <c r="B2891" s="19" t="str">
        <f>image("https://storage.googleapis.com/acdb/photos/BromideNpcNmlRbt07_Remake_1_0.png")</f>
        <v/>
      </c>
      <c r="C2891" s="21" t="s">
        <v>795</v>
      </c>
      <c r="D2891" s="21" t="s">
        <v>51</v>
      </c>
      <c r="E2891" s="21">
        <v>10.0</v>
      </c>
      <c r="F2891" s="21" t="s">
        <v>2289</v>
      </c>
      <c r="G2891" s="19"/>
      <c r="H2891" s="19"/>
      <c r="I2891" s="19"/>
    </row>
    <row r="2892" ht="56.25" customHeight="1">
      <c r="A2892" s="21" t="s">
        <v>6232</v>
      </c>
      <c r="B2892" s="19" t="str">
        <f>image("https://storage.googleapis.com/acdb/photos/BromideNpcNmlRbt07_Remake_2_0.png")</f>
        <v/>
      </c>
      <c r="C2892" s="21" t="s">
        <v>954</v>
      </c>
      <c r="D2892" s="21" t="s">
        <v>51</v>
      </c>
      <c r="E2892" s="21">
        <v>10.0</v>
      </c>
      <c r="F2892" s="21" t="s">
        <v>2289</v>
      </c>
      <c r="G2892" s="19"/>
      <c r="H2892" s="19"/>
      <c r="I2892" s="19"/>
    </row>
    <row r="2893" ht="56.25" customHeight="1">
      <c r="A2893" s="21" t="s">
        <v>6232</v>
      </c>
      <c r="B2893" s="19" t="str">
        <f>image("https://storage.googleapis.com/acdb/photos/BromideNpcNmlRbt07_Remake_3_0.png")</f>
        <v/>
      </c>
      <c r="C2893" s="21" t="s">
        <v>82</v>
      </c>
      <c r="D2893" s="21" t="s">
        <v>51</v>
      </c>
      <c r="E2893" s="21">
        <v>10.0</v>
      </c>
      <c r="F2893" s="21" t="s">
        <v>2289</v>
      </c>
      <c r="G2893" s="19"/>
      <c r="H2893" s="19"/>
      <c r="I2893" s="19"/>
    </row>
    <row r="2894" ht="56.25" customHeight="1">
      <c r="A2894" s="21" t="s">
        <v>6232</v>
      </c>
      <c r="B2894" s="19" t="str">
        <f>image("https://storage.googleapis.com/acdb/photos/BromideNpcNmlRbt07_Remake_4_0.png")</f>
        <v/>
      </c>
      <c r="C2894" s="21" t="s">
        <v>833</v>
      </c>
      <c r="D2894" s="21" t="s">
        <v>51</v>
      </c>
      <c r="E2894" s="21">
        <v>10.0</v>
      </c>
      <c r="F2894" s="21" t="s">
        <v>2289</v>
      </c>
      <c r="G2894" s="19"/>
      <c r="H2894" s="19"/>
      <c r="I2894" s="19"/>
    </row>
    <row r="2895" ht="56.25" customHeight="1">
      <c r="A2895" s="21" t="s">
        <v>6232</v>
      </c>
      <c r="B2895" s="19" t="str">
        <f>image("https://storage.googleapis.com/acdb/photos/BromideNpcNmlRbt07_Remake_5_0.png")</f>
        <v/>
      </c>
      <c r="C2895" s="21" t="s">
        <v>258</v>
      </c>
      <c r="D2895" s="21" t="s">
        <v>51</v>
      </c>
      <c r="E2895" s="21">
        <v>10.0</v>
      </c>
      <c r="F2895" s="21" t="s">
        <v>2289</v>
      </c>
      <c r="G2895" s="19"/>
      <c r="H2895" s="19"/>
      <c r="I2895" s="19"/>
    </row>
    <row r="2896" ht="56.25" customHeight="1">
      <c r="A2896" s="21" t="s">
        <v>6232</v>
      </c>
      <c r="B2896" s="19" t="str">
        <f>image("https://storage.googleapis.com/acdb/photos/BromideNpcNmlRbt07_Remake_6_0.png")</f>
        <v/>
      </c>
      <c r="C2896" s="21" t="s">
        <v>182</v>
      </c>
      <c r="D2896" s="21" t="s">
        <v>51</v>
      </c>
      <c r="E2896" s="21">
        <v>10.0</v>
      </c>
      <c r="F2896" s="21" t="s">
        <v>2289</v>
      </c>
      <c r="G2896" s="19"/>
      <c r="H2896" s="19"/>
      <c r="I2896" s="19"/>
    </row>
    <row r="2897" ht="56.25" customHeight="1">
      <c r="A2897" s="21" t="s">
        <v>6232</v>
      </c>
      <c r="B2897" s="19" t="str">
        <f>image("https://storage.googleapis.com/acdb/photos/BromideNpcNmlRbt07_Remake_7_0.png")</f>
        <v/>
      </c>
      <c r="C2897" s="21" t="s">
        <v>187</v>
      </c>
      <c r="D2897" s="21" t="s">
        <v>51</v>
      </c>
      <c r="E2897" s="21">
        <v>10.0</v>
      </c>
      <c r="F2897" s="21" t="s">
        <v>2289</v>
      </c>
      <c r="G2897" s="19"/>
      <c r="H2897" s="19"/>
      <c r="I2897" s="19"/>
    </row>
    <row r="2898" ht="56.25" customHeight="1">
      <c r="A2898" s="21" t="s">
        <v>6245</v>
      </c>
      <c r="B2898" s="19" t="str">
        <f>image("https://storage.googleapis.com/acdb/photos/BromideNpcNmlShp10_Remake_0_0.png")</f>
        <v/>
      </c>
      <c r="C2898" s="21" t="s">
        <v>219</v>
      </c>
      <c r="D2898" s="21" t="s">
        <v>51</v>
      </c>
      <c r="E2898" s="21">
        <v>10.0</v>
      </c>
      <c r="F2898" s="21" t="s">
        <v>2289</v>
      </c>
      <c r="G2898" s="19"/>
      <c r="H2898" s="19"/>
      <c r="I2898" s="19"/>
    </row>
    <row r="2899" ht="56.25" customHeight="1">
      <c r="A2899" s="21" t="s">
        <v>6245</v>
      </c>
      <c r="B2899" s="19" t="str">
        <f>image("https://storage.googleapis.com/acdb/photos/BromideNpcNmlShp10_Remake_1_0.png")</f>
        <v/>
      </c>
      <c r="C2899" s="21" t="s">
        <v>795</v>
      </c>
      <c r="D2899" s="21" t="s">
        <v>51</v>
      </c>
      <c r="E2899" s="21">
        <v>10.0</v>
      </c>
      <c r="F2899" s="21" t="s">
        <v>2289</v>
      </c>
      <c r="G2899" s="19"/>
      <c r="H2899" s="19"/>
      <c r="I2899" s="19"/>
    </row>
    <row r="2900" ht="56.25" customHeight="1">
      <c r="A2900" s="21" t="s">
        <v>6245</v>
      </c>
      <c r="B2900" s="19" t="str">
        <f>image("https://storage.googleapis.com/acdb/photos/BromideNpcNmlShp10_Remake_2_0.png")</f>
        <v/>
      </c>
      <c r="C2900" s="21" t="s">
        <v>954</v>
      </c>
      <c r="D2900" s="21" t="s">
        <v>51</v>
      </c>
      <c r="E2900" s="21">
        <v>10.0</v>
      </c>
      <c r="F2900" s="21" t="s">
        <v>2289</v>
      </c>
      <c r="G2900" s="19"/>
      <c r="H2900" s="19"/>
      <c r="I2900" s="19"/>
    </row>
    <row r="2901" ht="56.25" customHeight="1">
      <c r="A2901" s="21" t="s">
        <v>6245</v>
      </c>
      <c r="B2901" s="19" t="str">
        <f>image("https://storage.googleapis.com/acdb/photos/BromideNpcNmlShp10_Remake_3_0.png")</f>
        <v/>
      </c>
      <c r="C2901" s="21" t="s">
        <v>82</v>
      </c>
      <c r="D2901" s="21" t="s">
        <v>51</v>
      </c>
      <c r="E2901" s="21">
        <v>10.0</v>
      </c>
      <c r="F2901" s="21" t="s">
        <v>2289</v>
      </c>
      <c r="G2901" s="19"/>
      <c r="H2901" s="19"/>
      <c r="I2901" s="19"/>
    </row>
    <row r="2902" ht="56.25" customHeight="1">
      <c r="A2902" s="21" t="s">
        <v>6245</v>
      </c>
      <c r="B2902" s="19" t="str">
        <f>image("https://storage.googleapis.com/acdb/photos/BromideNpcNmlShp10_Remake_4_0.png")</f>
        <v/>
      </c>
      <c r="C2902" s="21" t="s">
        <v>833</v>
      </c>
      <c r="D2902" s="21" t="s">
        <v>51</v>
      </c>
      <c r="E2902" s="21">
        <v>10.0</v>
      </c>
      <c r="F2902" s="21" t="s">
        <v>2289</v>
      </c>
      <c r="G2902" s="19"/>
      <c r="H2902" s="19"/>
      <c r="I2902" s="19"/>
    </row>
    <row r="2903" ht="56.25" customHeight="1">
      <c r="A2903" s="21" t="s">
        <v>6245</v>
      </c>
      <c r="B2903" s="19" t="str">
        <f>image("https://storage.googleapis.com/acdb/photos/BromideNpcNmlShp10_Remake_5_0.png")</f>
        <v/>
      </c>
      <c r="C2903" s="21" t="s">
        <v>258</v>
      </c>
      <c r="D2903" s="21" t="s">
        <v>51</v>
      </c>
      <c r="E2903" s="21">
        <v>10.0</v>
      </c>
      <c r="F2903" s="21" t="s">
        <v>2289</v>
      </c>
      <c r="G2903" s="19"/>
      <c r="H2903" s="19"/>
      <c r="I2903" s="19"/>
    </row>
    <row r="2904" ht="56.25" customHeight="1">
      <c r="A2904" s="21" t="s">
        <v>6245</v>
      </c>
      <c r="B2904" s="19" t="str">
        <f>image("https://storage.googleapis.com/acdb/photos/BromideNpcNmlShp10_Remake_6_0.png")</f>
        <v/>
      </c>
      <c r="C2904" s="21" t="s">
        <v>182</v>
      </c>
      <c r="D2904" s="21" t="s">
        <v>51</v>
      </c>
      <c r="E2904" s="21">
        <v>10.0</v>
      </c>
      <c r="F2904" s="21" t="s">
        <v>2289</v>
      </c>
      <c r="G2904" s="19"/>
      <c r="H2904" s="19"/>
      <c r="I2904" s="19"/>
    </row>
    <row r="2905" ht="56.25" customHeight="1">
      <c r="A2905" s="21" t="s">
        <v>6245</v>
      </c>
      <c r="B2905" s="19" t="str">
        <f>image("https://storage.googleapis.com/acdb/photos/BromideNpcNmlShp10_Remake_7_0.png")</f>
        <v/>
      </c>
      <c r="C2905" s="21" t="s">
        <v>187</v>
      </c>
      <c r="D2905" s="21" t="s">
        <v>51</v>
      </c>
      <c r="E2905" s="21">
        <v>10.0</v>
      </c>
      <c r="F2905" s="21" t="s">
        <v>2289</v>
      </c>
      <c r="G2905" s="19"/>
      <c r="H2905" s="19"/>
      <c r="I2905" s="19"/>
    </row>
    <row r="2906" ht="56.25" customHeight="1">
      <c r="A2906" s="21" t="s">
        <v>6259</v>
      </c>
      <c r="B2906" s="19" t="str">
        <f>image("https://storage.googleapis.com/acdb/photos/BromideNpcNmlCow01_Remake_0_0.png")</f>
        <v/>
      </c>
      <c r="C2906" s="21" t="s">
        <v>219</v>
      </c>
      <c r="D2906" s="21" t="s">
        <v>51</v>
      </c>
      <c r="E2906" s="21">
        <v>10.0</v>
      </c>
      <c r="F2906" s="21" t="s">
        <v>2289</v>
      </c>
      <c r="G2906" s="19"/>
      <c r="H2906" s="19"/>
      <c r="I2906" s="19"/>
    </row>
    <row r="2907" ht="56.25" customHeight="1">
      <c r="A2907" s="21" t="s">
        <v>6259</v>
      </c>
      <c r="B2907" s="19" t="str">
        <f>image("https://storage.googleapis.com/acdb/photos/BromideNpcNmlCow01_Remake_1_0.png")</f>
        <v/>
      </c>
      <c r="C2907" s="21" t="s">
        <v>795</v>
      </c>
      <c r="D2907" s="21" t="s">
        <v>51</v>
      </c>
      <c r="E2907" s="21">
        <v>10.0</v>
      </c>
      <c r="F2907" s="21" t="s">
        <v>2289</v>
      </c>
      <c r="G2907" s="19"/>
      <c r="H2907" s="19"/>
      <c r="I2907" s="19"/>
    </row>
    <row r="2908" ht="56.25" customHeight="1">
      <c r="A2908" s="21" t="s">
        <v>6259</v>
      </c>
      <c r="B2908" s="19" t="str">
        <f>image("https://storage.googleapis.com/acdb/photos/BromideNpcNmlCow01_Remake_2_0.png")</f>
        <v/>
      </c>
      <c r="C2908" s="21" t="s">
        <v>954</v>
      </c>
      <c r="D2908" s="21" t="s">
        <v>51</v>
      </c>
      <c r="E2908" s="21">
        <v>10.0</v>
      </c>
      <c r="F2908" s="21" t="s">
        <v>2289</v>
      </c>
      <c r="G2908" s="19"/>
      <c r="H2908" s="19"/>
      <c r="I2908" s="19"/>
    </row>
    <row r="2909" ht="56.25" customHeight="1">
      <c r="A2909" s="21" t="s">
        <v>6259</v>
      </c>
      <c r="B2909" s="19" t="str">
        <f>image("https://storage.googleapis.com/acdb/photos/BromideNpcNmlCow01_Remake_3_0.png")</f>
        <v/>
      </c>
      <c r="C2909" s="21" t="s">
        <v>82</v>
      </c>
      <c r="D2909" s="21" t="s">
        <v>51</v>
      </c>
      <c r="E2909" s="21">
        <v>10.0</v>
      </c>
      <c r="F2909" s="21" t="s">
        <v>2289</v>
      </c>
      <c r="G2909" s="19"/>
      <c r="H2909" s="19"/>
      <c r="I2909" s="19"/>
    </row>
    <row r="2910" ht="56.25" customHeight="1">
      <c r="A2910" s="21" t="s">
        <v>6259</v>
      </c>
      <c r="B2910" s="19" t="str">
        <f>image("https://storage.googleapis.com/acdb/photos/BromideNpcNmlCow01_Remake_4_0.png")</f>
        <v/>
      </c>
      <c r="C2910" s="21" t="s">
        <v>833</v>
      </c>
      <c r="D2910" s="21" t="s">
        <v>51</v>
      </c>
      <c r="E2910" s="21">
        <v>10.0</v>
      </c>
      <c r="F2910" s="21" t="s">
        <v>2289</v>
      </c>
      <c r="G2910" s="19"/>
      <c r="H2910" s="19"/>
      <c r="I2910" s="19"/>
    </row>
    <row r="2911" ht="56.25" customHeight="1">
      <c r="A2911" s="21" t="s">
        <v>6259</v>
      </c>
      <c r="B2911" s="19" t="str">
        <f>image("https://storage.googleapis.com/acdb/photos/BromideNpcNmlCow01_Remake_5_0.png")</f>
        <v/>
      </c>
      <c r="C2911" s="21" t="s">
        <v>258</v>
      </c>
      <c r="D2911" s="21" t="s">
        <v>51</v>
      </c>
      <c r="E2911" s="21">
        <v>10.0</v>
      </c>
      <c r="F2911" s="21" t="s">
        <v>2289</v>
      </c>
      <c r="G2911" s="19"/>
      <c r="H2911" s="19"/>
      <c r="I2911" s="19"/>
    </row>
    <row r="2912" ht="56.25" customHeight="1">
      <c r="A2912" s="21" t="s">
        <v>6259</v>
      </c>
      <c r="B2912" s="19" t="str">
        <f>image("https://storage.googleapis.com/acdb/photos/BromideNpcNmlCow01_Remake_6_0.png")</f>
        <v/>
      </c>
      <c r="C2912" s="21" t="s">
        <v>182</v>
      </c>
      <c r="D2912" s="21" t="s">
        <v>51</v>
      </c>
      <c r="E2912" s="21">
        <v>10.0</v>
      </c>
      <c r="F2912" s="21" t="s">
        <v>2289</v>
      </c>
      <c r="G2912" s="19"/>
      <c r="H2912" s="19"/>
      <c r="I2912" s="19"/>
    </row>
    <row r="2913" ht="56.25" customHeight="1">
      <c r="A2913" s="21" t="s">
        <v>6259</v>
      </c>
      <c r="B2913" s="19" t="str">
        <f>image("https://storage.googleapis.com/acdb/photos/BromideNpcNmlCow01_Remake_7_0.png")</f>
        <v/>
      </c>
      <c r="C2913" s="21" t="s">
        <v>187</v>
      </c>
      <c r="D2913" s="21" t="s">
        <v>51</v>
      </c>
      <c r="E2913" s="21">
        <v>10.0</v>
      </c>
      <c r="F2913" s="21" t="s">
        <v>2289</v>
      </c>
      <c r="G2913" s="19"/>
      <c r="H2913" s="19"/>
      <c r="I2913" s="19"/>
    </row>
    <row r="2914" ht="56.25" customHeight="1">
      <c r="A2914" s="21" t="s">
        <v>6267</v>
      </c>
      <c r="B2914" s="19" t="str">
        <f>image("https://storage.googleapis.com/acdb/photos/BromideNpcNmlCat15_Remake_0_0.png")</f>
        <v/>
      </c>
      <c r="C2914" s="21" t="s">
        <v>219</v>
      </c>
      <c r="D2914" s="21" t="s">
        <v>51</v>
      </c>
      <c r="E2914" s="21">
        <v>10.0</v>
      </c>
      <c r="F2914" s="21" t="s">
        <v>2289</v>
      </c>
      <c r="G2914" s="19"/>
      <c r="H2914" s="19"/>
      <c r="I2914" s="19"/>
    </row>
    <row r="2915" ht="56.25" customHeight="1">
      <c r="A2915" s="21" t="s">
        <v>6267</v>
      </c>
      <c r="B2915" s="19" t="str">
        <f>image("https://storage.googleapis.com/acdb/photos/BromideNpcNmlCat15_Remake_1_0.png")</f>
        <v/>
      </c>
      <c r="C2915" s="21" t="s">
        <v>795</v>
      </c>
      <c r="D2915" s="21" t="s">
        <v>51</v>
      </c>
      <c r="E2915" s="21">
        <v>10.0</v>
      </c>
      <c r="F2915" s="21" t="s">
        <v>2289</v>
      </c>
      <c r="G2915" s="19"/>
      <c r="H2915" s="19"/>
      <c r="I2915" s="19"/>
    </row>
    <row r="2916" ht="56.25" customHeight="1">
      <c r="A2916" s="21" t="s">
        <v>6267</v>
      </c>
      <c r="B2916" s="19" t="str">
        <f>image("https://storage.googleapis.com/acdb/photos/BromideNpcNmlCat15_Remake_2_0.png")</f>
        <v/>
      </c>
      <c r="C2916" s="21" t="s">
        <v>954</v>
      </c>
      <c r="D2916" s="21" t="s">
        <v>51</v>
      </c>
      <c r="E2916" s="21">
        <v>10.0</v>
      </c>
      <c r="F2916" s="21" t="s">
        <v>2289</v>
      </c>
      <c r="G2916" s="19"/>
      <c r="H2916" s="19"/>
      <c r="I2916" s="19"/>
    </row>
    <row r="2917" ht="56.25" customHeight="1">
      <c r="A2917" s="21" t="s">
        <v>6267</v>
      </c>
      <c r="B2917" s="19" t="str">
        <f>image("https://storage.googleapis.com/acdb/photos/BromideNpcNmlCat15_Remake_3_0.png")</f>
        <v/>
      </c>
      <c r="C2917" s="21" t="s">
        <v>82</v>
      </c>
      <c r="D2917" s="21" t="s">
        <v>51</v>
      </c>
      <c r="E2917" s="21">
        <v>10.0</v>
      </c>
      <c r="F2917" s="21" t="s">
        <v>2289</v>
      </c>
      <c r="G2917" s="19"/>
      <c r="H2917" s="19"/>
      <c r="I2917" s="19"/>
    </row>
    <row r="2918" ht="56.25" customHeight="1">
      <c r="A2918" s="21" t="s">
        <v>6267</v>
      </c>
      <c r="B2918" s="19" t="str">
        <f>image("https://storage.googleapis.com/acdb/photos/BromideNpcNmlCat15_Remake_4_0.png")</f>
        <v/>
      </c>
      <c r="C2918" s="21" t="s">
        <v>833</v>
      </c>
      <c r="D2918" s="21" t="s">
        <v>51</v>
      </c>
      <c r="E2918" s="21">
        <v>10.0</v>
      </c>
      <c r="F2918" s="21" t="s">
        <v>2289</v>
      </c>
      <c r="G2918" s="19"/>
      <c r="H2918" s="19"/>
      <c r="I2918" s="19"/>
    </row>
    <row r="2919" ht="56.25" customHeight="1">
      <c r="A2919" s="21" t="s">
        <v>6267</v>
      </c>
      <c r="B2919" s="19" t="str">
        <f>image("https://storage.googleapis.com/acdb/photos/BromideNpcNmlCat15_Remake_5_0.png")</f>
        <v/>
      </c>
      <c r="C2919" s="21" t="s">
        <v>258</v>
      </c>
      <c r="D2919" s="21" t="s">
        <v>51</v>
      </c>
      <c r="E2919" s="21">
        <v>10.0</v>
      </c>
      <c r="F2919" s="21" t="s">
        <v>2289</v>
      </c>
      <c r="G2919" s="19"/>
      <c r="H2919" s="19"/>
      <c r="I2919" s="19"/>
    </row>
    <row r="2920" ht="56.25" customHeight="1">
      <c r="A2920" s="21" t="s">
        <v>6267</v>
      </c>
      <c r="B2920" s="19" t="str">
        <f>image("https://storage.googleapis.com/acdb/photos/BromideNpcNmlCat15_Remake_6_0.png")</f>
        <v/>
      </c>
      <c r="C2920" s="21" t="s">
        <v>182</v>
      </c>
      <c r="D2920" s="21" t="s">
        <v>51</v>
      </c>
      <c r="E2920" s="21">
        <v>10.0</v>
      </c>
      <c r="F2920" s="21" t="s">
        <v>2289</v>
      </c>
      <c r="G2920" s="19"/>
      <c r="H2920" s="19"/>
      <c r="I2920" s="19"/>
    </row>
    <row r="2921" ht="56.25" customHeight="1">
      <c r="A2921" s="21" t="s">
        <v>6267</v>
      </c>
      <c r="B2921" s="19" t="str">
        <f>image("https://storage.googleapis.com/acdb/photos/BromideNpcNmlCat15_Remake_7_0.png")</f>
        <v/>
      </c>
      <c r="C2921" s="21" t="s">
        <v>187</v>
      </c>
      <c r="D2921" s="21" t="s">
        <v>51</v>
      </c>
      <c r="E2921" s="21">
        <v>10.0</v>
      </c>
      <c r="F2921" s="21" t="s">
        <v>2289</v>
      </c>
      <c r="G2921" s="19"/>
      <c r="H2921" s="19"/>
      <c r="I2921" s="19"/>
    </row>
    <row r="2922" ht="56.25" customHeight="1">
      <c r="A2922" s="21" t="s">
        <v>6274</v>
      </c>
      <c r="B2922" s="19" t="str">
        <f>image("https://storage.googleapis.com/acdb/photos/BromideNpcNmlPig01_Remake_0_0.png")</f>
        <v/>
      </c>
      <c r="C2922" s="21" t="s">
        <v>219</v>
      </c>
      <c r="D2922" s="21" t="s">
        <v>51</v>
      </c>
      <c r="E2922" s="21">
        <v>10.0</v>
      </c>
      <c r="F2922" s="21" t="s">
        <v>2289</v>
      </c>
      <c r="G2922" s="19"/>
      <c r="H2922" s="19"/>
      <c r="I2922" s="19"/>
    </row>
    <row r="2923" ht="56.25" customHeight="1">
      <c r="A2923" s="21" t="s">
        <v>6274</v>
      </c>
      <c r="B2923" s="19" t="str">
        <f>image("https://storage.googleapis.com/acdb/photos/BromideNpcNmlPig01_Remake_1_0.png")</f>
        <v/>
      </c>
      <c r="C2923" s="21" t="s">
        <v>795</v>
      </c>
      <c r="D2923" s="21" t="s">
        <v>51</v>
      </c>
      <c r="E2923" s="21">
        <v>10.0</v>
      </c>
      <c r="F2923" s="21" t="s">
        <v>2289</v>
      </c>
      <c r="G2923" s="19"/>
      <c r="H2923" s="19"/>
      <c r="I2923" s="19"/>
    </row>
    <row r="2924" ht="56.25" customHeight="1">
      <c r="A2924" s="21" t="s">
        <v>6274</v>
      </c>
      <c r="B2924" s="19" t="str">
        <f>image("https://storage.googleapis.com/acdb/photos/BromideNpcNmlPig01_Remake_2_0.png")</f>
        <v/>
      </c>
      <c r="C2924" s="21" t="s">
        <v>954</v>
      </c>
      <c r="D2924" s="21" t="s">
        <v>51</v>
      </c>
      <c r="E2924" s="21">
        <v>10.0</v>
      </c>
      <c r="F2924" s="21" t="s">
        <v>2289</v>
      </c>
      <c r="G2924" s="19"/>
      <c r="H2924" s="19"/>
      <c r="I2924" s="19"/>
    </row>
    <row r="2925" ht="56.25" customHeight="1">
      <c r="A2925" s="21" t="s">
        <v>6274</v>
      </c>
      <c r="B2925" s="19" t="str">
        <f>image("https://storage.googleapis.com/acdb/photos/BromideNpcNmlPig01_Remake_3_0.png")</f>
        <v/>
      </c>
      <c r="C2925" s="21" t="s">
        <v>82</v>
      </c>
      <c r="D2925" s="21" t="s">
        <v>51</v>
      </c>
      <c r="E2925" s="21">
        <v>10.0</v>
      </c>
      <c r="F2925" s="21" t="s">
        <v>2289</v>
      </c>
      <c r="G2925" s="19"/>
      <c r="H2925" s="19"/>
      <c r="I2925" s="19"/>
    </row>
    <row r="2926" ht="56.25" customHeight="1">
      <c r="A2926" s="21" t="s">
        <v>6274</v>
      </c>
      <c r="B2926" s="19" t="str">
        <f>image("https://storage.googleapis.com/acdb/photos/BromideNpcNmlPig01_Remake_4_0.png")</f>
        <v/>
      </c>
      <c r="C2926" s="21" t="s">
        <v>833</v>
      </c>
      <c r="D2926" s="21" t="s">
        <v>51</v>
      </c>
      <c r="E2926" s="21">
        <v>10.0</v>
      </c>
      <c r="F2926" s="21" t="s">
        <v>2289</v>
      </c>
      <c r="G2926" s="19"/>
      <c r="H2926" s="19"/>
      <c r="I2926" s="19"/>
    </row>
    <row r="2927" ht="56.25" customHeight="1">
      <c r="A2927" s="21" t="s">
        <v>6274</v>
      </c>
      <c r="B2927" s="19" t="str">
        <f>image("https://storage.googleapis.com/acdb/photos/BromideNpcNmlPig01_Remake_5_0.png")</f>
        <v/>
      </c>
      <c r="C2927" s="21" t="s">
        <v>258</v>
      </c>
      <c r="D2927" s="21" t="s">
        <v>51</v>
      </c>
      <c r="E2927" s="21">
        <v>10.0</v>
      </c>
      <c r="F2927" s="21" t="s">
        <v>2289</v>
      </c>
      <c r="G2927" s="19"/>
      <c r="H2927" s="19"/>
      <c r="I2927" s="19"/>
    </row>
    <row r="2928" ht="56.25" customHeight="1">
      <c r="A2928" s="21" t="s">
        <v>6274</v>
      </c>
      <c r="B2928" s="19" t="str">
        <f>image("https://storage.googleapis.com/acdb/photos/BromideNpcNmlPig01_Remake_6_0.png")</f>
        <v/>
      </c>
      <c r="C2928" s="21" t="s">
        <v>182</v>
      </c>
      <c r="D2928" s="21" t="s">
        <v>51</v>
      </c>
      <c r="E2928" s="21">
        <v>10.0</v>
      </c>
      <c r="F2928" s="21" t="s">
        <v>2289</v>
      </c>
      <c r="G2928" s="19"/>
      <c r="H2928" s="19"/>
      <c r="I2928" s="19"/>
    </row>
    <row r="2929" ht="56.25" customHeight="1">
      <c r="A2929" s="21" t="s">
        <v>6274</v>
      </c>
      <c r="B2929" s="19" t="str">
        <f>image("https://storage.googleapis.com/acdb/photos/BromideNpcNmlPig01_Remake_7_0.png")</f>
        <v/>
      </c>
      <c r="C2929" s="21" t="s">
        <v>187</v>
      </c>
      <c r="D2929" s="21" t="s">
        <v>51</v>
      </c>
      <c r="E2929" s="21">
        <v>10.0</v>
      </c>
      <c r="F2929" s="21" t="s">
        <v>2289</v>
      </c>
      <c r="G2929" s="19"/>
      <c r="H2929" s="19"/>
      <c r="I2929" s="19"/>
    </row>
    <row r="2930" ht="56.25" customHeight="1">
      <c r="A2930" s="21" t="s">
        <v>6284</v>
      </c>
      <c r="B2930" s="19" t="str">
        <f>image("https://storage.googleapis.com/acdb/photos/BromideNpcNmlElp09_Remake_0_0.png")</f>
        <v/>
      </c>
      <c r="C2930" s="21" t="s">
        <v>219</v>
      </c>
      <c r="D2930" s="21" t="s">
        <v>51</v>
      </c>
      <c r="E2930" s="21">
        <v>10.0</v>
      </c>
      <c r="F2930" s="21" t="s">
        <v>2289</v>
      </c>
      <c r="G2930" s="19"/>
      <c r="H2930" s="19"/>
      <c r="I2930" s="19"/>
    </row>
    <row r="2931" ht="56.25" customHeight="1">
      <c r="A2931" s="21" t="s">
        <v>6284</v>
      </c>
      <c r="B2931" s="19" t="str">
        <f>image("https://storage.googleapis.com/acdb/photos/BromideNpcNmlElp09_Remake_1_0.png")</f>
        <v/>
      </c>
      <c r="C2931" s="21" t="s">
        <v>795</v>
      </c>
      <c r="D2931" s="21" t="s">
        <v>51</v>
      </c>
      <c r="E2931" s="21">
        <v>10.0</v>
      </c>
      <c r="F2931" s="21" t="s">
        <v>2289</v>
      </c>
      <c r="G2931" s="19"/>
      <c r="H2931" s="19"/>
      <c r="I2931" s="19"/>
    </row>
    <row r="2932" ht="56.25" customHeight="1">
      <c r="A2932" s="21" t="s">
        <v>6284</v>
      </c>
      <c r="B2932" s="19" t="str">
        <f>image("https://storage.googleapis.com/acdb/photos/BromideNpcNmlElp09_Remake_2_0.png")</f>
        <v/>
      </c>
      <c r="C2932" s="21" t="s">
        <v>954</v>
      </c>
      <c r="D2932" s="21" t="s">
        <v>51</v>
      </c>
      <c r="E2932" s="21">
        <v>10.0</v>
      </c>
      <c r="F2932" s="21" t="s">
        <v>2289</v>
      </c>
      <c r="G2932" s="19"/>
      <c r="H2932" s="19"/>
      <c r="I2932" s="19"/>
    </row>
    <row r="2933" ht="56.25" customHeight="1">
      <c r="A2933" s="21" t="s">
        <v>6284</v>
      </c>
      <c r="B2933" s="19" t="str">
        <f>image("https://storage.googleapis.com/acdb/photos/BromideNpcNmlElp09_Remake_3_0.png")</f>
        <v/>
      </c>
      <c r="C2933" s="21" t="s">
        <v>82</v>
      </c>
      <c r="D2933" s="21" t="s">
        <v>51</v>
      </c>
      <c r="E2933" s="21">
        <v>10.0</v>
      </c>
      <c r="F2933" s="21" t="s">
        <v>2289</v>
      </c>
      <c r="G2933" s="19"/>
      <c r="H2933" s="19"/>
      <c r="I2933" s="19"/>
    </row>
    <row r="2934" ht="56.25" customHeight="1">
      <c r="A2934" s="21" t="s">
        <v>6284</v>
      </c>
      <c r="B2934" s="19" t="str">
        <f>image("https://storage.googleapis.com/acdb/photos/BromideNpcNmlElp09_Remake_4_0.png")</f>
        <v/>
      </c>
      <c r="C2934" s="21" t="s">
        <v>833</v>
      </c>
      <c r="D2934" s="21" t="s">
        <v>51</v>
      </c>
      <c r="E2934" s="21">
        <v>10.0</v>
      </c>
      <c r="F2934" s="21" t="s">
        <v>2289</v>
      </c>
      <c r="G2934" s="19"/>
      <c r="H2934" s="19"/>
      <c r="I2934" s="19"/>
    </row>
    <row r="2935" ht="56.25" customHeight="1">
      <c r="A2935" s="21" t="s">
        <v>6284</v>
      </c>
      <c r="B2935" s="19" t="str">
        <f>image("https://storage.googleapis.com/acdb/photos/BromideNpcNmlElp09_Remake_5_0.png")</f>
        <v/>
      </c>
      <c r="C2935" s="21" t="s">
        <v>258</v>
      </c>
      <c r="D2935" s="21" t="s">
        <v>51</v>
      </c>
      <c r="E2935" s="21">
        <v>10.0</v>
      </c>
      <c r="F2935" s="21" t="s">
        <v>2289</v>
      </c>
      <c r="G2935" s="19"/>
      <c r="H2935" s="19"/>
      <c r="I2935" s="19"/>
    </row>
    <row r="2936" ht="56.25" customHeight="1">
      <c r="A2936" s="21" t="s">
        <v>6284</v>
      </c>
      <c r="B2936" s="19" t="str">
        <f>image("https://storage.googleapis.com/acdb/photos/BromideNpcNmlElp09_Remake_6_0.png")</f>
        <v/>
      </c>
      <c r="C2936" s="21" t="s">
        <v>182</v>
      </c>
      <c r="D2936" s="21" t="s">
        <v>51</v>
      </c>
      <c r="E2936" s="21">
        <v>10.0</v>
      </c>
      <c r="F2936" s="21" t="s">
        <v>2289</v>
      </c>
      <c r="G2936" s="19"/>
      <c r="H2936" s="19"/>
      <c r="I2936" s="19"/>
    </row>
    <row r="2937" ht="56.25" customHeight="1">
      <c r="A2937" s="21" t="s">
        <v>6284</v>
      </c>
      <c r="B2937" s="19" t="str">
        <f>image("https://storage.googleapis.com/acdb/photos/BromideNpcNmlElp09_Remake_7_0.png")</f>
        <v/>
      </c>
      <c r="C2937" s="21" t="s">
        <v>187</v>
      </c>
      <c r="D2937" s="21" t="s">
        <v>51</v>
      </c>
      <c r="E2937" s="21">
        <v>10.0</v>
      </c>
      <c r="F2937" s="21" t="s">
        <v>2289</v>
      </c>
      <c r="G2937" s="19"/>
      <c r="H2937" s="19"/>
      <c r="I2937" s="19"/>
    </row>
    <row r="2938" ht="56.25" customHeight="1">
      <c r="A2938" s="21" t="s">
        <v>6303</v>
      </c>
      <c r="B2938" s="19" t="str">
        <f>image("https://storage.googleapis.com/acdb/photos/BromideNpcNmlBea07_Remake_0_0.png")</f>
        <v/>
      </c>
      <c r="C2938" s="21" t="s">
        <v>219</v>
      </c>
      <c r="D2938" s="21" t="s">
        <v>51</v>
      </c>
      <c r="E2938" s="21">
        <v>10.0</v>
      </c>
      <c r="F2938" s="21" t="s">
        <v>2289</v>
      </c>
      <c r="G2938" s="19"/>
      <c r="H2938" s="19"/>
      <c r="I2938" s="19"/>
    </row>
    <row r="2939" ht="56.25" customHeight="1">
      <c r="A2939" s="21" t="s">
        <v>6303</v>
      </c>
      <c r="B2939" s="19" t="str">
        <f>image("https://storage.googleapis.com/acdb/photos/BromideNpcNmlBea07_Remake_1_0.png")</f>
        <v/>
      </c>
      <c r="C2939" s="21" t="s">
        <v>795</v>
      </c>
      <c r="D2939" s="21" t="s">
        <v>51</v>
      </c>
      <c r="E2939" s="21">
        <v>10.0</v>
      </c>
      <c r="F2939" s="21" t="s">
        <v>2289</v>
      </c>
      <c r="G2939" s="19"/>
      <c r="H2939" s="19"/>
      <c r="I2939" s="19"/>
    </row>
    <row r="2940" ht="56.25" customHeight="1">
      <c r="A2940" s="21" t="s">
        <v>6303</v>
      </c>
      <c r="B2940" s="19" t="str">
        <f>image("https://storage.googleapis.com/acdb/photos/BromideNpcNmlBea07_Remake_2_0.png")</f>
        <v/>
      </c>
      <c r="C2940" s="21" t="s">
        <v>954</v>
      </c>
      <c r="D2940" s="21" t="s">
        <v>51</v>
      </c>
      <c r="E2940" s="21">
        <v>10.0</v>
      </c>
      <c r="F2940" s="21" t="s">
        <v>2289</v>
      </c>
      <c r="G2940" s="19"/>
      <c r="H2940" s="19"/>
      <c r="I2940" s="19"/>
    </row>
    <row r="2941" ht="56.25" customHeight="1">
      <c r="A2941" s="21" t="s">
        <v>6303</v>
      </c>
      <c r="B2941" s="19" t="str">
        <f>image("https://storage.googleapis.com/acdb/photos/BromideNpcNmlBea07_Remake_3_0.png")</f>
        <v/>
      </c>
      <c r="C2941" s="21" t="s">
        <v>82</v>
      </c>
      <c r="D2941" s="21" t="s">
        <v>51</v>
      </c>
      <c r="E2941" s="21">
        <v>10.0</v>
      </c>
      <c r="F2941" s="21" t="s">
        <v>2289</v>
      </c>
      <c r="G2941" s="19"/>
      <c r="H2941" s="19"/>
      <c r="I2941" s="19"/>
    </row>
    <row r="2942" ht="56.25" customHeight="1">
      <c r="A2942" s="21" t="s">
        <v>6303</v>
      </c>
      <c r="B2942" s="19" t="str">
        <f>image("https://storage.googleapis.com/acdb/photos/BromideNpcNmlBea07_Remake_4_0.png")</f>
        <v/>
      </c>
      <c r="C2942" s="21" t="s">
        <v>833</v>
      </c>
      <c r="D2942" s="21" t="s">
        <v>51</v>
      </c>
      <c r="E2942" s="21">
        <v>10.0</v>
      </c>
      <c r="F2942" s="21" t="s">
        <v>2289</v>
      </c>
      <c r="G2942" s="19"/>
      <c r="H2942" s="19"/>
      <c r="I2942" s="19"/>
    </row>
    <row r="2943" ht="56.25" customHeight="1">
      <c r="A2943" s="21" t="s">
        <v>6303</v>
      </c>
      <c r="B2943" s="19" t="str">
        <f>image("https://storage.googleapis.com/acdb/photos/BromideNpcNmlBea07_Remake_5_0.png")</f>
        <v/>
      </c>
      <c r="C2943" s="21" t="s">
        <v>258</v>
      </c>
      <c r="D2943" s="21" t="s">
        <v>51</v>
      </c>
      <c r="E2943" s="21">
        <v>10.0</v>
      </c>
      <c r="F2943" s="21" t="s">
        <v>2289</v>
      </c>
      <c r="G2943" s="19"/>
      <c r="H2943" s="19"/>
      <c r="I2943" s="19"/>
    </row>
    <row r="2944" ht="56.25" customHeight="1">
      <c r="A2944" s="21" t="s">
        <v>6303</v>
      </c>
      <c r="B2944" s="19" t="str">
        <f>image("https://storage.googleapis.com/acdb/photos/BromideNpcNmlBea07_Remake_6_0.png")</f>
        <v/>
      </c>
      <c r="C2944" s="21" t="s">
        <v>182</v>
      </c>
      <c r="D2944" s="21" t="s">
        <v>51</v>
      </c>
      <c r="E2944" s="21">
        <v>10.0</v>
      </c>
      <c r="F2944" s="21" t="s">
        <v>2289</v>
      </c>
      <c r="G2944" s="19"/>
      <c r="H2944" s="19"/>
      <c r="I2944" s="19"/>
    </row>
    <row r="2945" ht="56.25" customHeight="1">
      <c r="A2945" s="21" t="s">
        <v>6303</v>
      </c>
      <c r="B2945" s="19" t="str">
        <f>image("https://storage.googleapis.com/acdb/photos/BromideNpcNmlBea07_Remake_7_0.png")</f>
        <v/>
      </c>
      <c r="C2945" s="21" t="s">
        <v>187</v>
      </c>
      <c r="D2945" s="21" t="s">
        <v>51</v>
      </c>
      <c r="E2945" s="21">
        <v>10.0</v>
      </c>
      <c r="F2945" s="21" t="s">
        <v>2289</v>
      </c>
      <c r="G2945" s="19"/>
      <c r="H2945" s="19"/>
      <c r="I2945" s="19"/>
    </row>
    <row r="2946" ht="56.25" customHeight="1">
      <c r="A2946" s="21" t="s">
        <v>6323</v>
      </c>
      <c r="B2946" s="19" t="str">
        <f>image("https://storage.googleapis.com/acdb/photos/BromideNpcNmlBrd03_Remake_0_0.png")</f>
        <v/>
      </c>
      <c r="C2946" s="21" t="s">
        <v>219</v>
      </c>
      <c r="D2946" s="21" t="s">
        <v>51</v>
      </c>
      <c r="E2946" s="21">
        <v>10.0</v>
      </c>
      <c r="F2946" s="21" t="s">
        <v>2289</v>
      </c>
      <c r="G2946" s="19"/>
      <c r="H2946" s="19"/>
      <c r="I2946" s="19"/>
    </row>
    <row r="2947" ht="56.25" customHeight="1">
      <c r="A2947" s="21" t="s">
        <v>6323</v>
      </c>
      <c r="B2947" s="19" t="str">
        <f>image("https://storage.googleapis.com/acdb/photos/BromideNpcNmlBrd03_Remake_1_0.png")</f>
        <v/>
      </c>
      <c r="C2947" s="21" t="s">
        <v>795</v>
      </c>
      <c r="D2947" s="21" t="s">
        <v>51</v>
      </c>
      <c r="E2947" s="21">
        <v>10.0</v>
      </c>
      <c r="F2947" s="21" t="s">
        <v>2289</v>
      </c>
      <c r="G2947" s="19"/>
      <c r="H2947" s="19"/>
      <c r="I2947" s="19"/>
    </row>
    <row r="2948" ht="56.25" customHeight="1">
      <c r="A2948" s="21" t="s">
        <v>6323</v>
      </c>
      <c r="B2948" s="19" t="str">
        <f>image("https://storage.googleapis.com/acdb/photos/BromideNpcNmlBrd03_Remake_2_0.png")</f>
        <v/>
      </c>
      <c r="C2948" s="21" t="s">
        <v>954</v>
      </c>
      <c r="D2948" s="21" t="s">
        <v>51</v>
      </c>
      <c r="E2948" s="21">
        <v>10.0</v>
      </c>
      <c r="F2948" s="21" t="s">
        <v>2289</v>
      </c>
      <c r="G2948" s="19"/>
      <c r="H2948" s="19"/>
      <c r="I2948" s="19"/>
    </row>
    <row r="2949" ht="56.25" customHeight="1">
      <c r="A2949" s="21" t="s">
        <v>6323</v>
      </c>
      <c r="B2949" s="19" t="str">
        <f>image("https://storage.googleapis.com/acdb/photos/BromideNpcNmlBrd03_Remake_3_0.png")</f>
        <v/>
      </c>
      <c r="C2949" s="21" t="s">
        <v>82</v>
      </c>
      <c r="D2949" s="21" t="s">
        <v>51</v>
      </c>
      <c r="E2949" s="21">
        <v>10.0</v>
      </c>
      <c r="F2949" s="21" t="s">
        <v>2289</v>
      </c>
      <c r="G2949" s="19"/>
      <c r="H2949" s="19"/>
      <c r="I2949" s="19"/>
    </row>
    <row r="2950" ht="56.25" customHeight="1">
      <c r="A2950" s="21" t="s">
        <v>6323</v>
      </c>
      <c r="B2950" s="19" t="str">
        <f>image("https://storage.googleapis.com/acdb/photos/BromideNpcNmlBrd03_Remake_4_0.png")</f>
        <v/>
      </c>
      <c r="C2950" s="21" t="s">
        <v>833</v>
      </c>
      <c r="D2950" s="21" t="s">
        <v>51</v>
      </c>
      <c r="E2950" s="21">
        <v>10.0</v>
      </c>
      <c r="F2950" s="21" t="s">
        <v>2289</v>
      </c>
      <c r="G2950" s="19"/>
      <c r="H2950" s="19"/>
      <c r="I2950" s="19"/>
    </row>
    <row r="2951" ht="56.25" customHeight="1">
      <c r="A2951" s="21" t="s">
        <v>6323</v>
      </c>
      <c r="B2951" s="19" t="str">
        <f>image("https://storage.googleapis.com/acdb/photos/BromideNpcNmlBrd03_Remake_5_0.png")</f>
        <v/>
      </c>
      <c r="C2951" s="21" t="s">
        <v>258</v>
      </c>
      <c r="D2951" s="21" t="s">
        <v>51</v>
      </c>
      <c r="E2951" s="21">
        <v>10.0</v>
      </c>
      <c r="F2951" s="21" t="s">
        <v>2289</v>
      </c>
      <c r="G2951" s="19"/>
      <c r="H2951" s="19"/>
      <c r="I2951" s="19"/>
    </row>
    <row r="2952" ht="56.25" customHeight="1">
      <c r="A2952" s="21" t="s">
        <v>6323</v>
      </c>
      <c r="B2952" s="19" t="str">
        <f>image("https://storage.googleapis.com/acdb/photos/BromideNpcNmlBrd03_Remake_6_0.png")</f>
        <v/>
      </c>
      <c r="C2952" s="21" t="s">
        <v>182</v>
      </c>
      <c r="D2952" s="21" t="s">
        <v>51</v>
      </c>
      <c r="E2952" s="21">
        <v>10.0</v>
      </c>
      <c r="F2952" s="21" t="s">
        <v>2289</v>
      </c>
      <c r="G2952" s="19"/>
      <c r="H2952" s="19"/>
      <c r="I2952" s="19"/>
    </row>
    <row r="2953" ht="56.25" customHeight="1">
      <c r="A2953" s="21" t="s">
        <v>6323</v>
      </c>
      <c r="B2953" s="19" t="str">
        <f>image("https://storage.googleapis.com/acdb/photos/BromideNpcNmlBrd03_Remake_7_0.png")</f>
        <v/>
      </c>
      <c r="C2953" s="21" t="s">
        <v>187</v>
      </c>
      <c r="D2953" s="21" t="s">
        <v>51</v>
      </c>
      <c r="E2953" s="21">
        <v>10.0</v>
      </c>
      <c r="F2953" s="21" t="s">
        <v>2289</v>
      </c>
      <c r="G2953" s="19"/>
      <c r="H2953" s="19"/>
      <c r="I2953" s="19"/>
    </row>
    <row r="2954" ht="56.25" customHeight="1">
      <c r="A2954" s="21" t="s">
        <v>6340</v>
      </c>
      <c r="B2954" s="19" t="str">
        <f>image("https://storage.googleapis.com/acdb/photos/BromideNpcNmlTig02_Remake_0_0.png")</f>
        <v/>
      </c>
      <c r="C2954" s="21" t="s">
        <v>219</v>
      </c>
      <c r="D2954" s="21" t="s">
        <v>51</v>
      </c>
      <c r="E2954" s="21">
        <v>10.0</v>
      </c>
      <c r="F2954" s="21" t="s">
        <v>2289</v>
      </c>
      <c r="G2954" s="19"/>
      <c r="H2954" s="19"/>
      <c r="I2954" s="19"/>
    </row>
    <row r="2955" ht="56.25" customHeight="1">
      <c r="A2955" s="21" t="s">
        <v>6340</v>
      </c>
      <c r="B2955" s="19" t="str">
        <f>image("https://storage.googleapis.com/acdb/photos/BromideNpcNmlTig02_Remake_1_0.png")</f>
        <v/>
      </c>
      <c r="C2955" s="21" t="s">
        <v>795</v>
      </c>
      <c r="D2955" s="21" t="s">
        <v>51</v>
      </c>
      <c r="E2955" s="21">
        <v>10.0</v>
      </c>
      <c r="F2955" s="21" t="s">
        <v>2289</v>
      </c>
      <c r="G2955" s="19"/>
      <c r="H2955" s="19"/>
      <c r="I2955" s="19"/>
    </row>
    <row r="2956" ht="56.25" customHeight="1">
      <c r="A2956" s="21" t="s">
        <v>6340</v>
      </c>
      <c r="B2956" s="19" t="str">
        <f>image("https://storage.googleapis.com/acdb/photos/BromideNpcNmlTig02_Remake_2_0.png")</f>
        <v/>
      </c>
      <c r="C2956" s="21" t="s">
        <v>954</v>
      </c>
      <c r="D2956" s="21" t="s">
        <v>51</v>
      </c>
      <c r="E2956" s="21">
        <v>10.0</v>
      </c>
      <c r="F2956" s="21" t="s">
        <v>2289</v>
      </c>
      <c r="G2956" s="19"/>
      <c r="H2956" s="19"/>
      <c r="I2956" s="19"/>
    </row>
    <row r="2957" ht="56.25" customHeight="1">
      <c r="A2957" s="21" t="s">
        <v>6340</v>
      </c>
      <c r="B2957" s="19" t="str">
        <f>image("https://storage.googleapis.com/acdb/photos/BromideNpcNmlTig02_Remake_3_0.png")</f>
        <v/>
      </c>
      <c r="C2957" s="21" t="s">
        <v>82</v>
      </c>
      <c r="D2957" s="21" t="s">
        <v>51</v>
      </c>
      <c r="E2957" s="21">
        <v>10.0</v>
      </c>
      <c r="F2957" s="21" t="s">
        <v>2289</v>
      </c>
      <c r="G2957" s="19"/>
      <c r="H2957" s="19"/>
      <c r="I2957" s="19"/>
    </row>
    <row r="2958" ht="56.25" customHeight="1">
      <c r="A2958" s="21" t="s">
        <v>6340</v>
      </c>
      <c r="B2958" s="19" t="str">
        <f>image("https://storage.googleapis.com/acdb/photos/BromideNpcNmlTig02_Remake_4_0.png")</f>
        <v/>
      </c>
      <c r="C2958" s="21" t="s">
        <v>833</v>
      </c>
      <c r="D2958" s="21" t="s">
        <v>51</v>
      </c>
      <c r="E2958" s="21">
        <v>10.0</v>
      </c>
      <c r="F2958" s="21" t="s">
        <v>2289</v>
      </c>
      <c r="G2958" s="19"/>
      <c r="H2958" s="19"/>
      <c r="I2958" s="19"/>
    </row>
    <row r="2959" ht="56.25" customHeight="1">
      <c r="A2959" s="21" t="s">
        <v>6340</v>
      </c>
      <c r="B2959" s="19" t="str">
        <f>image("https://storage.googleapis.com/acdb/photos/BromideNpcNmlTig02_Remake_5_0.png")</f>
        <v/>
      </c>
      <c r="C2959" s="21" t="s">
        <v>258</v>
      </c>
      <c r="D2959" s="21" t="s">
        <v>51</v>
      </c>
      <c r="E2959" s="21">
        <v>10.0</v>
      </c>
      <c r="F2959" s="21" t="s">
        <v>2289</v>
      </c>
      <c r="G2959" s="19"/>
      <c r="H2959" s="19"/>
      <c r="I2959" s="19"/>
    </row>
    <row r="2960" ht="56.25" customHeight="1">
      <c r="A2960" s="21" t="s">
        <v>6340</v>
      </c>
      <c r="B2960" s="19" t="str">
        <f>image("https://storage.googleapis.com/acdb/photos/BromideNpcNmlTig02_Remake_6_0.png")</f>
        <v/>
      </c>
      <c r="C2960" s="21" t="s">
        <v>182</v>
      </c>
      <c r="D2960" s="21" t="s">
        <v>51</v>
      </c>
      <c r="E2960" s="21">
        <v>10.0</v>
      </c>
      <c r="F2960" s="21" t="s">
        <v>2289</v>
      </c>
      <c r="G2960" s="19"/>
      <c r="H2960" s="19"/>
      <c r="I2960" s="19"/>
    </row>
    <row r="2961" ht="56.25" customHeight="1">
      <c r="A2961" s="21" t="s">
        <v>6340</v>
      </c>
      <c r="B2961" s="19" t="str">
        <f>image("https://storage.googleapis.com/acdb/photos/BromideNpcNmlTig02_Remake_7_0.png")</f>
        <v/>
      </c>
      <c r="C2961" s="21" t="s">
        <v>187</v>
      </c>
      <c r="D2961" s="21" t="s">
        <v>51</v>
      </c>
      <c r="E2961" s="21">
        <v>10.0</v>
      </c>
      <c r="F2961" s="21" t="s">
        <v>2289</v>
      </c>
      <c r="G2961" s="19"/>
      <c r="H2961" s="19"/>
      <c r="I2961" s="19"/>
    </row>
    <row r="2962" ht="56.25" customHeight="1">
      <c r="A2962" s="21" t="s">
        <v>6356</v>
      </c>
      <c r="B2962" s="19" t="str">
        <f>image("https://storage.googleapis.com/acdb/photos/BromideNpcNmlBea08_Remake_0_0.png")</f>
        <v/>
      </c>
      <c r="C2962" s="21" t="s">
        <v>219</v>
      </c>
      <c r="D2962" s="21" t="s">
        <v>51</v>
      </c>
      <c r="E2962" s="21">
        <v>10.0</v>
      </c>
      <c r="F2962" s="21" t="s">
        <v>2289</v>
      </c>
      <c r="G2962" s="19"/>
      <c r="H2962" s="19"/>
      <c r="I2962" s="19"/>
    </row>
    <row r="2963" ht="56.25" customHeight="1">
      <c r="A2963" s="21" t="s">
        <v>6356</v>
      </c>
      <c r="B2963" s="19" t="str">
        <f>image("https://storage.googleapis.com/acdb/photos/BromideNpcNmlBea08_Remake_1_0.png")</f>
        <v/>
      </c>
      <c r="C2963" s="21" t="s">
        <v>795</v>
      </c>
      <c r="D2963" s="21" t="s">
        <v>51</v>
      </c>
      <c r="E2963" s="21">
        <v>10.0</v>
      </c>
      <c r="F2963" s="21" t="s">
        <v>2289</v>
      </c>
      <c r="G2963" s="19"/>
      <c r="H2963" s="19"/>
      <c r="I2963" s="19"/>
    </row>
    <row r="2964" ht="56.25" customHeight="1">
      <c r="A2964" s="21" t="s">
        <v>6356</v>
      </c>
      <c r="B2964" s="19" t="str">
        <f>image("https://storage.googleapis.com/acdb/photos/BromideNpcNmlBea08_Remake_2_0.png")</f>
        <v/>
      </c>
      <c r="C2964" s="21" t="s">
        <v>954</v>
      </c>
      <c r="D2964" s="21" t="s">
        <v>51</v>
      </c>
      <c r="E2964" s="21">
        <v>10.0</v>
      </c>
      <c r="F2964" s="21" t="s">
        <v>2289</v>
      </c>
      <c r="G2964" s="19"/>
      <c r="H2964" s="19"/>
      <c r="I2964" s="19"/>
    </row>
    <row r="2965" ht="56.25" customHeight="1">
      <c r="A2965" s="21" t="s">
        <v>6356</v>
      </c>
      <c r="B2965" s="19" t="str">
        <f>image("https://storage.googleapis.com/acdb/photos/BromideNpcNmlBea08_Remake_3_0.png")</f>
        <v/>
      </c>
      <c r="C2965" s="21" t="s">
        <v>82</v>
      </c>
      <c r="D2965" s="21" t="s">
        <v>51</v>
      </c>
      <c r="E2965" s="21">
        <v>10.0</v>
      </c>
      <c r="F2965" s="21" t="s">
        <v>2289</v>
      </c>
      <c r="G2965" s="19"/>
      <c r="H2965" s="19"/>
      <c r="I2965" s="19"/>
    </row>
    <row r="2966" ht="56.25" customHeight="1">
      <c r="A2966" s="21" t="s">
        <v>6356</v>
      </c>
      <c r="B2966" s="19" t="str">
        <f>image("https://storage.googleapis.com/acdb/photos/BromideNpcNmlBea08_Remake_4_0.png")</f>
        <v/>
      </c>
      <c r="C2966" s="21" t="s">
        <v>833</v>
      </c>
      <c r="D2966" s="21" t="s">
        <v>51</v>
      </c>
      <c r="E2966" s="21">
        <v>10.0</v>
      </c>
      <c r="F2966" s="21" t="s">
        <v>2289</v>
      </c>
      <c r="G2966" s="19"/>
      <c r="H2966" s="19"/>
      <c r="I2966" s="19"/>
    </row>
    <row r="2967" ht="56.25" customHeight="1">
      <c r="A2967" s="21" t="s">
        <v>6356</v>
      </c>
      <c r="B2967" s="19" t="str">
        <f>image("https://storage.googleapis.com/acdb/photos/BromideNpcNmlBea08_Remake_5_0.png")</f>
        <v/>
      </c>
      <c r="C2967" s="21" t="s">
        <v>258</v>
      </c>
      <c r="D2967" s="21" t="s">
        <v>51</v>
      </c>
      <c r="E2967" s="21">
        <v>10.0</v>
      </c>
      <c r="F2967" s="21" t="s">
        <v>2289</v>
      </c>
      <c r="G2967" s="19"/>
      <c r="H2967" s="19"/>
      <c r="I2967" s="19"/>
    </row>
    <row r="2968" ht="56.25" customHeight="1">
      <c r="A2968" s="21" t="s">
        <v>6356</v>
      </c>
      <c r="B2968" s="19" t="str">
        <f>image("https://storage.googleapis.com/acdb/photos/BromideNpcNmlBea08_Remake_6_0.png")</f>
        <v/>
      </c>
      <c r="C2968" s="21" t="s">
        <v>182</v>
      </c>
      <c r="D2968" s="21" t="s">
        <v>51</v>
      </c>
      <c r="E2968" s="21">
        <v>10.0</v>
      </c>
      <c r="F2968" s="21" t="s">
        <v>2289</v>
      </c>
      <c r="G2968" s="19"/>
      <c r="H2968" s="19"/>
      <c r="I2968" s="19"/>
    </row>
    <row r="2969" ht="56.25" customHeight="1">
      <c r="A2969" s="21" t="s">
        <v>6356</v>
      </c>
      <c r="B2969" s="19" t="str">
        <f>image("https://storage.googleapis.com/acdb/photos/BromideNpcNmlBea08_Remake_7_0.png")</f>
        <v/>
      </c>
      <c r="C2969" s="21" t="s">
        <v>187</v>
      </c>
      <c r="D2969" s="21" t="s">
        <v>51</v>
      </c>
      <c r="E2969" s="21">
        <v>10.0</v>
      </c>
      <c r="F2969" s="21" t="s">
        <v>2289</v>
      </c>
      <c r="G2969" s="19"/>
      <c r="H2969" s="19"/>
      <c r="I2969" s="19"/>
    </row>
    <row r="2970" ht="56.25" customHeight="1">
      <c r="A2970" s="21" t="s">
        <v>6371</v>
      </c>
      <c r="B2970" s="19" t="str">
        <f>image("https://storage.googleapis.com/acdb/photos/BromideNpcNmlGoa06_Remake_0_0.png")</f>
        <v/>
      </c>
      <c r="C2970" s="21" t="s">
        <v>219</v>
      </c>
      <c r="D2970" s="21" t="s">
        <v>51</v>
      </c>
      <c r="E2970" s="21">
        <v>10.0</v>
      </c>
      <c r="F2970" s="21" t="s">
        <v>2289</v>
      </c>
      <c r="G2970" s="19"/>
      <c r="H2970" s="19"/>
      <c r="I2970" s="19"/>
    </row>
    <row r="2971" ht="56.25" customHeight="1">
      <c r="A2971" s="21" t="s">
        <v>6371</v>
      </c>
      <c r="B2971" s="19" t="str">
        <f>image("https://storage.googleapis.com/acdb/photos/BromideNpcNmlGoa06_Remake_1_0.png")</f>
        <v/>
      </c>
      <c r="C2971" s="21" t="s">
        <v>795</v>
      </c>
      <c r="D2971" s="21" t="s">
        <v>51</v>
      </c>
      <c r="E2971" s="21">
        <v>10.0</v>
      </c>
      <c r="F2971" s="21" t="s">
        <v>2289</v>
      </c>
      <c r="G2971" s="19"/>
      <c r="H2971" s="19"/>
      <c r="I2971" s="19"/>
    </row>
    <row r="2972" ht="56.25" customHeight="1">
      <c r="A2972" s="21" t="s">
        <v>6371</v>
      </c>
      <c r="B2972" s="19" t="str">
        <f>image("https://storage.googleapis.com/acdb/photos/BromideNpcNmlGoa06_Remake_2_0.png")</f>
        <v/>
      </c>
      <c r="C2972" s="21" t="s">
        <v>954</v>
      </c>
      <c r="D2972" s="21" t="s">
        <v>51</v>
      </c>
      <c r="E2972" s="21">
        <v>10.0</v>
      </c>
      <c r="F2972" s="21" t="s">
        <v>2289</v>
      </c>
      <c r="G2972" s="19"/>
      <c r="H2972" s="19"/>
      <c r="I2972" s="19"/>
    </row>
    <row r="2973" ht="56.25" customHeight="1">
      <c r="A2973" s="21" t="s">
        <v>6371</v>
      </c>
      <c r="B2973" s="19" t="str">
        <f>image("https://storage.googleapis.com/acdb/photos/BromideNpcNmlGoa06_Remake_3_0.png")</f>
        <v/>
      </c>
      <c r="C2973" s="21" t="s">
        <v>82</v>
      </c>
      <c r="D2973" s="21" t="s">
        <v>51</v>
      </c>
      <c r="E2973" s="21">
        <v>10.0</v>
      </c>
      <c r="F2973" s="21" t="s">
        <v>2289</v>
      </c>
      <c r="G2973" s="19"/>
      <c r="H2973" s="19"/>
      <c r="I2973" s="19"/>
    </row>
    <row r="2974" ht="56.25" customHeight="1">
      <c r="A2974" s="21" t="s">
        <v>6371</v>
      </c>
      <c r="B2974" s="19" t="str">
        <f>image("https://storage.googleapis.com/acdb/photos/BromideNpcNmlGoa06_Remake_4_0.png")</f>
        <v/>
      </c>
      <c r="C2974" s="21" t="s">
        <v>833</v>
      </c>
      <c r="D2974" s="21" t="s">
        <v>51</v>
      </c>
      <c r="E2974" s="21">
        <v>10.0</v>
      </c>
      <c r="F2974" s="21" t="s">
        <v>2289</v>
      </c>
      <c r="G2974" s="19"/>
      <c r="H2974" s="19"/>
      <c r="I2974" s="19"/>
    </row>
    <row r="2975" ht="56.25" customHeight="1">
      <c r="A2975" s="21" t="s">
        <v>6371</v>
      </c>
      <c r="B2975" s="19" t="str">
        <f>image("https://storage.googleapis.com/acdb/photos/BromideNpcNmlGoa06_Remake_5_0.png")</f>
        <v/>
      </c>
      <c r="C2975" s="21" t="s">
        <v>258</v>
      </c>
      <c r="D2975" s="21" t="s">
        <v>51</v>
      </c>
      <c r="E2975" s="21">
        <v>10.0</v>
      </c>
      <c r="F2975" s="21" t="s">
        <v>2289</v>
      </c>
      <c r="G2975" s="19"/>
      <c r="H2975" s="19"/>
      <c r="I2975" s="19"/>
    </row>
    <row r="2976" ht="56.25" customHeight="1">
      <c r="A2976" s="21" t="s">
        <v>6371</v>
      </c>
      <c r="B2976" s="19" t="str">
        <f>image("https://storage.googleapis.com/acdb/photos/BromideNpcNmlGoa06_Remake_6_0.png")</f>
        <v/>
      </c>
      <c r="C2976" s="21" t="s">
        <v>182</v>
      </c>
      <c r="D2976" s="21" t="s">
        <v>51</v>
      </c>
      <c r="E2976" s="21">
        <v>10.0</v>
      </c>
      <c r="F2976" s="21" t="s">
        <v>2289</v>
      </c>
      <c r="G2976" s="19"/>
      <c r="H2976" s="19"/>
      <c r="I2976" s="19"/>
    </row>
    <row r="2977" ht="56.25" customHeight="1">
      <c r="A2977" s="21" t="s">
        <v>6371</v>
      </c>
      <c r="B2977" s="19" t="str">
        <f>image("https://storage.googleapis.com/acdb/photos/BromideNpcNmlGoa06_Remake_7_0.png")</f>
        <v/>
      </c>
      <c r="C2977" s="21" t="s">
        <v>187</v>
      </c>
      <c r="D2977" s="21" t="s">
        <v>51</v>
      </c>
      <c r="E2977" s="21">
        <v>10.0</v>
      </c>
      <c r="F2977" s="21" t="s">
        <v>2289</v>
      </c>
      <c r="G2977" s="19"/>
      <c r="H2977" s="19"/>
      <c r="I2977" s="19"/>
    </row>
    <row r="2978" ht="56.25" customHeight="1">
      <c r="A2978" s="21" t="s">
        <v>6388</v>
      </c>
      <c r="B2978" s="19" t="str">
        <f>image("https://storage.googleapis.com/acdb/photos/BromideNpcNmlShp00_Remake_0_0.png")</f>
        <v/>
      </c>
      <c r="C2978" s="21" t="s">
        <v>219</v>
      </c>
      <c r="D2978" s="21" t="s">
        <v>51</v>
      </c>
      <c r="E2978" s="21">
        <v>10.0</v>
      </c>
      <c r="F2978" s="21" t="s">
        <v>2289</v>
      </c>
      <c r="G2978" s="19"/>
      <c r="H2978" s="19"/>
      <c r="I2978" s="19"/>
    </row>
    <row r="2979" ht="56.25" customHeight="1">
      <c r="A2979" s="21" t="s">
        <v>6388</v>
      </c>
      <c r="B2979" s="19" t="str">
        <f>image("https://storage.googleapis.com/acdb/photos/BromideNpcNmlShp00_Remake_1_0.png")</f>
        <v/>
      </c>
      <c r="C2979" s="21" t="s">
        <v>795</v>
      </c>
      <c r="D2979" s="21" t="s">
        <v>51</v>
      </c>
      <c r="E2979" s="21">
        <v>10.0</v>
      </c>
      <c r="F2979" s="21" t="s">
        <v>2289</v>
      </c>
      <c r="G2979" s="19"/>
      <c r="H2979" s="19"/>
      <c r="I2979" s="19"/>
    </row>
    <row r="2980" ht="56.25" customHeight="1">
      <c r="A2980" s="21" t="s">
        <v>6388</v>
      </c>
      <c r="B2980" s="19" t="str">
        <f>image("https://storage.googleapis.com/acdb/photos/BromideNpcNmlShp00_Remake_2_0.png")</f>
        <v/>
      </c>
      <c r="C2980" s="21" t="s">
        <v>954</v>
      </c>
      <c r="D2980" s="21" t="s">
        <v>51</v>
      </c>
      <c r="E2980" s="21">
        <v>10.0</v>
      </c>
      <c r="F2980" s="21" t="s">
        <v>2289</v>
      </c>
      <c r="G2980" s="19"/>
      <c r="H2980" s="19"/>
      <c r="I2980" s="19"/>
    </row>
    <row r="2981" ht="56.25" customHeight="1">
      <c r="A2981" s="21" t="s">
        <v>6388</v>
      </c>
      <c r="B2981" s="19" t="str">
        <f>image("https://storage.googleapis.com/acdb/photos/BromideNpcNmlShp00_Remake_3_0.png")</f>
        <v/>
      </c>
      <c r="C2981" s="21" t="s">
        <v>82</v>
      </c>
      <c r="D2981" s="21" t="s">
        <v>51</v>
      </c>
      <c r="E2981" s="21">
        <v>10.0</v>
      </c>
      <c r="F2981" s="21" t="s">
        <v>2289</v>
      </c>
      <c r="G2981" s="19"/>
      <c r="H2981" s="19"/>
      <c r="I2981" s="19"/>
    </row>
    <row r="2982" ht="56.25" customHeight="1">
      <c r="A2982" s="21" t="s">
        <v>6388</v>
      </c>
      <c r="B2982" s="19" t="str">
        <f>image("https://storage.googleapis.com/acdb/photos/BromideNpcNmlShp00_Remake_4_0.png")</f>
        <v/>
      </c>
      <c r="C2982" s="21" t="s">
        <v>833</v>
      </c>
      <c r="D2982" s="21" t="s">
        <v>51</v>
      </c>
      <c r="E2982" s="21">
        <v>10.0</v>
      </c>
      <c r="F2982" s="21" t="s">
        <v>2289</v>
      </c>
      <c r="G2982" s="19"/>
      <c r="H2982" s="19"/>
      <c r="I2982" s="19"/>
    </row>
    <row r="2983" ht="56.25" customHeight="1">
      <c r="A2983" s="21" t="s">
        <v>6388</v>
      </c>
      <c r="B2983" s="19" t="str">
        <f>image("https://storage.googleapis.com/acdb/photos/BromideNpcNmlShp00_Remake_5_0.png")</f>
        <v/>
      </c>
      <c r="C2983" s="21" t="s">
        <v>258</v>
      </c>
      <c r="D2983" s="21" t="s">
        <v>51</v>
      </c>
      <c r="E2983" s="21">
        <v>10.0</v>
      </c>
      <c r="F2983" s="21" t="s">
        <v>2289</v>
      </c>
      <c r="G2983" s="19"/>
      <c r="H2983" s="19"/>
      <c r="I2983" s="19"/>
    </row>
    <row r="2984" ht="56.25" customHeight="1">
      <c r="A2984" s="21" t="s">
        <v>6388</v>
      </c>
      <c r="B2984" s="19" t="str">
        <f>image("https://storage.googleapis.com/acdb/photos/BromideNpcNmlShp00_Remake_6_0.png")</f>
        <v/>
      </c>
      <c r="C2984" s="21" t="s">
        <v>182</v>
      </c>
      <c r="D2984" s="21" t="s">
        <v>51</v>
      </c>
      <c r="E2984" s="21">
        <v>10.0</v>
      </c>
      <c r="F2984" s="21" t="s">
        <v>2289</v>
      </c>
      <c r="G2984" s="19"/>
      <c r="H2984" s="19"/>
      <c r="I2984" s="19"/>
    </row>
    <row r="2985" ht="56.25" customHeight="1">
      <c r="A2985" s="21" t="s">
        <v>6388</v>
      </c>
      <c r="B2985" s="19" t="str">
        <f>image("https://storage.googleapis.com/acdb/photos/BromideNpcNmlShp00_Remake_7_0.png")</f>
        <v/>
      </c>
      <c r="C2985" s="21" t="s">
        <v>187</v>
      </c>
      <c r="D2985" s="21" t="s">
        <v>51</v>
      </c>
      <c r="E2985" s="21">
        <v>10.0</v>
      </c>
      <c r="F2985" s="21" t="s">
        <v>2289</v>
      </c>
      <c r="G2985" s="19"/>
      <c r="H2985" s="19"/>
      <c r="I2985" s="19"/>
    </row>
    <row r="2986" ht="56.25" customHeight="1">
      <c r="A2986" s="21" t="s">
        <v>6399</v>
      </c>
      <c r="B2986" s="19" t="str">
        <f>image("https://storage.googleapis.com/acdb/photos/BromideNpcNmlBul08_Remake_0_0.png")</f>
        <v/>
      </c>
      <c r="C2986" s="21" t="s">
        <v>219</v>
      </c>
      <c r="D2986" s="21" t="s">
        <v>51</v>
      </c>
      <c r="E2986" s="21">
        <v>10.0</v>
      </c>
      <c r="F2986" s="21" t="s">
        <v>2289</v>
      </c>
      <c r="G2986" s="19"/>
      <c r="H2986" s="19"/>
      <c r="I2986" s="19"/>
    </row>
    <row r="2987" ht="56.25" customHeight="1">
      <c r="A2987" s="21" t="s">
        <v>6399</v>
      </c>
      <c r="B2987" s="19" t="str">
        <f>image("https://storage.googleapis.com/acdb/photos/BromideNpcNmlBul08_Remake_1_0.png")</f>
        <v/>
      </c>
      <c r="C2987" s="21" t="s">
        <v>795</v>
      </c>
      <c r="D2987" s="21" t="s">
        <v>51</v>
      </c>
      <c r="E2987" s="21">
        <v>10.0</v>
      </c>
      <c r="F2987" s="21" t="s">
        <v>2289</v>
      </c>
      <c r="G2987" s="19"/>
      <c r="H2987" s="19"/>
      <c r="I2987" s="19"/>
    </row>
    <row r="2988" ht="56.25" customHeight="1">
      <c r="A2988" s="21" t="s">
        <v>6399</v>
      </c>
      <c r="B2988" s="19" t="str">
        <f>image("https://storage.googleapis.com/acdb/photos/BromideNpcNmlBul08_Remake_2_0.png")</f>
        <v/>
      </c>
      <c r="C2988" s="21" t="s">
        <v>954</v>
      </c>
      <c r="D2988" s="21" t="s">
        <v>51</v>
      </c>
      <c r="E2988" s="21">
        <v>10.0</v>
      </c>
      <c r="F2988" s="21" t="s">
        <v>2289</v>
      </c>
      <c r="G2988" s="19"/>
      <c r="H2988" s="19"/>
      <c r="I2988" s="19"/>
    </row>
    <row r="2989" ht="56.25" customHeight="1">
      <c r="A2989" s="21" t="s">
        <v>6399</v>
      </c>
      <c r="B2989" s="19" t="str">
        <f>image("https://storage.googleapis.com/acdb/photos/BromideNpcNmlBul08_Remake_3_0.png")</f>
        <v/>
      </c>
      <c r="C2989" s="21" t="s">
        <v>82</v>
      </c>
      <c r="D2989" s="21" t="s">
        <v>51</v>
      </c>
      <c r="E2989" s="21">
        <v>10.0</v>
      </c>
      <c r="F2989" s="21" t="s">
        <v>2289</v>
      </c>
      <c r="G2989" s="19"/>
      <c r="H2989" s="19"/>
      <c r="I2989" s="19"/>
    </row>
    <row r="2990" ht="56.25" customHeight="1">
      <c r="A2990" s="21" t="s">
        <v>6399</v>
      </c>
      <c r="B2990" s="19" t="str">
        <f>image("https://storage.googleapis.com/acdb/photos/BromideNpcNmlBul08_Remake_4_0.png")</f>
        <v/>
      </c>
      <c r="C2990" s="21" t="s">
        <v>833</v>
      </c>
      <c r="D2990" s="21" t="s">
        <v>51</v>
      </c>
      <c r="E2990" s="21">
        <v>10.0</v>
      </c>
      <c r="F2990" s="21" t="s">
        <v>2289</v>
      </c>
      <c r="G2990" s="19"/>
      <c r="H2990" s="19"/>
      <c r="I2990" s="19"/>
    </row>
    <row r="2991" ht="56.25" customHeight="1">
      <c r="A2991" s="21" t="s">
        <v>6399</v>
      </c>
      <c r="B2991" s="19" t="str">
        <f>image("https://storage.googleapis.com/acdb/photos/BromideNpcNmlBul08_Remake_5_0.png")</f>
        <v/>
      </c>
      <c r="C2991" s="21" t="s">
        <v>258</v>
      </c>
      <c r="D2991" s="21" t="s">
        <v>51</v>
      </c>
      <c r="E2991" s="21">
        <v>10.0</v>
      </c>
      <c r="F2991" s="21" t="s">
        <v>2289</v>
      </c>
      <c r="G2991" s="19"/>
      <c r="H2991" s="19"/>
      <c r="I2991" s="19"/>
    </row>
    <row r="2992" ht="56.25" customHeight="1">
      <c r="A2992" s="21" t="s">
        <v>6399</v>
      </c>
      <c r="B2992" s="19" t="str">
        <f>image("https://storage.googleapis.com/acdb/photos/BromideNpcNmlBul08_Remake_6_0.png")</f>
        <v/>
      </c>
      <c r="C2992" s="21" t="s">
        <v>182</v>
      </c>
      <c r="D2992" s="21" t="s">
        <v>51</v>
      </c>
      <c r="E2992" s="21">
        <v>10.0</v>
      </c>
      <c r="F2992" s="21" t="s">
        <v>2289</v>
      </c>
      <c r="G2992" s="19"/>
      <c r="H2992" s="19"/>
      <c r="I2992" s="19"/>
    </row>
    <row r="2993" ht="56.25" customHeight="1">
      <c r="A2993" s="21" t="s">
        <v>6399</v>
      </c>
      <c r="B2993" s="19" t="str">
        <f>image("https://storage.googleapis.com/acdb/photos/BromideNpcNmlBul08_Remake_7_0.png")</f>
        <v/>
      </c>
      <c r="C2993" s="21" t="s">
        <v>187</v>
      </c>
      <c r="D2993" s="21" t="s">
        <v>51</v>
      </c>
      <c r="E2993" s="21">
        <v>10.0</v>
      </c>
      <c r="F2993" s="21" t="s">
        <v>2289</v>
      </c>
      <c r="G2993" s="19"/>
      <c r="H2993" s="19"/>
      <c r="I2993" s="19"/>
    </row>
    <row r="2994" ht="56.25" customHeight="1">
      <c r="A2994" s="21" t="s">
        <v>6400</v>
      </c>
      <c r="B2994" s="19" t="str">
        <f>image("https://storage.googleapis.com/acdb/photos/BromideNpcNmlHrs01_Remake_0_0.png")</f>
        <v/>
      </c>
      <c r="C2994" s="21" t="s">
        <v>219</v>
      </c>
      <c r="D2994" s="21" t="s">
        <v>51</v>
      </c>
      <c r="E2994" s="21">
        <v>10.0</v>
      </c>
      <c r="F2994" s="21" t="s">
        <v>2289</v>
      </c>
      <c r="G2994" s="19"/>
      <c r="H2994" s="19"/>
      <c r="I2994" s="19"/>
    </row>
    <row r="2995" ht="56.25" customHeight="1">
      <c r="A2995" s="21" t="s">
        <v>6400</v>
      </c>
      <c r="B2995" s="19" t="str">
        <f>image("https://storage.googleapis.com/acdb/photos/BromideNpcNmlHrs01_Remake_1_0.png")</f>
        <v/>
      </c>
      <c r="C2995" s="21" t="s">
        <v>795</v>
      </c>
      <c r="D2995" s="21" t="s">
        <v>51</v>
      </c>
      <c r="E2995" s="21">
        <v>10.0</v>
      </c>
      <c r="F2995" s="21" t="s">
        <v>2289</v>
      </c>
      <c r="G2995" s="19"/>
      <c r="H2995" s="19"/>
      <c r="I2995" s="19"/>
    </row>
    <row r="2996" ht="56.25" customHeight="1">
      <c r="A2996" s="21" t="s">
        <v>6400</v>
      </c>
      <c r="B2996" s="19" t="str">
        <f>image("https://storage.googleapis.com/acdb/photos/BromideNpcNmlHrs01_Remake_2_0.png")</f>
        <v/>
      </c>
      <c r="C2996" s="21" t="s">
        <v>954</v>
      </c>
      <c r="D2996" s="21" t="s">
        <v>51</v>
      </c>
      <c r="E2996" s="21">
        <v>10.0</v>
      </c>
      <c r="F2996" s="21" t="s">
        <v>2289</v>
      </c>
      <c r="G2996" s="19"/>
      <c r="H2996" s="19"/>
      <c r="I2996" s="19"/>
    </row>
    <row r="2997" ht="56.25" customHeight="1">
      <c r="A2997" s="21" t="s">
        <v>6400</v>
      </c>
      <c r="B2997" s="19" t="str">
        <f>image("https://storage.googleapis.com/acdb/photos/BromideNpcNmlHrs01_Remake_3_0.png")</f>
        <v/>
      </c>
      <c r="C2997" s="21" t="s">
        <v>82</v>
      </c>
      <c r="D2997" s="21" t="s">
        <v>51</v>
      </c>
      <c r="E2997" s="21">
        <v>10.0</v>
      </c>
      <c r="F2997" s="21" t="s">
        <v>2289</v>
      </c>
      <c r="G2997" s="19"/>
      <c r="H2997" s="19"/>
      <c r="I2997" s="19"/>
    </row>
    <row r="2998" ht="56.25" customHeight="1">
      <c r="A2998" s="21" t="s">
        <v>6400</v>
      </c>
      <c r="B2998" s="19" t="str">
        <f>image("https://storage.googleapis.com/acdb/photos/BromideNpcNmlHrs01_Remake_4_0.png")</f>
        <v/>
      </c>
      <c r="C2998" s="21" t="s">
        <v>833</v>
      </c>
      <c r="D2998" s="21" t="s">
        <v>51</v>
      </c>
      <c r="E2998" s="21">
        <v>10.0</v>
      </c>
      <c r="F2998" s="21" t="s">
        <v>2289</v>
      </c>
      <c r="G2998" s="19"/>
      <c r="H2998" s="19"/>
      <c r="I2998" s="19"/>
    </row>
    <row r="2999" ht="56.25" customHeight="1">
      <c r="A2999" s="21" t="s">
        <v>6400</v>
      </c>
      <c r="B2999" s="19" t="str">
        <f>image("https://storage.googleapis.com/acdb/photos/BromideNpcNmlHrs01_Remake_5_0.png")</f>
        <v/>
      </c>
      <c r="C2999" s="21" t="s">
        <v>258</v>
      </c>
      <c r="D2999" s="21" t="s">
        <v>51</v>
      </c>
      <c r="E2999" s="21">
        <v>10.0</v>
      </c>
      <c r="F2999" s="21" t="s">
        <v>2289</v>
      </c>
      <c r="G2999" s="19"/>
      <c r="H2999" s="19"/>
      <c r="I2999" s="19"/>
    </row>
    <row r="3000" ht="56.25" customHeight="1">
      <c r="A3000" s="21" t="s">
        <v>6400</v>
      </c>
      <c r="B3000" s="19" t="str">
        <f>image("https://storage.googleapis.com/acdb/photos/BromideNpcNmlHrs01_Remake_6_0.png")</f>
        <v/>
      </c>
      <c r="C3000" s="21" t="s">
        <v>182</v>
      </c>
      <c r="D3000" s="21" t="s">
        <v>51</v>
      </c>
      <c r="E3000" s="21">
        <v>10.0</v>
      </c>
      <c r="F3000" s="21" t="s">
        <v>2289</v>
      </c>
      <c r="G3000" s="19"/>
      <c r="H3000" s="19"/>
      <c r="I3000" s="19"/>
    </row>
    <row r="3001" ht="56.25" customHeight="1">
      <c r="A3001" s="21" t="s">
        <v>6400</v>
      </c>
      <c r="B3001" s="19" t="str">
        <f>image("https://storage.googleapis.com/acdb/photos/BromideNpcNmlHrs01_Remake_7_0.png")</f>
        <v/>
      </c>
      <c r="C3001" s="21" t="s">
        <v>187</v>
      </c>
      <c r="D3001" s="21" t="s">
        <v>51</v>
      </c>
      <c r="E3001" s="21">
        <v>10.0</v>
      </c>
      <c r="F3001" s="21" t="s">
        <v>2289</v>
      </c>
      <c r="G3001" s="19"/>
      <c r="H3001" s="19"/>
      <c r="I3001" s="19"/>
    </row>
    <row r="3002" ht="56.25" customHeight="1">
      <c r="A3002" s="21" t="s">
        <v>6401</v>
      </c>
      <c r="B3002" s="19" t="str">
        <f>image("https://storage.googleapis.com/acdb/photos/BromideNpcNmlGor07_Remake_0_0.png")</f>
        <v/>
      </c>
      <c r="C3002" s="21" t="s">
        <v>219</v>
      </c>
      <c r="D3002" s="21" t="s">
        <v>51</v>
      </c>
      <c r="E3002" s="21">
        <v>10.0</v>
      </c>
      <c r="F3002" s="21" t="s">
        <v>2289</v>
      </c>
      <c r="G3002" s="19"/>
      <c r="H3002" s="19"/>
      <c r="I3002" s="19"/>
    </row>
    <row r="3003" ht="56.25" customHeight="1">
      <c r="A3003" s="21" t="s">
        <v>6401</v>
      </c>
      <c r="B3003" s="19" t="str">
        <f>image("https://storage.googleapis.com/acdb/photos/BromideNpcNmlGor07_Remake_1_0.png")</f>
        <v/>
      </c>
      <c r="C3003" s="21" t="s">
        <v>795</v>
      </c>
      <c r="D3003" s="21" t="s">
        <v>51</v>
      </c>
      <c r="E3003" s="21">
        <v>10.0</v>
      </c>
      <c r="F3003" s="21" t="s">
        <v>2289</v>
      </c>
      <c r="G3003" s="19"/>
      <c r="H3003" s="19"/>
      <c r="I3003" s="19"/>
    </row>
    <row r="3004" ht="56.25" customHeight="1">
      <c r="A3004" s="21" t="s">
        <v>6401</v>
      </c>
      <c r="B3004" s="19" t="str">
        <f>image("https://storage.googleapis.com/acdb/photos/BromideNpcNmlGor07_Remake_2_0.png")</f>
        <v/>
      </c>
      <c r="C3004" s="21" t="s">
        <v>954</v>
      </c>
      <c r="D3004" s="21" t="s">
        <v>51</v>
      </c>
      <c r="E3004" s="21">
        <v>10.0</v>
      </c>
      <c r="F3004" s="21" t="s">
        <v>2289</v>
      </c>
      <c r="G3004" s="19"/>
      <c r="H3004" s="19"/>
      <c r="I3004" s="19"/>
    </row>
    <row r="3005" ht="56.25" customHeight="1">
      <c r="A3005" s="21" t="s">
        <v>6401</v>
      </c>
      <c r="B3005" s="19" t="str">
        <f>image("https://storage.googleapis.com/acdb/photos/BromideNpcNmlGor07_Remake_3_0.png")</f>
        <v/>
      </c>
      <c r="C3005" s="21" t="s">
        <v>82</v>
      </c>
      <c r="D3005" s="21" t="s">
        <v>51</v>
      </c>
      <c r="E3005" s="21">
        <v>10.0</v>
      </c>
      <c r="F3005" s="21" t="s">
        <v>2289</v>
      </c>
      <c r="G3005" s="19"/>
      <c r="H3005" s="19"/>
      <c r="I3005" s="19"/>
    </row>
    <row r="3006" ht="56.25" customHeight="1">
      <c r="A3006" s="21" t="s">
        <v>6401</v>
      </c>
      <c r="B3006" s="19" t="str">
        <f>image("https://storage.googleapis.com/acdb/photos/BromideNpcNmlGor07_Remake_4_0.png")</f>
        <v/>
      </c>
      <c r="C3006" s="21" t="s">
        <v>833</v>
      </c>
      <c r="D3006" s="21" t="s">
        <v>51</v>
      </c>
      <c r="E3006" s="21">
        <v>10.0</v>
      </c>
      <c r="F3006" s="21" t="s">
        <v>2289</v>
      </c>
      <c r="G3006" s="19"/>
      <c r="H3006" s="19"/>
      <c r="I3006" s="19"/>
    </row>
    <row r="3007" ht="56.25" customHeight="1">
      <c r="A3007" s="21" t="s">
        <v>6401</v>
      </c>
      <c r="B3007" s="19" t="str">
        <f>image("https://storage.googleapis.com/acdb/photos/BromideNpcNmlGor07_Remake_5_0.png")</f>
        <v/>
      </c>
      <c r="C3007" s="21" t="s">
        <v>258</v>
      </c>
      <c r="D3007" s="21" t="s">
        <v>51</v>
      </c>
      <c r="E3007" s="21">
        <v>10.0</v>
      </c>
      <c r="F3007" s="21" t="s">
        <v>2289</v>
      </c>
      <c r="G3007" s="19"/>
      <c r="H3007" s="19"/>
      <c r="I3007" s="19"/>
    </row>
    <row r="3008" ht="56.25" customHeight="1">
      <c r="A3008" s="21" t="s">
        <v>6401</v>
      </c>
      <c r="B3008" s="19" t="str">
        <f>image("https://storage.googleapis.com/acdb/photos/BromideNpcNmlGor07_Remake_6_0.png")</f>
        <v/>
      </c>
      <c r="C3008" s="21" t="s">
        <v>182</v>
      </c>
      <c r="D3008" s="21" t="s">
        <v>51</v>
      </c>
      <c r="E3008" s="21">
        <v>10.0</v>
      </c>
      <c r="F3008" s="21" t="s">
        <v>2289</v>
      </c>
      <c r="G3008" s="19"/>
      <c r="H3008" s="19"/>
      <c r="I3008" s="19"/>
    </row>
    <row r="3009" ht="56.25" customHeight="1">
      <c r="A3009" s="21" t="s">
        <v>6401</v>
      </c>
      <c r="B3009" s="19" t="str">
        <f>image("https://storage.googleapis.com/acdb/photos/BromideNpcNmlGor07_Remake_7_0.png")</f>
        <v/>
      </c>
      <c r="C3009" s="21" t="s">
        <v>187</v>
      </c>
      <c r="D3009" s="21" t="s">
        <v>51</v>
      </c>
      <c r="E3009" s="21">
        <v>10.0</v>
      </c>
      <c r="F3009" s="21" t="s">
        <v>2289</v>
      </c>
      <c r="G3009" s="19"/>
      <c r="H3009" s="19"/>
      <c r="I3009" s="19"/>
    </row>
    <row r="3010" ht="56.25" customHeight="1">
      <c r="A3010" s="21" t="s">
        <v>6402</v>
      </c>
      <c r="B3010" s="19" t="str">
        <f>image("https://storage.googleapis.com/acdb/photos/BromideNpcNmlWol08_Remake_0_0.png")</f>
        <v/>
      </c>
      <c r="C3010" s="21" t="s">
        <v>219</v>
      </c>
      <c r="D3010" s="21" t="s">
        <v>51</v>
      </c>
      <c r="E3010" s="21">
        <v>10.0</v>
      </c>
      <c r="F3010" s="21" t="s">
        <v>2289</v>
      </c>
      <c r="G3010" s="19"/>
      <c r="H3010" s="19"/>
      <c r="I3010" s="19"/>
    </row>
    <row r="3011" ht="56.25" customHeight="1">
      <c r="A3011" s="21" t="s">
        <v>6402</v>
      </c>
      <c r="B3011" s="19" t="str">
        <f>image("https://storage.googleapis.com/acdb/photos/BromideNpcNmlWol08_Remake_1_0.png")</f>
        <v/>
      </c>
      <c r="C3011" s="21" t="s">
        <v>795</v>
      </c>
      <c r="D3011" s="21" t="s">
        <v>51</v>
      </c>
      <c r="E3011" s="21">
        <v>10.0</v>
      </c>
      <c r="F3011" s="21" t="s">
        <v>2289</v>
      </c>
      <c r="G3011" s="19"/>
      <c r="H3011" s="19"/>
      <c r="I3011" s="19"/>
    </row>
    <row r="3012" ht="56.25" customHeight="1">
      <c r="A3012" s="21" t="s">
        <v>6402</v>
      </c>
      <c r="B3012" s="19" t="str">
        <f>image("https://storage.googleapis.com/acdb/photos/BromideNpcNmlWol08_Remake_2_0.png")</f>
        <v/>
      </c>
      <c r="C3012" s="21" t="s">
        <v>954</v>
      </c>
      <c r="D3012" s="21" t="s">
        <v>51</v>
      </c>
      <c r="E3012" s="21">
        <v>10.0</v>
      </c>
      <c r="F3012" s="21" t="s">
        <v>2289</v>
      </c>
      <c r="G3012" s="19"/>
      <c r="H3012" s="19"/>
      <c r="I3012" s="19"/>
    </row>
    <row r="3013" ht="56.25" customHeight="1">
      <c r="A3013" s="21" t="s">
        <v>6402</v>
      </c>
      <c r="B3013" s="19" t="str">
        <f>image("https://storage.googleapis.com/acdb/photos/BromideNpcNmlWol08_Remake_3_0.png")</f>
        <v/>
      </c>
      <c r="C3013" s="21" t="s">
        <v>82</v>
      </c>
      <c r="D3013" s="21" t="s">
        <v>51</v>
      </c>
      <c r="E3013" s="21">
        <v>10.0</v>
      </c>
      <c r="F3013" s="21" t="s">
        <v>2289</v>
      </c>
      <c r="G3013" s="19"/>
      <c r="H3013" s="19"/>
      <c r="I3013" s="19"/>
    </row>
    <row r="3014" ht="56.25" customHeight="1">
      <c r="A3014" s="21" t="s">
        <v>6402</v>
      </c>
      <c r="B3014" s="19" t="str">
        <f>image("https://storage.googleapis.com/acdb/photos/BromideNpcNmlWol08_Remake_4_0.png")</f>
        <v/>
      </c>
      <c r="C3014" s="21" t="s">
        <v>833</v>
      </c>
      <c r="D3014" s="21" t="s">
        <v>51</v>
      </c>
      <c r="E3014" s="21">
        <v>10.0</v>
      </c>
      <c r="F3014" s="21" t="s">
        <v>2289</v>
      </c>
      <c r="G3014" s="19"/>
      <c r="H3014" s="19"/>
      <c r="I3014" s="19"/>
    </row>
    <row r="3015" ht="56.25" customHeight="1">
      <c r="A3015" s="21" t="s">
        <v>6402</v>
      </c>
      <c r="B3015" s="19" t="str">
        <f>image("https://storage.googleapis.com/acdb/photos/BromideNpcNmlWol08_Remake_5_0.png")</f>
        <v/>
      </c>
      <c r="C3015" s="21" t="s">
        <v>258</v>
      </c>
      <c r="D3015" s="21" t="s">
        <v>51</v>
      </c>
      <c r="E3015" s="21">
        <v>10.0</v>
      </c>
      <c r="F3015" s="21" t="s">
        <v>2289</v>
      </c>
      <c r="G3015" s="19"/>
      <c r="H3015" s="19"/>
      <c r="I3015" s="19"/>
    </row>
    <row r="3016" ht="56.25" customHeight="1">
      <c r="A3016" s="21" t="s">
        <v>6402</v>
      </c>
      <c r="B3016" s="19" t="str">
        <f>image("https://storage.googleapis.com/acdb/photos/BromideNpcNmlWol08_Remake_6_0.png")</f>
        <v/>
      </c>
      <c r="C3016" s="21" t="s">
        <v>182</v>
      </c>
      <c r="D3016" s="21" t="s">
        <v>51</v>
      </c>
      <c r="E3016" s="21">
        <v>10.0</v>
      </c>
      <c r="F3016" s="21" t="s">
        <v>2289</v>
      </c>
      <c r="G3016" s="19"/>
      <c r="H3016" s="19"/>
      <c r="I3016" s="19"/>
    </row>
    <row r="3017" ht="56.25" customHeight="1">
      <c r="A3017" s="21" t="s">
        <v>6402</v>
      </c>
      <c r="B3017" s="19" t="str">
        <f>image("https://storage.googleapis.com/acdb/photos/BromideNpcNmlWol08_Remake_7_0.png")</f>
        <v/>
      </c>
      <c r="C3017" s="21" t="s">
        <v>187</v>
      </c>
      <c r="D3017" s="21" t="s">
        <v>51</v>
      </c>
      <c r="E3017" s="21">
        <v>10.0</v>
      </c>
      <c r="F3017" s="21" t="s">
        <v>2289</v>
      </c>
      <c r="G3017" s="19"/>
      <c r="H3017" s="19"/>
      <c r="I3017" s="19"/>
    </row>
    <row r="3018" ht="56.25" customHeight="1">
      <c r="A3018" s="21" t="s">
        <v>6403</v>
      </c>
      <c r="B3018" s="19" t="str">
        <f>image("https://storage.googleapis.com/acdb/photos/BromideNpcNmlCbr06_Remake_0_0.png")</f>
        <v/>
      </c>
      <c r="C3018" s="21" t="s">
        <v>219</v>
      </c>
      <c r="D3018" s="21" t="s">
        <v>51</v>
      </c>
      <c r="E3018" s="21">
        <v>10.0</v>
      </c>
      <c r="F3018" s="21" t="s">
        <v>2289</v>
      </c>
      <c r="G3018" s="19"/>
      <c r="H3018" s="19"/>
      <c r="I3018" s="19"/>
    </row>
    <row r="3019" ht="56.25" customHeight="1">
      <c r="A3019" s="21" t="s">
        <v>6403</v>
      </c>
      <c r="B3019" s="19" t="str">
        <f>image("https://storage.googleapis.com/acdb/photos/BromideNpcNmlCbr06_Remake_1_0.png")</f>
        <v/>
      </c>
      <c r="C3019" s="21" t="s">
        <v>795</v>
      </c>
      <c r="D3019" s="21" t="s">
        <v>51</v>
      </c>
      <c r="E3019" s="21">
        <v>10.0</v>
      </c>
      <c r="F3019" s="21" t="s">
        <v>2289</v>
      </c>
      <c r="G3019" s="19"/>
      <c r="H3019" s="19"/>
      <c r="I3019" s="19"/>
    </row>
    <row r="3020" ht="56.25" customHeight="1">
      <c r="A3020" s="21" t="s">
        <v>6403</v>
      </c>
      <c r="B3020" s="19" t="str">
        <f>image("https://storage.googleapis.com/acdb/photos/BromideNpcNmlCbr06_Remake_2_0.png")</f>
        <v/>
      </c>
      <c r="C3020" s="21" t="s">
        <v>954</v>
      </c>
      <c r="D3020" s="21" t="s">
        <v>51</v>
      </c>
      <c r="E3020" s="21">
        <v>10.0</v>
      </c>
      <c r="F3020" s="21" t="s">
        <v>2289</v>
      </c>
      <c r="G3020" s="19"/>
      <c r="H3020" s="19"/>
      <c r="I3020" s="19"/>
    </row>
    <row r="3021" ht="56.25" customHeight="1">
      <c r="A3021" s="21" t="s">
        <v>6403</v>
      </c>
      <c r="B3021" s="19" t="str">
        <f>image("https://storage.googleapis.com/acdb/photos/BromideNpcNmlCbr06_Remake_3_0.png")</f>
        <v/>
      </c>
      <c r="C3021" s="21" t="s">
        <v>82</v>
      </c>
      <c r="D3021" s="21" t="s">
        <v>51</v>
      </c>
      <c r="E3021" s="21">
        <v>10.0</v>
      </c>
      <c r="F3021" s="21" t="s">
        <v>2289</v>
      </c>
      <c r="G3021" s="19"/>
      <c r="H3021" s="19"/>
      <c r="I3021" s="19"/>
    </row>
    <row r="3022" ht="56.25" customHeight="1">
      <c r="A3022" s="21" t="s">
        <v>6403</v>
      </c>
      <c r="B3022" s="19" t="str">
        <f>image("https://storage.googleapis.com/acdb/photos/BromideNpcNmlCbr06_Remake_4_0.png")</f>
        <v/>
      </c>
      <c r="C3022" s="21" t="s">
        <v>833</v>
      </c>
      <c r="D3022" s="21" t="s">
        <v>51</v>
      </c>
      <c r="E3022" s="21">
        <v>10.0</v>
      </c>
      <c r="F3022" s="21" t="s">
        <v>2289</v>
      </c>
      <c r="G3022" s="19"/>
      <c r="H3022" s="19"/>
      <c r="I3022" s="19"/>
    </row>
    <row r="3023" ht="56.25" customHeight="1">
      <c r="A3023" s="21" t="s">
        <v>6403</v>
      </c>
      <c r="B3023" s="19" t="str">
        <f>image("https://storage.googleapis.com/acdb/photos/BromideNpcNmlCbr06_Remake_5_0.png")</f>
        <v/>
      </c>
      <c r="C3023" s="21" t="s">
        <v>258</v>
      </c>
      <c r="D3023" s="21" t="s">
        <v>51</v>
      </c>
      <c r="E3023" s="21">
        <v>10.0</v>
      </c>
      <c r="F3023" s="21" t="s">
        <v>2289</v>
      </c>
      <c r="G3023" s="19"/>
      <c r="H3023" s="19"/>
      <c r="I3023" s="19"/>
    </row>
    <row r="3024" ht="56.25" customHeight="1">
      <c r="A3024" s="21" t="s">
        <v>6403</v>
      </c>
      <c r="B3024" s="19" t="str">
        <f>image("https://storage.googleapis.com/acdb/photos/BromideNpcNmlCbr06_Remake_6_0.png")</f>
        <v/>
      </c>
      <c r="C3024" s="21" t="s">
        <v>182</v>
      </c>
      <c r="D3024" s="21" t="s">
        <v>51</v>
      </c>
      <c r="E3024" s="21">
        <v>10.0</v>
      </c>
      <c r="F3024" s="21" t="s">
        <v>2289</v>
      </c>
      <c r="G3024" s="19"/>
      <c r="H3024" s="19"/>
      <c r="I3024" s="19"/>
    </row>
    <row r="3025" ht="56.25" customHeight="1">
      <c r="A3025" s="21" t="s">
        <v>6403</v>
      </c>
      <c r="B3025" s="19" t="str">
        <f>image("https://storage.googleapis.com/acdb/photos/BromideNpcNmlCbr06_Remake_7_0.png")</f>
        <v/>
      </c>
      <c r="C3025" s="21" t="s">
        <v>187</v>
      </c>
      <c r="D3025" s="21" t="s">
        <v>51</v>
      </c>
      <c r="E3025" s="21">
        <v>10.0</v>
      </c>
      <c r="F3025" s="21" t="s">
        <v>2289</v>
      </c>
      <c r="G3025" s="19"/>
      <c r="H3025" s="19"/>
      <c r="I3025" s="19"/>
    </row>
    <row r="3026" ht="56.25" customHeight="1">
      <c r="A3026" s="21" t="s">
        <v>6404</v>
      </c>
      <c r="B3026" s="19" t="str">
        <f>image("https://storage.googleapis.com/acdb/photos/BromideNpcNmlPgn09_Remake_0_0.png")</f>
        <v/>
      </c>
      <c r="C3026" s="21" t="s">
        <v>219</v>
      </c>
      <c r="D3026" s="21" t="s">
        <v>51</v>
      </c>
      <c r="E3026" s="21">
        <v>10.0</v>
      </c>
      <c r="F3026" s="21" t="s">
        <v>2289</v>
      </c>
      <c r="G3026" s="19"/>
      <c r="H3026" s="19"/>
      <c r="I3026" s="19"/>
    </row>
    <row r="3027" ht="56.25" customHeight="1">
      <c r="A3027" s="21" t="s">
        <v>6404</v>
      </c>
      <c r="B3027" s="19" t="str">
        <f>image("https://storage.googleapis.com/acdb/photos/BromideNpcNmlPgn09_Remake_1_0.png")</f>
        <v/>
      </c>
      <c r="C3027" s="21" t="s">
        <v>795</v>
      </c>
      <c r="D3027" s="21" t="s">
        <v>51</v>
      </c>
      <c r="E3027" s="21">
        <v>10.0</v>
      </c>
      <c r="F3027" s="21" t="s">
        <v>2289</v>
      </c>
      <c r="G3027" s="19"/>
      <c r="H3027" s="19"/>
      <c r="I3027" s="19"/>
    </row>
    <row r="3028" ht="56.25" customHeight="1">
      <c r="A3028" s="21" t="s">
        <v>6404</v>
      </c>
      <c r="B3028" s="19" t="str">
        <f>image("https://storage.googleapis.com/acdb/photos/BromideNpcNmlPgn09_Remake_2_0.png")</f>
        <v/>
      </c>
      <c r="C3028" s="21" t="s">
        <v>954</v>
      </c>
      <c r="D3028" s="21" t="s">
        <v>51</v>
      </c>
      <c r="E3028" s="21">
        <v>10.0</v>
      </c>
      <c r="F3028" s="21" t="s">
        <v>2289</v>
      </c>
      <c r="G3028" s="19"/>
      <c r="H3028" s="19"/>
      <c r="I3028" s="19"/>
    </row>
    <row r="3029" ht="56.25" customHeight="1">
      <c r="A3029" s="21" t="s">
        <v>6404</v>
      </c>
      <c r="B3029" s="19" t="str">
        <f>image("https://storage.googleapis.com/acdb/photos/BromideNpcNmlPgn09_Remake_3_0.png")</f>
        <v/>
      </c>
      <c r="C3029" s="21" t="s">
        <v>82</v>
      </c>
      <c r="D3029" s="21" t="s">
        <v>51</v>
      </c>
      <c r="E3029" s="21">
        <v>10.0</v>
      </c>
      <c r="F3029" s="21" t="s">
        <v>2289</v>
      </c>
      <c r="G3029" s="19"/>
      <c r="H3029" s="19"/>
      <c r="I3029" s="19"/>
    </row>
    <row r="3030" ht="56.25" customHeight="1">
      <c r="A3030" s="21" t="s">
        <v>6404</v>
      </c>
      <c r="B3030" s="19" t="str">
        <f>image("https://storage.googleapis.com/acdb/photos/BromideNpcNmlPgn09_Remake_4_0.png")</f>
        <v/>
      </c>
      <c r="C3030" s="21" t="s">
        <v>833</v>
      </c>
      <c r="D3030" s="21" t="s">
        <v>51</v>
      </c>
      <c r="E3030" s="21">
        <v>10.0</v>
      </c>
      <c r="F3030" s="21" t="s">
        <v>2289</v>
      </c>
      <c r="G3030" s="19"/>
      <c r="H3030" s="19"/>
      <c r="I3030" s="19"/>
    </row>
    <row r="3031" ht="56.25" customHeight="1">
      <c r="A3031" s="21" t="s">
        <v>6404</v>
      </c>
      <c r="B3031" s="19" t="str">
        <f>image("https://storage.googleapis.com/acdb/photos/BromideNpcNmlPgn09_Remake_5_0.png")</f>
        <v/>
      </c>
      <c r="C3031" s="21" t="s">
        <v>258</v>
      </c>
      <c r="D3031" s="21" t="s">
        <v>51</v>
      </c>
      <c r="E3031" s="21">
        <v>10.0</v>
      </c>
      <c r="F3031" s="21" t="s">
        <v>2289</v>
      </c>
      <c r="G3031" s="19"/>
      <c r="H3031" s="19"/>
      <c r="I3031" s="19"/>
    </row>
    <row r="3032" ht="56.25" customHeight="1">
      <c r="A3032" s="21" t="s">
        <v>6404</v>
      </c>
      <c r="B3032" s="19" t="str">
        <f>image("https://storage.googleapis.com/acdb/photos/BromideNpcNmlPgn09_Remake_6_0.png")</f>
        <v/>
      </c>
      <c r="C3032" s="21" t="s">
        <v>182</v>
      </c>
      <c r="D3032" s="21" t="s">
        <v>51</v>
      </c>
      <c r="E3032" s="21">
        <v>10.0</v>
      </c>
      <c r="F3032" s="21" t="s">
        <v>2289</v>
      </c>
      <c r="G3032" s="19"/>
      <c r="H3032" s="19"/>
      <c r="I3032" s="19"/>
    </row>
    <row r="3033" ht="56.25" customHeight="1">
      <c r="A3033" s="21" t="s">
        <v>6404</v>
      </c>
      <c r="B3033" s="19" t="str">
        <f>image("https://storage.googleapis.com/acdb/photos/BromideNpcNmlPgn09_Remake_7_0.png")</f>
        <v/>
      </c>
      <c r="C3033" s="21" t="s">
        <v>187</v>
      </c>
      <c r="D3033" s="21" t="s">
        <v>51</v>
      </c>
      <c r="E3033" s="21">
        <v>10.0</v>
      </c>
      <c r="F3033" s="21" t="s">
        <v>2289</v>
      </c>
      <c r="G3033" s="19"/>
      <c r="H3033" s="19"/>
      <c r="I3033" s="19"/>
    </row>
    <row r="3034" ht="56.25" customHeight="1">
      <c r="A3034" s="21" t="s">
        <v>6405</v>
      </c>
      <c r="B3034" s="19" t="str">
        <f>image("https://storage.googleapis.com/acdb/photos/BromideNpcNmlDog06_Remake_0_0.png")</f>
        <v/>
      </c>
      <c r="C3034" s="21" t="s">
        <v>219</v>
      </c>
      <c r="D3034" s="21" t="s">
        <v>51</v>
      </c>
      <c r="E3034" s="21">
        <v>10.0</v>
      </c>
      <c r="F3034" s="21" t="s">
        <v>2289</v>
      </c>
      <c r="G3034" s="19"/>
      <c r="H3034" s="19"/>
      <c r="I3034" s="19"/>
    </row>
    <row r="3035" ht="56.25" customHeight="1">
      <c r="A3035" s="21" t="s">
        <v>6405</v>
      </c>
      <c r="B3035" s="19" t="str">
        <f>image("https://storage.googleapis.com/acdb/photos/BromideNpcNmlDog06_Remake_1_0.png")</f>
        <v/>
      </c>
      <c r="C3035" s="21" t="s">
        <v>795</v>
      </c>
      <c r="D3035" s="21" t="s">
        <v>51</v>
      </c>
      <c r="E3035" s="21">
        <v>10.0</v>
      </c>
      <c r="F3035" s="21" t="s">
        <v>2289</v>
      </c>
      <c r="G3035" s="19"/>
      <c r="H3035" s="19"/>
      <c r="I3035" s="19"/>
    </row>
    <row r="3036" ht="56.25" customHeight="1">
      <c r="A3036" s="21" t="s">
        <v>6405</v>
      </c>
      <c r="B3036" s="19" t="str">
        <f>image("https://storage.googleapis.com/acdb/photos/BromideNpcNmlDog06_Remake_2_0.png")</f>
        <v/>
      </c>
      <c r="C3036" s="21" t="s">
        <v>954</v>
      </c>
      <c r="D3036" s="21" t="s">
        <v>51</v>
      </c>
      <c r="E3036" s="21">
        <v>10.0</v>
      </c>
      <c r="F3036" s="21" t="s">
        <v>2289</v>
      </c>
      <c r="G3036" s="19"/>
      <c r="H3036" s="19"/>
      <c r="I3036" s="19"/>
    </row>
    <row r="3037" ht="56.25" customHeight="1">
      <c r="A3037" s="21" t="s">
        <v>6405</v>
      </c>
      <c r="B3037" s="19" t="str">
        <f>image("https://storage.googleapis.com/acdb/photos/BromideNpcNmlDog06_Remake_3_0.png")</f>
        <v/>
      </c>
      <c r="C3037" s="21" t="s">
        <v>82</v>
      </c>
      <c r="D3037" s="21" t="s">
        <v>51</v>
      </c>
      <c r="E3037" s="21">
        <v>10.0</v>
      </c>
      <c r="F3037" s="21" t="s">
        <v>2289</v>
      </c>
      <c r="G3037" s="19"/>
      <c r="H3037" s="19"/>
      <c r="I3037" s="19"/>
    </row>
    <row r="3038" ht="56.25" customHeight="1">
      <c r="A3038" s="21" t="s">
        <v>6405</v>
      </c>
      <c r="B3038" s="19" t="str">
        <f>image("https://storage.googleapis.com/acdb/photos/BromideNpcNmlDog06_Remake_4_0.png")</f>
        <v/>
      </c>
      <c r="C3038" s="21" t="s">
        <v>833</v>
      </c>
      <c r="D3038" s="21" t="s">
        <v>51</v>
      </c>
      <c r="E3038" s="21">
        <v>10.0</v>
      </c>
      <c r="F3038" s="21" t="s">
        <v>2289</v>
      </c>
      <c r="G3038" s="19"/>
      <c r="H3038" s="19"/>
      <c r="I3038" s="19"/>
    </row>
    <row r="3039" ht="56.25" customHeight="1">
      <c r="A3039" s="21" t="s">
        <v>6405</v>
      </c>
      <c r="B3039" s="19" t="str">
        <f>image("https://storage.googleapis.com/acdb/photos/BromideNpcNmlDog06_Remake_5_0.png")</f>
        <v/>
      </c>
      <c r="C3039" s="21" t="s">
        <v>258</v>
      </c>
      <c r="D3039" s="21" t="s">
        <v>51</v>
      </c>
      <c r="E3039" s="21">
        <v>10.0</v>
      </c>
      <c r="F3039" s="21" t="s">
        <v>2289</v>
      </c>
      <c r="G3039" s="19"/>
      <c r="H3039" s="19"/>
      <c r="I3039" s="19"/>
    </row>
    <row r="3040" ht="56.25" customHeight="1">
      <c r="A3040" s="21" t="s">
        <v>6405</v>
      </c>
      <c r="B3040" s="19" t="str">
        <f>image("https://storage.googleapis.com/acdb/photos/BromideNpcNmlDog06_Remake_6_0.png")</f>
        <v/>
      </c>
      <c r="C3040" s="21" t="s">
        <v>182</v>
      </c>
      <c r="D3040" s="21" t="s">
        <v>51</v>
      </c>
      <c r="E3040" s="21">
        <v>10.0</v>
      </c>
      <c r="F3040" s="21" t="s">
        <v>2289</v>
      </c>
      <c r="G3040" s="19"/>
      <c r="H3040" s="19"/>
      <c r="I3040" s="19"/>
    </row>
    <row r="3041" ht="56.25" customHeight="1">
      <c r="A3041" s="21" t="s">
        <v>6405</v>
      </c>
      <c r="B3041" s="19" t="str">
        <f>image("https://storage.googleapis.com/acdb/photos/BromideNpcNmlDog06_Remake_7_0.png")</f>
        <v/>
      </c>
      <c r="C3041" s="21" t="s">
        <v>187</v>
      </c>
      <c r="D3041" s="21" t="s">
        <v>51</v>
      </c>
      <c r="E3041" s="21">
        <v>10.0</v>
      </c>
      <c r="F3041" s="21" t="s">
        <v>2289</v>
      </c>
      <c r="G3041" s="19"/>
      <c r="H3041" s="19"/>
      <c r="I3041" s="19"/>
    </row>
    <row r="3042" ht="56.25" customHeight="1">
      <c r="A3042" s="21" t="s">
        <v>6406</v>
      </c>
      <c r="B3042" s="19" t="str">
        <f>image("https://storage.googleapis.com/acdb/photos/BromideNpcNmlKgr08_Remake_0_0.png")</f>
        <v/>
      </c>
      <c r="C3042" s="21" t="s">
        <v>219</v>
      </c>
      <c r="D3042" s="21" t="s">
        <v>51</v>
      </c>
      <c r="E3042" s="21">
        <v>10.0</v>
      </c>
      <c r="F3042" s="21" t="s">
        <v>2289</v>
      </c>
      <c r="G3042" s="19"/>
      <c r="H3042" s="19"/>
      <c r="I3042" s="19"/>
    </row>
    <row r="3043" ht="56.25" customHeight="1">
      <c r="A3043" s="21" t="s">
        <v>6406</v>
      </c>
      <c r="B3043" s="19" t="str">
        <f>image("https://storage.googleapis.com/acdb/photos/BromideNpcNmlKgr08_Remake_1_0.png")</f>
        <v/>
      </c>
      <c r="C3043" s="21" t="s">
        <v>795</v>
      </c>
      <c r="D3043" s="21" t="s">
        <v>51</v>
      </c>
      <c r="E3043" s="21">
        <v>10.0</v>
      </c>
      <c r="F3043" s="21" t="s">
        <v>2289</v>
      </c>
      <c r="G3043" s="19"/>
      <c r="H3043" s="19"/>
      <c r="I3043" s="19"/>
    </row>
    <row r="3044" ht="56.25" customHeight="1">
      <c r="A3044" s="21" t="s">
        <v>6406</v>
      </c>
      <c r="B3044" s="19" t="str">
        <f>image("https://storage.googleapis.com/acdb/photos/BromideNpcNmlKgr08_Remake_2_0.png")</f>
        <v/>
      </c>
      <c r="C3044" s="21" t="s">
        <v>954</v>
      </c>
      <c r="D3044" s="21" t="s">
        <v>51</v>
      </c>
      <c r="E3044" s="21">
        <v>10.0</v>
      </c>
      <c r="F3044" s="21" t="s">
        <v>2289</v>
      </c>
      <c r="G3044" s="19"/>
      <c r="H3044" s="19"/>
      <c r="I3044" s="19"/>
    </row>
    <row r="3045" ht="56.25" customHeight="1">
      <c r="A3045" s="21" t="s">
        <v>6406</v>
      </c>
      <c r="B3045" s="19" t="str">
        <f>image("https://storage.googleapis.com/acdb/photos/BromideNpcNmlKgr08_Remake_3_0.png")</f>
        <v/>
      </c>
      <c r="C3045" s="21" t="s">
        <v>82</v>
      </c>
      <c r="D3045" s="21" t="s">
        <v>51</v>
      </c>
      <c r="E3045" s="21">
        <v>10.0</v>
      </c>
      <c r="F3045" s="21" t="s">
        <v>2289</v>
      </c>
      <c r="G3045" s="19"/>
      <c r="H3045" s="19"/>
      <c r="I3045" s="19"/>
    </row>
    <row r="3046" ht="56.25" customHeight="1">
      <c r="A3046" s="21" t="s">
        <v>6406</v>
      </c>
      <c r="B3046" s="19" t="str">
        <f>image("https://storage.googleapis.com/acdb/photos/BromideNpcNmlKgr08_Remake_4_0.png")</f>
        <v/>
      </c>
      <c r="C3046" s="21" t="s">
        <v>833</v>
      </c>
      <c r="D3046" s="21" t="s">
        <v>51</v>
      </c>
      <c r="E3046" s="21">
        <v>10.0</v>
      </c>
      <c r="F3046" s="21" t="s">
        <v>2289</v>
      </c>
      <c r="G3046" s="19"/>
      <c r="H3046" s="19"/>
      <c r="I3046" s="19"/>
    </row>
    <row r="3047" ht="56.25" customHeight="1">
      <c r="A3047" s="21" t="s">
        <v>6406</v>
      </c>
      <c r="B3047" s="19" t="str">
        <f>image("https://storage.googleapis.com/acdb/photos/BromideNpcNmlKgr08_Remake_5_0.png")</f>
        <v/>
      </c>
      <c r="C3047" s="21" t="s">
        <v>258</v>
      </c>
      <c r="D3047" s="21" t="s">
        <v>51</v>
      </c>
      <c r="E3047" s="21">
        <v>10.0</v>
      </c>
      <c r="F3047" s="21" t="s">
        <v>2289</v>
      </c>
      <c r="G3047" s="19"/>
      <c r="H3047" s="19"/>
      <c r="I3047" s="19"/>
    </row>
    <row r="3048" ht="56.25" customHeight="1">
      <c r="A3048" s="21" t="s">
        <v>6406</v>
      </c>
      <c r="B3048" s="19" t="str">
        <f>image("https://storage.googleapis.com/acdb/photos/BromideNpcNmlKgr08_Remake_6_0.png")</f>
        <v/>
      </c>
      <c r="C3048" s="21" t="s">
        <v>182</v>
      </c>
      <c r="D3048" s="21" t="s">
        <v>51</v>
      </c>
      <c r="E3048" s="21">
        <v>10.0</v>
      </c>
      <c r="F3048" s="21" t="s">
        <v>2289</v>
      </c>
      <c r="G3048" s="19"/>
      <c r="H3048" s="19"/>
      <c r="I3048" s="19"/>
    </row>
    <row r="3049" ht="56.25" customHeight="1">
      <c r="A3049" s="21" t="s">
        <v>6406</v>
      </c>
      <c r="B3049" s="19" t="str">
        <f>image("https://storage.googleapis.com/acdb/photos/BromideNpcNmlKgr08_Remake_7_0.png")</f>
        <v/>
      </c>
      <c r="C3049" s="21" t="s">
        <v>187</v>
      </c>
      <c r="D3049" s="21" t="s">
        <v>51</v>
      </c>
      <c r="E3049" s="21">
        <v>10.0</v>
      </c>
      <c r="F3049" s="21" t="s">
        <v>2289</v>
      </c>
      <c r="G3049" s="19"/>
      <c r="H3049" s="19"/>
      <c r="I3049" s="19"/>
    </row>
    <row r="3050" ht="56.25" customHeight="1">
      <c r="A3050" s="21" t="s">
        <v>6407</v>
      </c>
      <c r="B3050" s="19" t="str">
        <f>image("https://storage.googleapis.com/acdb/photos/BromideNpcNmlFlg05_Remake_0_0.png")</f>
        <v/>
      </c>
      <c r="C3050" s="21" t="s">
        <v>219</v>
      </c>
      <c r="D3050" s="21" t="s">
        <v>51</v>
      </c>
      <c r="E3050" s="21">
        <v>10.0</v>
      </c>
      <c r="F3050" s="21" t="s">
        <v>2289</v>
      </c>
      <c r="G3050" s="19"/>
      <c r="H3050" s="19"/>
      <c r="I3050" s="19"/>
    </row>
    <row r="3051" ht="56.25" customHeight="1">
      <c r="A3051" s="21" t="s">
        <v>6407</v>
      </c>
      <c r="B3051" s="19" t="str">
        <f>image("https://storage.googleapis.com/acdb/photos/BromideNpcNmlFlg05_Remake_1_0.png")</f>
        <v/>
      </c>
      <c r="C3051" s="21" t="s">
        <v>795</v>
      </c>
      <c r="D3051" s="21" t="s">
        <v>51</v>
      </c>
      <c r="E3051" s="21">
        <v>10.0</v>
      </c>
      <c r="F3051" s="21" t="s">
        <v>2289</v>
      </c>
      <c r="G3051" s="19"/>
      <c r="H3051" s="19"/>
      <c r="I3051" s="19"/>
    </row>
    <row r="3052" ht="56.25" customHeight="1">
      <c r="A3052" s="21" t="s">
        <v>6407</v>
      </c>
      <c r="B3052" s="19" t="str">
        <f>image("https://storage.googleapis.com/acdb/photos/BromideNpcNmlFlg05_Remake_2_0.png")</f>
        <v/>
      </c>
      <c r="C3052" s="21" t="s">
        <v>954</v>
      </c>
      <c r="D3052" s="21" t="s">
        <v>51</v>
      </c>
      <c r="E3052" s="21">
        <v>10.0</v>
      </c>
      <c r="F3052" s="21" t="s">
        <v>2289</v>
      </c>
      <c r="G3052" s="19"/>
      <c r="H3052" s="19"/>
      <c r="I3052" s="19"/>
    </row>
    <row r="3053" ht="56.25" customHeight="1">
      <c r="A3053" s="21" t="s">
        <v>6407</v>
      </c>
      <c r="B3053" s="19" t="str">
        <f>image("https://storage.googleapis.com/acdb/photos/BromideNpcNmlFlg05_Remake_3_0.png")</f>
        <v/>
      </c>
      <c r="C3053" s="21" t="s">
        <v>82</v>
      </c>
      <c r="D3053" s="21" t="s">
        <v>51</v>
      </c>
      <c r="E3053" s="21">
        <v>10.0</v>
      </c>
      <c r="F3053" s="21" t="s">
        <v>2289</v>
      </c>
      <c r="G3053" s="19"/>
      <c r="H3053" s="19"/>
      <c r="I3053" s="19"/>
    </row>
    <row r="3054" ht="56.25" customHeight="1">
      <c r="A3054" s="21" t="s">
        <v>6407</v>
      </c>
      <c r="B3054" s="19" t="str">
        <f>image("https://storage.googleapis.com/acdb/photos/BromideNpcNmlFlg05_Remake_4_0.png")</f>
        <v/>
      </c>
      <c r="C3054" s="21" t="s">
        <v>833</v>
      </c>
      <c r="D3054" s="21" t="s">
        <v>51</v>
      </c>
      <c r="E3054" s="21">
        <v>10.0</v>
      </c>
      <c r="F3054" s="21" t="s">
        <v>2289</v>
      </c>
      <c r="G3054" s="19"/>
      <c r="H3054" s="19"/>
      <c r="I3054" s="19"/>
    </row>
    <row r="3055" ht="56.25" customHeight="1">
      <c r="A3055" s="21" t="s">
        <v>6407</v>
      </c>
      <c r="B3055" s="19" t="str">
        <f>image("https://storage.googleapis.com/acdb/photos/BromideNpcNmlFlg05_Remake_5_0.png")</f>
        <v/>
      </c>
      <c r="C3055" s="21" t="s">
        <v>258</v>
      </c>
      <c r="D3055" s="21" t="s">
        <v>51</v>
      </c>
      <c r="E3055" s="21">
        <v>10.0</v>
      </c>
      <c r="F3055" s="21" t="s">
        <v>2289</v>
      </c>
      <c r="G3055" s="19"/>
      <c r="H3055" s="19"/>
      <c r="I3055" s="19"/>
    </row>
    <row r="3056" ht="56.25" customHeight="1">
      <c r="A3056" s="21" t="s">
        <v>6407</v>
      </c>
      <c r="B3056" s="19" t="str">
        <f>image("https://storage.googleapis.com/acdb/photos/BromideNpcNmlFlg05_Remake_6_0.png")</f>
        <v/>
      </c>
      <c r="C3056" s="21" t="s">
        <v>182</v>
      </c>
      <c r="D3056" s="21" t="s">
        <v>51</v>
      </c>
      <c r="E3056" s="21">
        <v>10.0</v>
      </c>
      <c r="F3056" s="21" t="s">
        <v>2289</v>
      </c>
      <c r="G3056" s="19"/>
      <c r="H3056" s="19"/>
      <c r="I3056" s="19"/>
    </row>
    <row r="3057" ht="56.25" customHeight="1">
      <c r="A3057" s="21" t="s">
        <v>6407</v>
      </c>
      <c r="B3057" s="19" t="str">
        <f>image("https://storage.googleapis.com/acdb/photos/BromideNpcNmlFlg05_Remake_7_0.png")</f>
        <v/>
      </c>
      <c r="C3057" s="21" t="s">
        <v>187</v>
      </c>
      <c r="D3057" s="21" t="s">
        <v>51</v>
      </c>
      <c r="E3057" s="21">
        <v>10.0</v>
      </c>
      <c r="F3057" s="21" t="s">
        <v>2289</v>
      </c>
      <c r="G3057" s="19"/>
      <c r="H3057" s="19"/>
      <c r="I3057" s="19"/>
    </row>
    <row r="3058" ht="56.25" customHeight="1">
      <c r="A3058" s="21" t="s">
        <v>6408</v>
      </c>
      <c r="B3058" s="19" t="str">
        <f>image("https://storage.googleapis.com/acdb/photos/BromideNpcNmlDuk11_Remake_0_0.png")</f>
        <v/>
      </c>
      <c r="C3058" s="21" t="s">
        <v>219</v>
      </c>
      <c r="D3058" s="21" t="s">
        <v>51</v>
      </c>
      <c r="E3058" s="21">
        <v>10.0</v>
      </c>
      <c r="F3058" s="21" t="s">
        <v>2289</v>
      </c>
      <c r="G3058" s="19"/>
      <c r="H3058" s="19"/>
      <c r="I3058" s="19"/>
    </row>
    <row r="3059" ht="56.25" customHeight="1">
      <c r="A3059" s="21" t="s">
        <v>6408</v>
      </c>
      <c r="B3059" s="19" t="str">
        <f>image("https://storage.googleapis.com/acdb/photos/BromideNpcNmlDuk11_Remake_1_0.png")</f>
        <v/>
      </c>
      <c r="C3059" s="21" t="s">
        <v>795</v>
      </c>
      <c r="D3059" s="21" t="s">
        <v>51</v>
      </c>
      <c r="E3059" s="21">
        <v>10.0</v>
      </c>
      <c r="F3059" s="21" t="s">
        <v>2289</v>
      </c>
      <c r="G3059" s="19"/>
      <c r="H3059" s="19"/>
      <c r="I3059" s="19"/>
    </row>
    <row r="3060" ht="56.25" customHeight="1">
      <c r="A3060" s="21" t="s">
        <v>6408</v>
      </c>
      <c r="B3060" s="19" t="str">
        <f>image("https://storage.googleapis.com/acdb/photos/BromideNpcNmlDuk11_Remake_2_0.png")</f>
        <v/>
      </c>
      <c r="C3060" s="21" t="s">
        <v>954</v>
      </c>
      <c r="D3060" s="21" t="s">
        <v>51</v>
      </c>
      <c r="E3060" s="21">
        <v>10.0</v>
      </c>
      <c r="F3060" s="21" t="s">
        <v>2289</v>
      </c>
      <c r="G3060" s="19"/>
      <c r="H3060" s="19"/>
      <c r="I3060" s="19"/>
    </row>
    <row r="3061" ht="56.25" customHeight="1">
      <c r="A3061" s="21" t="s">
        <v>6408</v>
      </c>
      <c r="B3061" s="19" t="str">
        <f>image("https://storage.googleapis.com/acdb/photos/BromideNpcNmlDuk11_Remake_3_0.png")</f>
        <v/>
      </c>
      <c r="C3061" s="21" t="s">
        <v>82</v>
      </c>
      <c r="D3061" s="21" t="s">
        <v>51</v>
      </c>
      <c r="E3061" s="21">
        <v>10.0</v>
      </c>
      <c r="F3061" s="21" t="s">
        <v>2289</v>
      </c>
      <c r="G3061" s="19"/>
      <c r="H3061" s="19"/>
      <c r="I3061" s="19"/>
    </row>
    <row r="3062" ht="56.25" customHeight="1">
      <c r="A3062" s="21" t="s">
        <v>6408</v>
      </c>
      <c r="B3062" s="19" t="str">
        <f>image("https://storage.googleapis.com/acdb/photos/BromideNpcNmlDuk11_Remake_4_0.png")</f>
        <v/>
      </c>
      <c r="C3062" s="21" t="s">
        <v>833</v>
      </c>
      <c r="D3062" s="21" t="s">
        <v>51</v>
      </c>
      <c r="E3062" s="21">
        <v>10.0</v>
      </c>
      <c r="F3062" s="21" t="s">
        <v>2289</v>
      </c>
      <c r="G3062" s="19"/>
      <c r="H3062" s="19"/>
      <c r="I3062" s="19"/>
    </row>
    <row r="3063" ht="56.25" customHeight="1">
      <c r="A3063" s="21" t="s">
        <v>6408</v>
      </c>
      <c r="B3063" s="19" t="str">
        <f>image("https://storage.googleapis.com/acdb/photos/BromideNpcNmlDuk11_Remake_5_0.png")</f>
        <v/>
      </c>
      <c r="C3063" s="21" t="s">
        <v>258</v>
      </c>
      <c r="D3063" s="21" t="s">
        <v>51</v>
      </c>
      <c r="E3063" s="21">
        <v>10.0</v>
      </c>
      <c r="F3063" s="21" t="s">
        <v>2289</v>
      </c>
      <c r="G3063" s="19"/>
      <c r="H3063" s="19"/>
      <c r="I3063" s="19"/>
    </row>
    <row r="3064" ht="56.25" customHeight="1">
      <c r="A3064" s="21" t="s">
        <v>6408</v>
      </c>
      <c r="B3064" s="19" t="str">
        <f>image("https://storage.googleapis.com/acdb/photos/BromideNpcNmlDuk11_Remake_6_0.png")</f>
        <v/>
      </c>
      <c r="C3064" s="21" t="s">
        <v>182</v>
      </c>
      <c r="D3064" s="21" t="s">
        <v>51</v>
      </c>
      <c r="E3064" s="21">
        <v>10.0</v>
      </c>
      <c r="F3064" s="21" t="s">
        <v>2289</v>
      </c>
      <c r="G3064" s="19"/>
      <c r="H3064" s="19"/>
      <c r="I3064" s="19"/>
    </row>
    <row r="3065" ht="56.25" customHeight="1">
      <c r="A3065" s="21" t="s">
        <v>6408</v>
      </c>
      <c r="B3065" s="19" t="str">
        <f>image("https://storage.googleapis.com/acdb/photos/BromideNpcNmlDuk11_Remake_7_0.png")</f>
        <v/>
      </c>
      <c r="C3065" s="21" t="s">
        <v>187</v>
      </c>
      <c r="D3065" s="21" t="s">
        <v>51</v>
      </c>
      <c r="E3065" s="21">
        <v>10.0</v>
      </c>
      <c r="F3065" s="21" t="s">
        <v>2289</v>
      </c>
      <c r="G3065" s="19"/>
      <c r="H3065" s="19"/>
      <c r="I3065" s="19"/>
    </row>
    <row r="3066" ht="56.25" customHeight="1">
      <c r="A3066" s="21" t="s">
        <v>6409</v>
      </c>
      <c r="B3066" s="19" t="str">
        <f>image("https://storage.googleapis.com/acdb/photos/BromideNpcNmlShp09_Remake_0_0.png")</f>
        <v/>
      </c>
      <c r="C3066" s="21" t="s">
        <v>219</v>
      </c>
      <c r="D3066" s="21" t="s">
        <v>51</v>
      </c>
      <c r="E3066" s="21">
        <v>10.0</v>
      </c>
      <c r="F3066" s="21" t="s">
        <v>2289</v>
      </c>
      <c r="G3066" s="19"/>
      <c r="H3066" s="19"/>
      <c r="I3066" s="19"/>
    </row>
    <row r="3067" ht="56.25" customHeight="1">
      <c r="A3067" s="21" t="s">
        <v>6409</v>
      </c>
      <c r="B3067" s="19" t="str">
        <f>image("https://storage.googleapis.com/acdb/photos/BromideNpcNmlShp09_Remake_1_0.png")</f>
        <v/>
      </c>
      <c r="C3067" s="21" t="s">
        <v>795</v>
      </c>
      <c r="D3067" s="21" t="s">
        <v>51</v>
      </c>
      <c r="E3067" s="21">
        <v>10.0</v>
      </c>
      <c r="F3067" s="21" t="s">
        <v>2289</v>
      </c>
      <c r="G3067" s="19"/>
      <c r="H3067" s="19"/>
      <c r="I3067" s="19"/>
    </row>
    <row r="3068" ht="56.25" customHeight="1">
      <c r="A3068" s="21" t="s">
        <v>6409</v>
      </c>
      <c r="B3068" s="19" t="str">
        <f>image("https://storage.googleapis.com/acdb/photos/BromideNpcNmlShp09_Remake_2_0.png")</f>
        <v/>
      </c>
      <c r="C3068" s="21" t="s">
        <v>954</v>
      </c>
      <c r="D3068" s="21" t="s">
        <v>51</v>
      </c>
      <c r="E3068" s="21">
        <v>10.0</v>
      </c>
      <c r="F3068" s="21" t="s">
        <v>2289</v>
      </c>
      <c r="G3068" s="19"/>
      <c r="H3068" s="19"/>
      <c r="I3068" s="19"/>
    </row>
    <row r="3069" ht="56.25" customHeight="1">
      <c r="A3069" s="21" t="s">
        <v>6409</v>
      </c>
      <c r="B3069" s="19" t="str">
        <f>image("https://storage.googleapis.com/acdb/photos/BromideNpcNmlShp09_Remake_3_0.png")</f>
        <v/>
      </c>
      <c r="C3069" s="21" t="s">
        <v>82</v>
      </c>
      <c r="D3069" s="21" t="s">
        <v>51</v>
      </c>
      <c r="E3069" s="21">
        <v>10.0</v>
      </c>
      <c r="F3069" s="21" t="s">
        <v>2289</v>
      </c>
      <c r="G3069" s="19"/>
      <c r="H3069" s="19"/>
      <c r="I3069" s="19"/>
    </row>
    <row r="3070" ht="56.25" customHeight="1">
      <c r="A3070" s="21" t="s">
        <v>6409</v>
      </c>
      <c r="B3070" s="19" t="str">
        <f>image("https://storage.googleapis.com/acdb/photos/BromideNpcNmlShp09_Remake_4_0.png")</f>
        <v/>
      </c>
      <c r="C3070" s="21" t="s">
        <v>833</v>
      </c>
      <c r="D3070" s="21" t="s">
        <v>51</v>
      </c>
      <c r="E3070" s="21">
        <v>10.0</v>
      </c>
      <c r="F3070" s="21" t="s">
        <v>2289</v>
      </c>
      <c r="G3070" s="19"/>
      <c r="H3070" s="19"/>
      <c r="I3070" s="19"/>
    </row>
    <row r="3071" ht="56.25" customHeight="1">
      <c r="A3071" s="21" t="s">
        <v>6409</v>
      </c>
      <c r="B3071" s="19" t="str">
        <f>image("https://storage.googleapis.com/acdb/photos/BromideNpcNmlShp09_Remake_5_0.png")</f>
        <v/>
      </c>
      <c r="C3071" s="21" t="s">
        <v>258</v>
      </c>
      <c r="D3071" s="21" t="s">
        <v>51</v>
      </c>
      <c r="E3071" s="21">
        <v>10.0</v>
      </c>
      <c r="F3071" s="21" t="s">
        <v>2289</v>
      </c>
      <c r="G3071" s="19"/>
      <c r="H3071" s="19"/>
      <c r="I3071" s="19"/>
    </row>
    <row r="3072" ht="56.25" customHeight="1">
      <c r="A3072" s="21" t="s">
        <v>6409</v>
      </c>
      <c r="B3072" s="19" t="str">
        <f>image("https://storage.googleapis.com/acdb/photos/BromideNpcNmlShp09_Remake_6_0.png")</f>
        <v/>
      </c>
      <c r="C3072" s="21" t="s">
        <v>182</v>
      </c>
      <c r="D3072" s="21" t="s">
        <v>51</v>
      </c>
      <c r="E3072" s="21">
        <v>10.0</v>
      </c>
      <c r="F3072" s="21" t="s">
        <v>2289</v>
      </c>
      <c r="G3072" s="19"/>
      <c r="H3072" s="19"/>
      <c r="I3072" s="19"/>
    </row>
    <row r="3073" ht="56.25" customHeight="1">
      <c r="A3073" s="21" t="s">
        <v>6409</v>
      </c>
      <c r="B3073" s="19" t="str">
        <f>image("https://storage.googleapis.com/acdb/photos/BromideNpcNmlShp09_Remake_7_0.png")</f>
        <v/>
      </c>
      <c r="C3073" s="21" t="s">
        <v>187</v>
      </c>
      <c r="D3073" s="21" t="s">
        <v>51</v>
      </c>
      <c r="E3073" s="21">
        <v>10.0</v>
      </c>
      <c r="F3073" s="21" t="s">
        <v>2289</v>
      </c>
      <c r="G3073" s="19"/>
      <c r="H3073" s="19"/>
      <c r="I3073" s="19"/>
    </row>
    <row r="3074" ht="56.25" customHeight="1">
      <c r="A3074" s="21" t="s">
        <v>6410</v>
      </c>
      <c r="B3074" s="19" t="str">
        <f>image("https://storage.googleapis.com/acdb/photos/BromideNpcNmlWol03_Remake_0_0.png")</f>
        <v/>
      </c>
      <c r="C3074" s="21" t="s">
        <v>219</v>
      </c>
      <c r="D3074" s="21" t="s">
        <v>51</v>
      </c>
      <c r="E3074" s="21">
        <v>10.0</v>
      </c>
      <c r="F3074" s="21" t="s">
        <v>2289</v>
      </c>
      <c r="G3074" s="19"/>
      <c r="H3074" s="19"/>
      <c r="I3074" s="19"/>
    </row>
    <row r="3075" ht="56.25" customHeight="1">
      <c r="A3075" s="21" t="s">
        <v>6410</v>
      </c>
      <c r="B3075" s="19" t="str">
        <f>image("https://storage.googleapis.com/acdb/photos/BromideNpcNmlWol03_Remake_1_0.png")</f>
        <v/>
      </c>
      <c r="C3075" s="21" t="s">
        <v>795</v>
      </c>
      <c r="D3075" s="21" t="s">
        <v>51</v>
      </c>
      <c r="E3075" s="21">
        <v>10.0</v>
      </c>
      <c r="F3075" s="21" t="s">
        <v>2289</v>
      </c>
      <c r="G3075" s="19"/>
      <c r="H3075" s="19"/>
      <c r="I3075" s="19"/>
    </row>
    <row r="3076" ht="56.25" customHeight="1">
      <c r="A3076" s="21" t="s">
        <v>6410</v>
      </c>
      <c r="B3076" s="19" t="str">
        <f>image("https://storage.googleapis.com/acdb/photos/BromideNpcNmlWol03_Remake_2_0.png")</f>
        <v/>
      </c>
      <c r="C3076" s="21" t="s">
        <v>954</v>
      </c>
      <c r="D3076" s="21" t="s">
        <v>51</v>
      </c>
      <c r="E3076" s="21">
        <v>10.0</v>
      </c>
      <c r="F3076" s="21" t="s">
        <v>2289</v>
      </c>
      <c r="G3076" s="19"/>
      <c r="H3076" s="19"/>
      <c r="I3076" s="19"/>
    </row>
    <row r="3077" ht="56.25" customHeight="1">
      <c r="A3077" s="21" t="s">
        <v>6410</v>
      </c>
      <c r="B3077" s="19" t="str">
        <f>image("https://storage.googleapis.com/acdb/photos/BromideNpcNmlWol03_Remake_3_0.png")</f>
        <v/>
      </c>
      <c r="C3077" s="21" t="s">
        <v>82</v>
      </c>
      <c r="D3077" s="21" t="s">
        <v>51</v>
      </c>
      <c r="E3077" s="21">
        <v>10.0</v>
      </c>
      <c r="F3077" s="21" t="s">
        <v>2289</v>
      </c>
      <c r="G3077" s="19"/>
      <c r="H3077" s="19"/>
      <c r="I3077" s="19"/>
    </row>
    <row r="3078" ht="56.25" customHeight="1">
      <c r="A3078" s="21" t="s">
        <v>6410</v>
      </c>
      <c r="B3078" s="19" t="str">
        <f>image("https://storage.googleapis.com/acdb/photos/BromideNpcNmlWol03_Remake_4_0.png")</f>
        <v/>
      </c>
      <c r="C3078" s="21" t="s">
        <v>833</v>
      </c>
      <c r="D3078" s="21" t="s">
        <v>51</v>
      </c>
      <c r="E3078" s="21">
        <v>10.0</v>
      </c>
      <c r="F3078" s="21" t="s">
        <v>2289</v>
      </c>
      <c r="G3078" s="19"/>
      <c r="H3078" s="19"/>
      <c r="I3078" s="19"/>
    </row>
    <row r="3079" ht="56.25" customHeight="1">
      <c r="A3079" s="21" t="s">
        <v>6410</v>
      </c>
      <c r="B3079" s="19" t="str">
        <f>image("https://storage.googleapis.com/acdb/photos/BromideNpcNmlWol03_Remake_5_0.png")</f>
        <v/>
      </c>
      <c r="C3079" s="21" t="s">
        <v>258</v>
      </c>
      <c r="D3079" s="21" t="s">
        <v>51</v>
      </c>
      <c r="E3079" s="21">
        <v>10.0</v>
      </c>
      <c r="F3079" s="21" t="s">
        <v>2289</v>
      </c>
      <c r="G3079" s="19"/>
      <c r="H3079" s="19"/>
      <c r="I3079" s="19"/>
    </row>
    <row r="3080" ht="56.25" customHeight="1">
      <c r="A3080" s="21" t="s">
        <v>6410</v>
      </c>
      <c r="B3080" s="19" t="str">
        <f>image("https://storage.googleapis.com/acdb/photos/BromideNpcNmlWol03_Remake_6_0.png")</f>
        <v/>
      </c>
      <c r="C3080" s="21" t="s">
        <v>182</v>
      </c>
      <c r="D3080" s="21" t="s">
        <v>51</v>
      </c>
      <c r="E3080" s="21">
        <v>10.0</v>
      </c>
      <c r="F3080" s="21" t="s">
        <v>2289</v>
      </c>
      <c r="G3080" s="19"/>
      <c r="H3080" s="19"/>
      <c r="I3080" s="19"/>
    </row>
    <row r="3081" ht="56.25" customHeight="1">
      <c r="A3081" s="21" t="s">
        <v>6410</v>
      </c>
      <c r="B3081" s="19" t="str">
        <f>image("https://storage.googleapis.com/acdb/photos/BromideNpcNmlWol03_Remake_7_0.png")</f>
        <v/>
      </c>
      <c r="C3081" s="21" t="s">
        <v>187</v>
      </c>
      <c r="D3081" s="21" t="s">
        <v>51</v>
      </c>
      <c r="E3081" s="21">
        <v>10.0</v>
      </c>
      <c r="F3081" s="21" t="s">
        <v>2289</v>
      </c>
      <c r="G3081" s="19"/>
      <c r="H3081" s="19"/>
      <c r="I3081" s="19"/>
    </row>
    <row r="3082" ht="56.25" customHeight="1">
      <c r="A3082" s="21" t="s">
        <v>6411</v>
      </c>
      <c r="B3082" s="19" t="str">
        <f>image("https://storage.googleapis.com/acdb/photos/BromideNpcNmlShp07_Remake_0_0.png")</f>
        <v/>
      </c>
      <c r="C3082" s="21" t="s">
        <v>219</v>
      </c>
      <c r="D3082" s="21" t="s">
        <v>51</v>
      </c>
      <c r="E3082" s="21">
        <v>10.0</v>
      </c>
      <c r="F3082" s="21" t="s">
        <v>2289</v>
      </c>
      <c r="G3082" s="19"/>
      <c r="H3082" s="19"/>
      <c r="I3082" s="19"/>
    </row>
    <row r="3083" ht="56.25" customHeight="1">
      <c r="A3083" s="21" t="s">
        <v>6411</v>
      </c>
      <c r="B3083" s="19" t="str">
        <f>image("https://storage.googleapis.com/acdb/photos/BromideNpcNmlShp07_Remake_1_0.png")</f>
        <v/>
      </c>
      <c r="C3083" s="21" t="s">
        <v>795</v>
      </c>
      <c r="D3083" s="21" t="s">
        <v>51</v>
      </c>
      <c r="E3083" s="21">
        <v>10.0</v>
      </c>
      <c r="F3083" s="21" t="s">
        <v>2289</v>
      </c>
      <c r="G3083" s="19"/>
      <c r="H3083" s="19"/>
      <c r="I3083" s="19"/>
    </row>
    <row r="3084" ht="56.25" customHeight="1">
      <c r="A3084" s="21" t="s">
        <v>6411</v>
      </c>
      <c r="B3084" s="19" t="str">
        <f>image("https://storage.googleapis.com/acdb/photos/BromideNpcNmlShp07_Remake_2_0.png")</f>
        <v/>
      </c>
      <c r="C3084" s="21" t="s">
        <v>954</v>
      </c>
      <c r="D3084" s="21" t="s">
        <v>51</v>
      </c>
      <c r="E3084" s="21">
        <v>10.0</v>
      </c>
      <c r="F3084" s="21" t="s">
        <v>2289</v>
      </c>
      <c r="G3084" s="19"/>
      <c r="H3084" s="19"/>
      <c r="I3084" s="19"/>
    </row>
    <row r="3085" ht="56.25" customHeight="1">
      <c r="A3085" s="21" t="s">
        <v>6411</v>
      </c>
      <c r="B3085" s="19" t="str">
        <f>image("https://storage.googleapis.com/acdb/photos/BromideNpcNmlShp07_Remake_3_0.png")</f>
        <v/>
      </c>
      <c r="C3085" s="21" t="s">
        <v>82</v>
      </c>
      <c r="D3085" s="21" t="s">
        <v>51</v>
      </c>
      <c r="E3085" s="21">
        <v>10.0</v>
      </c>
      <c r="F3085" s="21" t="s">
        <v>2289</v>
      </c>
      <c r="G3085" s="19"/>
      <c r="H3085" s="19"/>
      <c r="I3085" s="19"/>
    </row>
    <row r="3086" ht="56.25" customHeight="1">
      <c r="A3086" s="21" t="s">
        <v>6411</v>
      </c>
      <c r="B3086" s="19" t="str">
        <f>image("https://storage.googleapis.com/acdb/photos/BromideNpcNmlShp07_Remake_4_0.png")</f>
        <v/>
      </c>
      <c r="C3086" s="21" t="s">
        <v>833</v>
      </c>
      <c r="D3086" s="21" t="s">
        <v>51</v>
      </c>
      <c r="E3086" s="21">
        <v>10.0</v>
      </c>
      <c r="F3086" s="21" t="s">
        <v>2289</v>
      </c>
      <c r="G3086" s="19"/>
      <c r="H3086" s="19"/>
      <c r="I3086" s="19"/>
    </row>
    <row r="3087" ht="56.25" customHeight="1">
      <c r="A3087" s="21" t="s">
        <v>6411</v>
      </c>
      <c r="B3087" s="19" t="str">
        <f>image("https://storage.googleapis.com/acdb/photos/BromideNpcNmlShp07_Remake_5_0.png")</f>
        <v/>
      </c>
      <c r="C3087" s="21" t="s">
        <v>258</v>
      </c>
      <c r="D3087" s="21" t="s">
        <v>51</v>
      </c>
      <c r="E3087" s="21">
        <v>10.0</v>
      </c>
      <c r="F3087" s="21" t="s">
        <v>2289</v>
      </c>
      <c r="G3087" s="19"/>
      <c r="H3087" s="19"/>
      <c r="I3087" s="19"/>
    </row>
    <row r="3088" ht="56.25" customHeight="1">
      <c r="A3088" s="21" t="s">
        <v>6411</v>
      </c>
      <c r="B3088" s="19" t="str">
        <f>image("https://storage.googleapis.com/acdb/photos/BromideNpcNmlShp07_Remake_6_0.png")</f>
        <v/>
      </c>
      <c r="C3088" s="21" t="s">
        <v>182</v>
      </c>
      <c r="D3088" s="21" t="s">
        <v>51</v>
      </c>
      <c r="E3088" s="21">
        <v>10.0</v>
      </c>
      <c r="F3088" s="21" t="s">
        <v>2289</v>
      </c>
      <c r="G3088" s="19"/>
      <c r="H3088" s="19"/>
      <c r="I3088" s="19"/>
    </row>
    <row r="3089" ht="56.25" customHeight="1">
      <c r="A3089" s="21" t="s">
        <v>6411</v>
      </c>
      <c r="B3089" s="19" t="str">
        <f>image("https://storage.googleapis.com/acdb/photos/BromideNpcNmlShp07_Remake_7_0.png")</f>
        <v/>
      </c>
      <c r="C3089" s="21" t="s">
        <v>187</v>
      </c>
      <c r="D3089" s="21" t="s">
        <v>51</v>
      </c>
      <c r="E3089" s="21">
        <v>10.0</v>
      </c>
      <c r="F3089" s="21" t="s">
        <v>2289</v>
      </c>
      <c r="G3089" s="19"/>
      <c r="H3089" s="19"/>
      <c r="I3089" s="19"/>
    </row>
    <row r="3090" ht="56.25" customHeight="1">
      <c r="A3090" s="21" t="s">
        <v>6412</v>
      </c>
      <c r="B3090" s="19" t="str">
        <f>image("https://storage.googleapis.com/acdb/photos/BromideNpcNmlHrs05_Remake_0_0.png")</f>
        <v/>
      </c>
      <c r="C3090" s="21" t="s">
        <v>219</v>
      </c>
      <c r="D3090" s="21" t="s">
        <v>51</v>
      </c>
      <c r="E3090" s="21">
        <v>10.0</v>
      </c>
      <c r="F3090" s="21" t="s">
        <v>2289</v>
      </c>
      <c r="G3090" s="19"/>
      <c r="H3090" s="19"/>
      <c r="I3090" s="19"/>
    </row>
    <row r="3091" ht="56.25" customHeight="1">
      <c r="A3091" s="21" t="s">
        <v>6412</v>
      </c>
      <c r="B3091" s="19" t="str">
        <f>image("https://storage.googleapis.com/acdb/photos/BromideNpcNmlHrs05_Remake_1_0.png")</f>
        <v/>
      </c>
      <c r="C3091" s="21" t="s">
        <v>795</v>
      </c>
      <c r="D3091" s="21" t="s">
        <v>51</v>
      </c>
      <c r="E3091" s="21">
        <v>10.0</v>
      </c>
      <c r="F3091" s="21" t="s">
        <v>2289</v>
      </c>
      <c r="G3091" s="19"/>
      <c r="H3091" s="19"/>
      <c r="I3091" s="19"/>
    </row>
    <row r="3092" ht="56.25" customHeight="1">
      <c r="A3092" s="21" t="s">
        <v>6412</v>
      </c>
      <c r="B3092" s="19" t="str">
        <f>image("https://storage.googleapis.com/acdb/photos/BromideNpcNmlHrs05_Remake_2_0.png")</f>
        <v/>
      </c>
      <c r="C3092" s="21" t="s">
        <v>954</v>
      </c>
      <c r="D3092" s="21" t="s">
        <v>51</v>
      </c>
      <c r="E3092" s="21">
        <v>10.0</v>
      </c>
      <c r="F3092" s="21" t="s">
        <v>2289</v>
      </c>
      <c r="G3092" s="19"/>
      <c r="H3092" s="19"/>
      <c r="I3092" s="19"/>
    </row>
    <row r="3093" ht="56.25" customHeight="1">
      <c r="A3093" s="21" t="s">
        <v>6412</v>
      </c>
      <c r="B3093" s="19" t="str">
        <f>image("https://storage.googleapis.com/acdb/photos/BromideNpcNmlHrs05_Remake_3_0.png")</f>
        <v/>
      </c>
      <c r="C3093" s="21" t="s">
        <v>82</v>
      </c>
      <c r="D3093" s="21" t="s">
        <v>51</v>
      </c>
      <c r="E3093" s="21">
        <v>10.0</v>
      </c>
      <c r="F3093" s="21" t="s">
        <v>2289</v>
      </c>
      <c r="G3093" s="19"/>
      <c r="H3093" s="19"/>
      <c r="I3093" s="19"/>
    </row>
    <row r="3094" ht="56.25" customHeight="1">
      <c r="A3094" s="21" t="s">
        <v>6412</v>
      </c>
      <c r="B3094" s="19" t="str">
        <f>image("https://storage.googleapis.com/acdb/photos/BromideNpcNmlHrs05_Remake_4_0.png")</f>
        <v/>
      </c>
      <c r="C3094" s="21" t="s">
        <v>833</v>
      </c>
      <c r="D3094" s="21" t="s">
        <v>51</v>
      </c>
      <c r="E3094" s="21">
        <v>10.0</v>
      </c>
      <c r="F3094" s="21" t="s">
        <v>2289</v>
      </c>
      <c r="G3094" s="19"/>
      <c r="H3094" s="19"/>
      <c r="I3094" s="19"/>
    </row>
    <row r="3095" ht="56.25" customHeight="1">
      <c r="A3095" s="21" t="s">
        <v>6412</v>
      </c>
      <c r="B3095" s="19" t="str">
        <f>image("https://storage.googleapis.com/acdb/photos/BromideNpcNmlHrs05_Remake_5_0.png")</f>
        <v/>
      </c>
      <c r="C3095" s="21" t="s">
        <v>258</v>
      </c>
      <c r="D3095" s="21" t="s">
        <v>51</v>
      </c>
      <c r="E3095" s="21">
        <v>10.0</v>
      </c>
      <c r="F3095" s="21" t="s">
        <v>2289</v>
      </c>
      <c r="G3095" s="19"/>
      <c r="H3095" s="19"/>
      <c r="I3095" s="19"/>
    </row>
    <row r="3096" ht="56.25" customHeight="1">
      <c r="A3096" s="21" t="s">
        <v>6412</v>
      </c>
      <c r="B3096" s="19" t="str">
        <f>image("https://storage.googleapis.com/acdb/photos/BromideNpcNmlHrs05_Remake_6_0.png")</f>
        <v/>
      </c>
      <c r="C3096" s="21" t="s">
        <v>182</v>
      </c>
      <c r="D3096" s="21" t="s">
        <v>51</v>
      </c>
      <c r="E3096" s="21">
        <v>10.0</v>
      </c>
      <c r="F3096" s="21" t="s">
        <v>2289</v>
      </c>
      <c r="G3096" s="19"/>
      <c r="H3096" s="19"/>
      <c r="I3096" s="19"/>
    </row>
    <row r="3097" ht="56.25" customHeight="1">
      <c r="A3097" s="21" t="s">
        <v>6412</v>
      </c>
      <c r="B3097" s="19" t="str">
        <f>image("https://storage.googleapis.com/acdb/photos/BromideNpcNmlHrs05_Remake_7_0.png")</f>
        <v/>
      </c>
      <c r="C3097" s="21" t="s">
        <v>187</v>
      </c>
      <c r="D3097" s="21" t="s">
        <v>51</v>
      </c>
      <c r="E3097" s="21">
        <v>10.0</v>
      </c>
      <c r="F3097" s="21" t="s">
        <v>2289</v>
      </c>
      <c r="G3097" s="19"/>
      <c r="H3097" s="19"/>
      <c r="I3097" s="19"/>
    </row>
    <row r="3098" ht="56.25" customHeight="1">
      <c r="A3098" s="21" t="s">
        <v>6413</v>
      </c>
      <c r="B3098" s="19" t="str">
        <f>image("https://storage.googleapis.com/acdb/photos/BromideNpcNmlWol02_Remake_0_0.png")</f>
        <v/>
      </c>
      <c r="C3098" s="21" t="s">
        <v>219</v>
      </c>
      <c r="D3098" s="21" t="s">
        <v>51</v>
      </c>
      <c r="E3098" s="21">
        <v>10.0</v>
      </c>
      <c r="F3098" s="21" t="s">
        <v>2289</v>
      </c>
      <c r="G3098" s="19"/>
      <c r="H3098" s="19"/>
      <c r="I3098" s="19"/>
    </row>
    <row r="3099" ht="56.25" customHeight="1">
      <c r="A3099" s="21" t="s">
        <v>6413</v>
      </c>
      <c r="B3099" s="19" t="str">
        <f>image("https://storage.googleapis.com/acdb/photos/BromideNpcNmlWol02_Remake_1_0.png")</f>
        <v/>
      </c>
      <c r="C3099" s="21" t="s">
        <v>795</v>
      </c>
      <c r="D3099" s="21" t="s">
        <v>51</v>
      </c>
      <c r="E3099" s="21">
        <v>10.0</v>
      </c>
      <c r="F3099" s="21" t="s">
        <v>2289</v>
      </c>
      <c r="G3099" s="19"/>
      <c r="H3099" s="19"/>
      <c r="I3099" s="19"/>
    </row>
    <row r="3100" ht="56.25" customHeight="1">
      <c r="A3100" s="21" t="s">
        <v>6413</v>
      </c>
      <c r="B3100" s="19" t="str">
        <f>image("https://storage.googleapis.com/acdb/photos/BromideNpcNmlWol02_Remake_2_0.png")</f>
        <v/>
      </c>
      <c r="C3100" s="21" t="s">
        <v>954</v>
      </c>
      <c r="D3100" s="21" t="s">
        <v>51</v>
      </c>
      <c r="E3100" s="21">
        <v>10.0</v>
      </c>
      <c r="F3100" s="21" t="s">
        <v>2289</v>
      </c>
      <c r="G3100" s="19"/>
      <c r="H3100" s="19"/>
      <c r="I3100" s="19"/>
    </row>
    <row r="3101" ht="56.25" customHeight="1">
      <c r="A3101" s="21" t="s">
        <v>6413</v>
      </c>
      <c r="B3101" s="19" t="str">
        <f>image("https://storage.googleapis.com/acdb/photos/BromideNpcNmlWol02_Remake_3_0.png")</f>
        <v/>
      </c>
      <c r="C3101" s="21" t="s">
        <v>82</v>
      </c>
      <c r="D3101" s="21" t="s">
        <v>51</v>
      </c>
      <c r="E3101" s="21">
        <v>10.0</v>
      </c>
      <c r="F3101" s="21" t="s">
        <v>2289</v>
      </c>
      <c r="G3101" s="19"/>
      <c r="H3101" s="19"/>
      <c r="I3101" s="19"/>
    </row>
    <row r="3102" ht="56.25" customHeight="1">
      <c r="A3102" s="21" t="s">
        <v>6413</v>
      </c>
      <c r="B3102" s="19" t="str">
        <f>image("https://storage.googleapis.com/acdb/photos/BromideNpcNmlWol02_Remake_4_0.png")</f>
        <v/>
      </c>
      <c r="C3102" s="21" t="s">
        <v>833</v>
      </c>
      <c r="D3102" s="21" t="s">
        <v>51</v>
      </c>
      <c r="E3102" s="21">
        <v>10.0</v>
      </c>
      <c r="F3102" s="21" t="s">
        <v>2289</v>
      </c>
      <c r="G3102" s="19"/>
      <c r="H3102" s="19"/>
      <c r="I3102" s="19"/>
    </row>
    <row r="3103" ht="56.25" customHeight="1">
      <c r="A3103" s="21" t="s">
        <v>6413</v>
      </c>
      <c r="B3103" s="19" t="str">
        <f>image("https://storage.googleapis.com/acdb/photos/BromideNpcNmlWol02_Remake_5_0.png")</f>
        <v/>
      </c>
      <c r="C3103" s="21" t="s">
        <v>258</v>
      </c>
      <c r="D3103" s="21" t="s">
        <v>51</v>
      </c>
      <c r="E3103" s="21">
        <v>10.0</v>
      </c>
      <c r="F3103" s="21" t="s">
        <v>2289</v>
      </c>
      <c r="G3103" s="19"/>
      <c r="H3103" s="19"/>
      <c r="I3103" s="19"/>
    </row>
    <row r="3104" ht="56.25" customHeight="1">
      <c r="A3104" s="21" t="s">
        <v>6413</v>
      </c>
      <c r="B3104" s="19" t="str">
        <f>image("https://storage.googleapis.com/acdb/photos/BromideNpcNmlWol02_Remake_6_0.png")</f>
        <v/>
      </c>
      <c r="C3104" s="21" t="s">
        <v>182</v>
      </c>
      <c r="D3104" s="21" t="s">
        <v>51</v>
      </c>
      <c r="E3104" s="21">
        <v>10.0</v>
      </c>
      <c r="F3104" s="21" t="s">
        <v>2289</v>
      </c>
      <c r="G3104" s="19"/>
      <c r="H3104" s="19"/>
      <c r="I3104" s="19"/>
    </row>
    <row r="3105" ht="56.25" customHeight="1">
      <c r="A3105" s="21" t="s">
        <v>6413</v>
      </c>
      <c r="B3105" s="19" t="str">
        <f>image("https://storage.googleapis.com/acdb/photos/BromideNpcNmlWol02_Remake_7_0.png")</f>
        <v/>
      </c>
      <c r="C3105" s="21" t="s">
        <v>187</v>
      </c>
      <c r="D3105" s="21" t="s">
        <v>51</v>
      </c>
      <c r="E3105" s="21">
        <v>10.0</v>
      </c>
      <c r="F3105" s="21" t="s">
        <v>2289</v>
      </c>
      <c r="G3105" s="19"/>
      <c r="H3105" s="19"/>
      <c r="I3105" s="19"/>
    </row>
    <row r="3106" ht="56.25" customHeight="1">
      <c r="A3106" s="21" t="s">
        <v>6414</v>
      </c>
      <c r="B3106" s="19" t="str">
        <f>image("https://storage.googleapis.com/acdb/photos/BromideNpcNmlKal00_Remake_0_0.png")</f>
        <v/>
      </c>
      <c r="C3106" s="21" t="s">
        <v>219</v>
      </c>
      <c r="D3106" s="21" t="s">
        <v>51</v>
      </c>
      <c r="E3106" s="21">
        <v>10.0</v>
      </c>
      <c r="F3106" s="21" t="s">
        <v>2289</v>
      </c>
      <c r="G3106" s="19"/>
      <c r="H3106" s="19"/>
      <c r="I3106" s="19"/>
    </row>
    <row r="3107" ht="56.25" customHeight="1">
      <c r="A3107" s="21" t="s">
        <v>6414</v>
      </c>
      <c r="B3107" s="19" t="str">
        <f>image("https://storage.googleapis.com/acdb/photos/BromideNpcNmlKal00_Remake_1_0.png")</f>
        <v/>
      </c>
      <c r="C3107" s="21" t="s">
        <v>795</v>
      </c>
      <c r="D3107" s="21" t="s">
        <v>51</v>
      </c>
      <c r="E3107" s="21">
        <v>10.0</v>
      </c>
      <c r="F3107" s="21" t="s">
        <v>2289</v>
      </c>
      <c r="G3107" s="19"/>
      <c r="H3107" s="19"/>
      <c r="I3107" s="19"/>
    </row>
    <row r="3108" ht="56.25" customHeight="1">
      <c r="A3108" s="21" t="s">
        <v>6414</v>
      </c>
      <c r="B3108" s="19" t="str">
        <f>image("https://storage.googleapis.com/acdb/photos/BromideNpcNmlKal00_Remake_2_0.png")</f>
        <v/>
      </c>
      <c r="C3108" s="21" t="s">
        <v>954</v>
      </c>
      <c r="D3108" s="21" t="s">
        <v>51</v>
      </c>
      <c r="E3108" s="21">
        <v>10.0</v>
      </c>
      <c r="F3108" s="21" t="s">
        <v>2289</v>
      </c>
      <c r="G3108" s="19"/>
      <c r="H3108" s="19"/>
      <c r="I3108" s="19"/>
    </row>
    <row r="3109" ht="56.25" customHeight="1">
      <c r="A3109" s="21" t="s">
        <v>6414</v>
      </c>
      <c r="B3109" s="19" t="str">
        <f>image("https://storage.googleapis.com/acdb/photos/BromideNpcNmlKal00_Remake_3_0.png")</f>
        <v/>
      </c>
      <c r="C3109" s="21" t="s">
        <v>82</v>
      </c>
      <c r="D3109" s="21" t="s">
        <v>51</v>
      </c>
      <c r="E3109" s="21">
        <v>10.0</v>
      </c>
      <c r="F3109" s="21" t="s">
        <v>2289</v>
      </c>
      <c r="G3109" s="19"/>
      <c r="H3109" s="19"/>
      <c r="I3109" s="19"/>
    </row>
    <row r="3110" ht="56.25" customHeight="1">
      <c r="A3110" s="21" t="s">
        <v>6414</v>
      </c>
      <c r="B3110" s="19" t="str">
        <f>image("https://storage.googleapis.com/acdb/photos/BromideNpcNmlKal00_Remake_4_0.png")</f>
        <v/>
      </c>
      <c r="C3110" s="21" t="s">
        <v>833</v>
      </c>
      <c r="D3110" s="21" t="s">
        <v>51</v>
      </c>
      <c r="E3110" s="21">
        <v>10.0</v>
      </c>
      <c r="F3110" s="21" t="s">
        <v>2289</v>
      </c>
      <c r="G3110" s="19"/>
      <c r="H3110" s="19"/>
      <c r="I3110" s="19"/>
    </row>
    <row r="3111" ht="56.25" customHeight="1">
      <c r="A3111" s="21" t="s">
        <v>6414</v>
      </c>
      <c r="B3111" s="19" t="str">
        <f>image("https://storage.googleapis.com/acdb/photos/BromideNpcNmlKal00_Remake_5_0.png")</f>
        <v/>
      </c>
      <c r="C3111" s="21" t="s">
        <v>258</v>
      </c>
      <c r="D3111" s="21" t="s">
        <v>51</v>
      </c>
      <c r="E3111" s="21">
        <v>10.0</v>
      </c>
      <c r="F3111" s="21" t="s">
        <v>2289</v>
      </c>
      <c r="G3111" s="19"/>
      <c r="H3111" s="19"/>
      <c r="I3111" s="19"/>
    </row>
    <row r="3112" ht="56.25" customHeight="1">
      <c r="A3112" s="21" t="s">
        <v>6414</v>
      </c>
      <c r="B3112" s="19" t="str">
        <f>image("https://storage.googleapis.com/acdb/photos/BromideNpcNmlKal00_Remake_6_0.png")</f>
        <v/>
      </c>
      <c r="C3112" s="21" t="s">
        <v>182</v>
      </c>
      <c r="D3112" s="21" t="s">
        <v>51</v>
      </c>
      <c r="E3112" s="21">
        <v>10.0</v>
      </c>
      <c r="F3112" s="21" t="s">
        <v>2289</v>
      </c>
      <c r="G3112" s="19"/>
      <c r="H3112" s="19"/>
      <c r="I3112" s="19"/>
    </row>
    <row r="3113" ht="56.25" customHeight="1">
      <c r="A3113" s="21" t="s">
        <v>6414</v>
      </c>
      <c r="B3113" s="19" t="str">
        <f>image("https://storage.googleapis.com/acdb/photos/BromideNpcNmlKal00_Remake_7_0.png")</f>
        <v/>
      </c>
      <c r="C3113" s="21" t="s">
        <v>187</v>
      </c>
      <c r="D3113" s="21" t="s">
        <v>51</v>
      </c>
      <c r="E3113" s="21">
        <v>10.0</v>
      </c>
      <c r="F3113" s="21" t="s">
        <v>2289</v>
      </c>
      <c r="G3113" s="19"/>
      <c r="H3113" s="19"/>
      <c r="I3113" s="19"/>
    </row>
    <row r="3114" ht="56.25" customHeight="1">
      <c r="A3114" s="21" t="s">
        <v>6415</v>
      </c>
      <c r="B3114" s="19" t="str">
        <f>image("https://storage.googleapis.com/acdb/photos/BromideNpcNmlDer02_Remake_0_0.png")</f>
        <v/>
      </c>
      <c r="C3114" s="21" t="s">
        <v>219</v>
      </c>
      <c r="D3114" s="21" t="s">
        <v>51</v>
      </c>
      <c r="E3114" s="21">
        <v>10.0</v>
      </c>
      <c r="F3114" s="21" t="s">
        <v>2289</v>
      </c>
      <c r="G3114" s="19"/>
      <c r="H3114" s="19"/>
      <c r="I3114" s="19"/>
    </row>
    <row r="3115" ht="56.25" customHeight="1">
      <c r="A3115" s="21" t="s">
        <v>6415</v>
      </c>
      <c r="B3115" s="19" t="str">
        <f>image("https://storage.googleapis.com/acdb/photos/BromideNpcNmlDer02_Remake_1_0.png")</f>
        <v/>
      </c>
      <c r="C3115" s="21" t="s">
        <v>795</v>
      </c>
      <c r="D3115" s="21" t="s">
        <v>51</v>
      </c>
      <c r="E3115" s="21">
        <v>10.0</v>
      </c>
      <c r="F3115" s="21" t="s">
        <v>2289</v>
      </c>
      <c r="G3115" s="19"/>
      <c r="H3115" s="19"/>
      <c r="I3115" s="19"/>
    </row>
    <row r="3116" ht="56.25" customHeight="1">
      <c r="A3116" s="21" t="s">
        <v>6415</v>
      </c>
      <c r="B3116" s="19" t="str">
        <f>image("https://storage.googleapis.com/acdb/photos/BromideNpcNmlDer02_Remake_2_0.png")</f>
        <v/>
      </c>
      <c r="C3116" s="21" t="s">
        <v>954</v>
      </c>
      <c r="D3116" s="21" t="s">
        <v>51</v>
      </c>
      <c r="E3116" s="21">
        <v>10.0</v>
      </c>
      <c r="F3116" s="21" t="s">
        <v>2289</v>
      </c>
      <c r="G3116" s="19"/>
      <c r="H3116" s="19"/>
      <c r="I3116" s="19"/>
    </row>
    <row r="3117" ht="56.25" customHeight="1">
      <c r="A3117" s="21" t="s">
        <v>6415</v>
      </c>
      <c r="B3117" s="19" t="str">
        <f>image("https://storage.googleapis.com/acdb/photos/BromideNpcNmlDer02_Remake_3_0.png")</f>
        <v/>
      </c>
      <c r="C3117" s="21" t="s">
        <v>82</v>
      </c>
      <c r="D3117" s="21" t="s">
        <v>51</v>
      </c>
      <c r="E3117" s="21">
        <v>10.0</v>
      </c>
      <c r="F3117" s="21" t="s">
        <v>2289</v>
      </c>
      <c r="G3117" s="19"/>
      <c r="H3117" s="19"/>
      <c r="I3117" s="19"/>
    </row>
    <row r="3118" ht="56.25" customHeight="1">
      <c r="A3118" s="21" t="s">
        <v>6415</v>
      </c>
      <c r="B3118" s="19" t="str">
        <f>image("https://storage.googleapis.com/acdb/photos/BromideNpcNmlDer02_Remake_4_0.png")</f>
        <v/>
      </c>
      <c r="C3118" s="21" t="s">
        <v>833</v>
      </c>
      <c r="D3118" s="21" t="s">
        <v>51</v>
      </c>
      <c r="E3118" s="21">
        <v>10.0</v>
      </c>
      <c r="F3118" s="21" t="s">
        <v>2289</v>
      </c>
      <c r="G3118" s="19"/>
      <c r="H3118" s="19"/>
      <c r="I3118" s="19"/>
    </row>
    <row r="3119" ht="56.25" customHeight="1">
      <c r="A3119" s="21" t="s">
        <v>6415</v>
      </c>
      <c r="B3119" s="19" t="str">
        <f>image("https://storage.googleapis.com/acdb/photos/BromideNpcNmlDer02_Remake_5_0.png")</f>
        <v/>
      </c>
      <c r="C3119" s="21" t="s">
        <v>258</v>
      </c>
      <c r="D3119" s="21" t="s">
        <v>51</v>
      </c>
      <c r="E3119" s="21">
        <v>10.0</v>
      </c>
      <c r="F3119" s="21" t="s">
        <v>2289</v>
      </c>
      <c r="G3119" s="19"/>
      <c r="H3119" s="19"/>
      <c r="I3119" s="19"/>
    </row>
    <row r="3120" ht="56.25" customHeight="1">
      <c r="A3120" s="21" t="s">
        <v>6415</v>
      </c>
      <c r="B3120" s="19" t="str">
        <f>image("https://storage.googleapis.com/acdb/photos/BromideNpcNmlDer02_Remake_6_0.png")</f>
        <v/>
      </c>
      <c r="C3120" s="21" t="s">
        <v>182</v>
      </c>
      <c r="D3120" s="21" t="s">
        <v>51</v>
      </c>
      <c r="E3120" s="21">
        <v>10.0</v>
      </c>
      <c r="F3120" s="21" t="s">
        <v>2289</v>
      </c>
      <c r="G3120" s="19"/>
      <c r="H3120" s="19"/>
      <c r="I3120" s="19"/>
    </row>
    <row r="3121" ht="56.25" customHeight="1">
      <c r="A3121" s="21" t="s">
        <v>6415</v>
      </c>
      <c r="B3121" s="19" t="str">
        <f>image("https://storage.googleapis.com/acdb/photos/BromideNpcNmlDer02_Remake_7_0.png")</f>
        <v/>
      </c>
      <c r="C3121" s="21" t="s">
        <v>187</v>
      </c>
      <c r="D3121" s="21" t="s">
        <v>51</v>
      </c>
      <c r="E3121" s="21">
        <v>10.0</v>
      </c>
      <c r="F3121" s="21" t="s">
        <v>2289</v>
      </c>
      <c r="G3121" s="19"/>
      <c r="H3121" s="19"/>
      <c r="I3121" s="19"/>
    </row>
    <row r="3122" ht="56.25" customHeight="1">
      <c r="A3122" s="21" t="s">
        <v>6416</v>
      </c>
      <c r="B3122" s="19" t="str">
        <f>image("https://storage.googleapis.com/acdb/photos/BromideNpcNmlOcp02_Remake_0_0.png")</f>
        <v/>
      </c>
      <c r="C3122" s="21" t="s">
        <v>219</v>
      </c>
      <c r="D3122" s="21" t="s">
        <v>51</v>
      </c>
      <c r="E3122" s="21">
        <v>10.0</v>
      </c>
      <c r="F3122" s="21" t="s">
        <v>2289</v>
      </c>
      <c r="G3122" s="19"/>
      <c r="H3122" s="19"/>
      <c r="I3122" s="19"/>
    </row>
    <row r="3123" ht="56.25" customHeight="1">
      <c r="A3123" s="21" t="s">
        <v>6416</v>
      </c>
      <c r="B3123" s="19" t="str">
        <f>image("https://storage.googleapis.com/acdb/photos/BromideNpcNmlOcp02_Remake_1_0.png")</f>
        <v/>
      </c>
      <c r="C3123" s="21" t="s">
        <v>795</v>
      </c>
      <c r="D3123" s="21" t="s">
        <v>51</v>
      </c>
      <c r="E3123" s="21">
        <v>10.0</v>
      </c>
      <c r="F3123" s="21" t="s">
        <v>2289</v>
      </c>
      <c r="G3123" s="19"/>
      <c r="H3123" s="19"/>
      <c r="I3123" s="19"/>
    </row>
    <row r="3124" ht="56.25" customHeight="1">
      <c r="A3124" s="21" t="s">
        <v>6416</v>
      </c>
      <c r="B3124" s="19" t="str">
        <f>image("https://storage.googleapis.com/acdb/photos/BromideNpcNmlOcp02_Remake_2_0.png")</f>
        <v/>
      </c>
      <c r="C3124" s="21" t="s">
        <v>954</v>
      </c>
      <c r="D3124" s="21" t="s">
        <v>51</v>
      </c>
      <c r="E3124" s="21">
        <v>10.0</v>
      </c>
      <c r="F3124" s="21" t="s">
        <v>2289</v>
      </c>
      <c r="G3124" s="19"/>
      <c r="H3124" s="19"/>
      <c r="I3124" s="19"/>
    </row>
    <row r="3125" ht="56.25" customHeight="1">
      <c r="A3125" s="21" t="s">
        <v>6416</v>
      </c>
      <c r="B3125" s="19" t="str">
        <f>image("https://storage.googleapis.com/acdb/photos/BromideNpcNmlOcp02_Remake_3_0.png")</f>
        <v/>
      </c>
      <c r="C3125" s="21" t="s">
        <v>82</v>
      </c>
      <c r="D3125" s="21" t="s">
        <v>51</v>
      </c>
      <c r="E3125" s="21">
        <v>10.0</v>
      </c>
      <c r="F3125" s="21" t="s">
        <v>2289</v>
      </c>
      <c r="G3125" s="19"/>
      <c r="H3125" s="19"/>
      <c r="I3125" s="19"/>
    </row>
    <row r="3126" ht="56.25" customHeight="1">
      <c r="A3126" s="21" t="s">
        <v>6416</v>
      </c>
      <c r="B3126" s="19" t="str">
        <f>image("https://storage.googleapis.com/acdb/photos/BromideNpcNmlOcp02_Remake_4_0.png")</f>
        <v/>
      </c>
      <c r="C3126" s="21" t="s">
        <v>833</v>
      </c>
      <c r="D3126" s="21" t="s">
        <v>51</v>
      </c>
      <c r="E3126" s="21">
        <v>10.0</v>
      </c>
      <c r="F3126" s="21" t="s">
        <v>2289</v>
      </c>
      <c r="G3126" s="19"/>
      <c r="H3126" s="19"/>
      <c r="I3126" s="19"/>
    </row>
    <row r="3127" ht="56.25" customHeight="1">
      <c r="A3127" s="21" t="s">
        <v>6416</v>
      </c>
      <c r="B3127" s="19" t="str">
        <f>image("https://storage.googleapis.com/acdb/photos/BromideNpcNmlOcp02_Remake_5_0.png")</f>
        <v/>
      </c>
      <c r="C3127" s="21" t="s">
        <v>258</v>
      </c>
      <c r="D3127" s="21" t="s">
        <v>51</v>
      </c>
      <c r="E3127" s="21">
        <v>10.0</v>
      </c>
      <c r="F3127" s="21" t="s">
        <v>2289</v>
      </c>
      <c r="G3127" s="19"/>
      <c r="H3127" s="19"/>
      <c r="I3127" s="19"/>
    </row>
    <row r="3128" ht="56.25" customHeight="1">
      <c r="A3128" s="21" t="s">
        <v>6416</v>
      </c>
      <c r="B3128" s="19" t="str">
        <f>image("https://storage.googleapis.com/acdb/photos/BromideNpcNmlOcp02_Remake_6_0.png")</f>
        <v/>
      </c>
      <c r="C3128" s="21" t="s">
        <v>182</v>
      </c>
      <c r="D3128" s="21" t="s">
        <v>51</v>
      </c>
      <c r="E3128" s="21">
        <v>10.0</v>
      </c>
      <c r="F3128" s="21" t="s">
        <v>2289</v>
      </c>
      <c r="G3128" s="19"/>
      <c r="H3128" s="19"/>
      <c r="I3128" s="19"/>
    </row>
    <row r="3129" ht="56.25" customHeight="1">
      <c r="A3129" s="21" t="s">
        <v>6416</v>
      </c>
      <c r="B3129" s="19" t="str">
        <f>image("https://storage.googleapis.com/acdb/photos/BromideNpcNmlOcp02_Remake_7_0.png")</f>
        <v/>
      </c>
      <c r="C3129" s="21" t="s">
        <v>187</v>
      </c>
      <c r="D3129" s="21" t="s">
        <v>51</v>
      </c>
      <c r="E3129" s="21">
        <v>10.0</v>
      </c>
      <c r="F3129" s="21" t="s">
        <v>2289</v>
      </c>
      <c r="G3129" s="19"/>
      <c r="H3129" s="19"/>
      <c r="I3129" s="19"/>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43"/>
    <col customWidth="1" min="2" max="2" width="10.86"/>
    <col customWidth="1" min="3" max="4" width="5.29"/>
    <col customWidth="1" min="5" max="5" width="14.71"/>
    <col customWidth="1" min="6" max="6" width="10.57"/>
    <col customWidth="1" min="7" max="8" width="9.43"/>
  </cols>
  <sheetData>
    <row r="1" ht="30.0" customHeight="1">
      <c r="A1" s="1" t="s">
        <v>0</v>
      </c>
      <c r="B1" s="3" t="s">
        <v>1</v>
      </c>
      <c r="C1" s="5" t="s">
        <v>6</v>
      </c>
      <c r="D1" s="5" t="s">
        <v>7</v>
      </c>
      <c r="E1" s="1" t="s">
        <v>2286</v>
      </c>
      <c r="F1" s="7" t="s">
        <v>8</v>
      </c>
      <c r="G1" s="7" t="s">
        <v>1602</v>
      </c>
      <c r="H1" s="7" t="s">
        <v>1603</v>
      </c>
    </row>
    <row r="2" ht="56.25" customHeight="1">
      <c r="A2" s="23" t="s">
        <v>2358</v>
      </c>
      <c r="B2" s="15" t="str">
        <f>image("https://imgur.com/IRmnIxL.png")</f>
        <v/>
      </c>
      <c r="C2" s="15">
        <v>1000.0</v>
      </c>
      <c r="D2" s="15">
        <v>250.0</v>
      </c>
      <c r="E2" s="13" t="s">
        <v>2360</v>
      </c>
      <c r="F2" s="15">
        <v>10814.0</v>
      </c>
      <c r="G2" s="15" t="s">
        <v>369</v>
      </c>
      <c r="H2" s="15" t="s">
        <v>112</v>
      </c>
    </row>
    <row r="3" ht="56.25" customHeight="1">
      <c r="A3" s="23" t="s">
        <v>2361</v>
      </c>
      <c r="B3" s="15" t="str">
        <f>image("https://imgur.com/7xlIRrB.png")</f>
        <v/>
      </c>
      <c r="C3" s="15">
        <v>1000.0</v>
      </c>
      <c r="D3" s="15">
        <v>250.0</v>
      </c>
      <c r="E3" s="13" t="s">
        <v>2360</v>
      </c>
      <c r="F3" s="15">
        <v>10425.0</v>
      </c>
      <c r="G3" s="15" t="s">
        <v>112</v>
      </c>
      <c r="H3" s="15" t="s">
        <v>94</v>
      </c>
    </row>
    <row r="4" ht="56.25" customHeight="1">
      <c r="A4" s="23" t="s">
        <v>2362</v>
      </c>
      <c r="B4" s="15" t="str">
        <f>image("https://imgur.com/pVopmki.png")</f>
        <v/>
      </c>
      <c r="C4" s="15">
        <v>1000.0</v>
      </c>
      <c r="D4" s="15">
        <v>250.0</v>
      </c>
      <c r="E4" s="13" t="s">
        <v>2360</v>
      </c>
      <c r="F4" s="15">
        <v>10401.0</v>
      </c>
      <c r="G4" s="15" t="s">
        <v>107</v>
      </c>
      <c r="H4" s="15" t="s">
        <v>99</v>
      </c>
    </row>
    <row r="5" ht="56.25" customHeight="1">
      <c r="A5" s="23" t="s">
        <v>2364</v>
      </c>
      <c r="B5" s="15" t="str">
        <f>image("https://imgur.com/Fu59vEl.png")</f>
        <v/>
      </c>
      <c r="C5" s="15">
        <v>1000.0</v>
      </c>
      <c r="D5" s="15">
        <v>250.0</v>
      </c>
      <c r="E5" s="13" t="s">
        <v>2360</v>
      </c>
      <c r="F5" s="15">
        <v>10590.0</v>
      </c>
      <c r="G5" s="15" t="s">
        <v>208</v>
      </c>
      <c r="H5" s="15" t="s">
        <v>1614</v>
      </c>
    </row>
    <row r="6" ht="56.25" customHeight="1">
      <c r="A6" s="23" t="s">
        <v>2365</v>
      </c>
      <c r="B6" s="15" t="str">
        <f>image("https://imgur.com/ITzuJQW.png")</f>
        <v/>
      </c>
      <c r="C6" s="15">
        <v>1000.0</v>
      </c>
      <c r="D6" s="15">
        <v>250.0</v>
      </c>
      <c r="E6" s="13" t="s">
        <v>2360</v>
      </c>
      <c r="F6" s="15">
        <v>10382.0</v>
      </c>
      <c r="G6" s="15" t="s">
        <v>521</v>
      </c>
      <c r="H6" s="15" t="s">
        <v>208</v>
      </c>
    </row>
    <row r="7" ht="56.25" customHeight="1">
      <c r="A7" s="23" t="s">
        <v>2367</v>
      </c>
      <c r="B7" s="15" t="str">
        <f>image("https://imgur.com/fxLg4JN.png")</f>
        <v/>
      </c>
      <c r="C7" s="15">
        <v>1000.0</v>
      </c>
      <c r="D7" s="15">
        <v>250.0</v>
      </c>
      <c r="E7" s="13" t="s">
        <v>2360</v>
      </c>
      <c r="F7" s="15">
        <v>10411.0</v>
      </c>
      <c r="G7" s="15" t="s">
        <v>1608</v>
      </c>
      <c r="H7" s="15" t="s">
        <v>82</v>
      </c>
    </row>
    <row r="8" ht="56.25" customHeight="1">
      <c r="A8" s="23" t="s">
        <v>2369</v>
      </c>
      <c r="B8" s="15" t="str">
        <f>image("https://imgur.com/e4v3cPS.png")</f>
        <v/>
      </c>
      <c r="C8" s="15">
        <v>1000.0</v>
      </c>
      <c r="D8" s="15">
        <v>250.0</v>
      </c>
      <c r="E8" s="13" t="s">
        <v>2360</v>
      </c>
      <c r="F8" s="15">
        <v>10655.0</v>
      </c>
      <c r="G8" s="15" t="s">
        <v>1614</v>
      </c>
      <c r="H8" s="15" t="s">
        <v>208</v>
      </c>
    </row>
    <row r="9" ht="56.25" customHeight="1">
      <c r="A9" s="23" t="s">
        <v>2371</v>
      </c>
      <c r="B9" s="15" t="str">
        <f>image("https://imgur.com/ZC1skCR.png")</f>
        <v/>
      </c>
      <c r="C9" s="15">
        <v>1000.0</v>
      </c>
      <c r="D9" s="15">
        <v>250.0</v>
      </c>
      <c r="E9" s="13" t="s">
        <v>2360</v>
      </c>
      <c r="F9" s="15">
        <v>10687.0</v>
      </c>
      <c r="G9" s="15" t="s">
        <v>208</v>
      </c>
      <c r="H9" s="15" t="s">
        <v>82</v>
      </c>
    </row>
    <row r="10" ht="56.25" customHeight="1">
      <c r="A10" s="23" t="s">
        <v>2372</v>
      </c>
      <c r="B10" s="15" t="str">
        <f>image("https://imgur.com/CDMlLiI.png")</f>
        <v/>
      </c>
      <c r="C10" s="15">
        <v>1000.0</v>
      </c>
      <c r="D10" s="15">
        <v>250.0</v>
      </c>
      <c r="E10" s="13" t="s">
        <v>2360</v>
      </c>
      <c r="F10" s="15">
        <v>10800.0</v>
      </c>
      <c r="G10" s="15" t="s">
        <v>211</v>
      </c>
      <c r="H10" s="15" t="s">
        <v>112</v>
      </c>
    </row>
    <row r="11" ht="56.25" customHeight="1">
      <c r="A11" s="23" t="s">
        <v>2374</v>
      </c>
      <c r="B11" s="15" t="str">
        <f>image("https://imgur.com/SQDQ2wq.png")</f>
        <v/>
      </c>
      <c r="C11" s="15">
        <v>1000.0</v>
      </c>
      <c r="D11" s="15">
        <v>250.0</v>
      </c>
      <c r="E11" s="13" t="s">
        <v>2360</v>
      </c>
      <c r="F11" s="15">
        <v>10782.0</v>
      </c>
      <c r="G11" s="15" t="s">
        <v>118</v>
      </c>
      <c r="H11" s="15" t="s">
        <v>1614</v>
      </c>
    </row>
    <row r="12" ht="56.25" customHeight="1">
      <c r="A12" s="23" t="s">
        <v>2376</v>
      </c>
      <c r="B12" s="15" t="str">
        <f>image("https://imgur.com/NNCpOEc.png")</f>
        <v/>
      </c>
      <c r="C12" s="15">
        <v>1000.0</v>
      </c>
      <c r="D12" s="15">
        <v>250.0</v>
      </c>
      <c r="E12" s="13" t="s">
        <v>2360</v>
      </c>
      <c r="F12" s="15">
        <v>10807.0</v>
      </c>
      <c r="G12" s="15" t="s">
        <v>208</v>
      </c>
      <c r="H12" s="15" t="s">
        <v>521</v>
      </c>
    </row>
    <row r="13" ht="56.25" customHeight="1">
      <c r="A13" s="23" t="s">
        <v>2378</v>
      </c>
      <c r="B13" s="15" t="str">
        <f>image("https://imgur.com/4HWqoJ2.png")</f>
        <v/>
      </c>
      <c r="C13" s="15">
        <v>1000.0</v>
      </c>
      <c r="D13" s="15">
        <v>250.0</v>
      </c>
      <c r="E13" s="13" t="s">
        <v>2360</v>
      </c>
      <c r="F13" s="15">
        <v>10413.0</v>
      </c>
      <c r="G13" s="15" t="s">
        <v>369</v>
      </c>
      <c r="H13" s="15" t="s">
        <v>118</v>
      </c>
    </row>
    <row r="14" ht="56.25" customHeight="1">
      <c r="A14" s="23" t="s">
        <v>2380</v>
      </c>
      <c r="B14" s="15" t="str">
        <f>image("https://imgur.com/TvdiD0c.png")</f>
        <v/>
      </c>
      <c r="C14" s="15">
        <v>1000.0</v>
      </c>
      <c r="D14" s="15">
        <v>250.0</v>
      </c>
      <c r="E14" s="13" t="s">
        <v>2360</v>
      </c>
      <c r="F14" s="15">
        <v>10416.0</v>
      </c>
      <c r="G14" s="15" t="s">
        <v>211</v>
      </c>
      <c r="H14" s="15" t="s">
        <v>118</v>
      </c>
    </row>
    <row r="15" ht="56.25" customHeight="1">
      <c r="A15" s="23" t="s">
        <v>2383</v>
      </c>
      <c r="B15" s="15" t="str">
        <f>image("https://imgur.com/yNUfBkB.png")</f>
        <v/>
      </c>
      <c r="C15" s="15">
        <v>1000.0</v>
      </c>
      <c r="D15" s="15">
        <v>250.0</v>
      </c>
      <c r="E15" s="13" t="s">
        <v>2360</v>
      </c>
      <c r="F15" s="15">
        <v>10824.0</v>
      </c>
      <c r="G15" s="15" t="s">
        <v>1608</v>
      </c>
      <c r="H15" s="15" t="s">
        <v>107</v>
      </c>
    </row>
    <row r="16" ht="56.25" customHeight="1">
      <c r="A16" s="23" t="s">
        <v>2385</v>
      </c>
      <c r="B16" s="15" t="str">
        <f>image("https://imgur.com/P7pheU7.png")</f>
        <v/>
      </c>
      <c r="C16" s="15">
        <v>1000.0</v>
      </c>
      <c r="D16" s="15">
        <v>250.0</v>
      </c>
      <c r="E16" s="13" t="s">
        <v>2360</v>
      </c>
      <c r="F16" s="15">
        <v>10573.0</v>
      </c>
      <c r="G16" s="15" t="s">
        <v>118</v>
      </c>
      <c r="H16" s="15" t="s">
        <v>464</v>
      </c>
    </row>
    <row r="17" ht="56.25" customHeight="1">
      <c r="A17" s="23" t="s">
        <v>2387</v>
      </c>
      <c r="B17" s="15" t="str">
        <f>image("https://imgur.com/fxwewOg.png")</f>
        <v/>
      </c>
      <c r="C17" s="15">
        <v>1000.0</v>
      </c>
      <c r="D17" s="15">
        <v>250.0</v>
      </c>
      <c r="E17" s="13" t="s">
        <v>2360</v>
      </c>
      <c r="F17" s="15">
        <v>10795.0</v>
      </c>
      <c r="G17" s="15" t="s">
        <v>112</v>
      </c>
      <c r="H17" s="15" t="s">
        <v>211</v>
      </c>
    </row>
    <row r="18" ht="56.25" customHeight="1">
      <c r="A18" s="23" t="s">
        <v>2388</v>
      </c>
      <c r="B18" s="15" t="str">
        <f>image("https://imgur.com/OCxMXRH.png")</f>
        <v/>
      </c>
      <c r="C18" s="15">
        <v>1000.0</v>
      </c>
      <c r="D18" s="15">
        <v>250.0</v>
      </c>
      <c r="E18" s="13" t="s">
        <v>2360</v>
      </c>
      <c r="F18" s="15">
        <v>10512.0</v>
      </c>
      <c r="G18" s="15" t="s">
        <v>99</v>
      </c>
      <c r="H18" s="15" t="s">
        <v>82</v>
      </c>
    </row>
    <row r="19" ht="56.25" customHeight="1">
      <c r="A19" s="23" t="s">
        <v>2390</v>
      </c>
      <c r="B19" s="15" t="str">
        <f>image("https://imgur.com/1Lmx4BA.png")</f>
        <v/>
      </c>
      <c r="C19" s="15">
        <v>1000.0</v>
      </c>
      <c r="D19" s="15">
        <v>250.0</v>
      </c>
      <c r="E19" s="13" t="s">
        <v>2360</v>
      </c>
      <c r="F19" s="15">
        <v>10565.0</v>
      </c>
      <c r="G19" s="15" t="s">
        <v>208</v>
      </c>
      <c r="H19" s="15" t="s">
        <v>211</v>
      </c>
    </row>
    <row r="20" ht="56.25" customHeight="1">
      <c r="A20" s="23" t="s">
        <v>2391</v>
      </c>
      <c r="B20" s="15" t="str">
        <f>image("https://imgur.com/Kv44mMb.png")</f>
        <v/>
      </c>
      <c r="C20" s="15">
        <v>1000.0</v>
      </c>
      <c r="D20" s="15">
        <v>250.0</v>
      </c>
      <c r="E20" s="13" t="s">
        <v>2360</v>
      </c>
      <c r="F20" s="15">
        <v>10493.0</v>
      </c>
      <c r="G20" s="15" t="s">
        <v>82</v>
      </c>
      <c r="H20" s="15" t="s">
        <v>99</v>
      </c>
    </row>
    <row r="21" ht="56.25" customHeight="1">
      <c r="A21" s="23" t="s">
        <v>2394</v>
      </c>
      <c r="B21" s="15" t="str">
        <f>image("https://imgur.com/Y32ApQl.png")</f>
        <v/>
      </c>
      <c r="C21" s="15">
        <v>1000.0</v>
      </c>
      <c r="D21" s="15">
        <v>250.0</v>
      </c>
      <c r="E21" s="13" t="s">
        <v>2360</v>
      </c>
      <c r="F21" s="15">
        <v>10859.0</v>
      </c>
      <c r="G21" s="15" t="s">
        <v>208</v>
      </c>
      <c r="H21" s="15" t="s">
        <v>211</v>
      </c>
    </row>
    <row r="22" ht="56.25" customHeight="1">
      <c r="A22" s="23" t="s">
        <v>2395</v>
      </c>
      <c r="B22" s="15" t="str">
        <f>image("https://imgur.com/nuIpRPJ.png")</f>
        <v/>
      </c>
      <c r="C22" s="15">
        <v>1000.0</v>
      </c>
      <c r="D22" s="15">
        <v>250.0</v>
      </c>
      <c r="E22" s="13" t="s">
        <v>2360</v>
      </c>
      <c r="F22" s="15">
        <v>10563.0</v>
      </c>
      <c r="G22" s="15" t="s">
        <v>99</v>
      </c>
      <c r="H22" s="15" t="s">
        <v>208</v>
      </c>
    </row>
    <row r="23" ht="56.25" customHeight="1">
      <c r="A23" s="23" t="s">
        <v>2397</v>
      </c>
      <c r="B23" s="15" t="str">
        <f>image("https://imgur.com/EywRKRL.png")</f>
        <v/>
      </c>
      <c r="C23" s="15">
        <v>1000.0</v>
      </c>
      <c r="D23" s="15">
        <v>250.0</v>
      </c>
      <c r="E23" s="13" t="s">
        <v>2360</v>
      </c>
      <c r="F23" s="15">
        <v>10467.0</v>
      </c>
      <c r="G23" s="15" t="s">
        <v>1608</v>
      </c>
      <c r="H23" s="15" t="s">
        <v>107</v>
      </c>
    </row>
    <row r="24" ht="56.25" customHeight="1">
      <c r="A24" s="23" t="s">
        <v>2398</v>
      </c>
      <c r="B24" s="15" t="str">
        <f>image("https://imgur.com/tIdEGKr.png")</f>
        <v/>
      </c>
      <c r="C24" s="15">
        <v>1000.0</v>
      </c>
      <c r="D24" s="15">
        <v>250.0</v>
      </c>
      <c r="E24" s="13" t="s">
        <v>2360</v>
      </c>
      <c r="F24" s="15">
        <v>10370.0</v>
      </c>
      <c r="G24" s="15" t="s">
        <v>94</v>
      </c>
      <c r="H24" s="15" t="s">
        <v>99</v>
      </c>
    </row>
    <row r="25" ht="56.25" customHeight="1">
      <c r="A25" s="23" t="s">
        <v>2400</v>
      </c>
      <c r="B25" s="15" t="str">
        <f>image("https://imgur.com/gIbPJ27.png")</f>
        <v/>
      </c>
      <c r="C25" s="15">
        <v>1000.0</v>
      </c>
      <c r="D25" s="15">
        <v>250.0</v>
      </c>
      <c r="E25" s="13" t="s">
        <v>2360</v>
      </c>
      <c r="F25" s="15">
        <v>10319.0</v>
      </c>
      <c r="G25" s="15" t="s">
        <v>112</v>
      </c>
      <c r="H25" s="15" t="s">
        <v>208</v>
      </c>
    </row>
    <row r="26" ht="56.25" customHeight="1">
      <c r="A26" s="23" t="s">
        <v>2401</v>
      </c>
      <c r="B26" s="15" t="str">
        <f>image("https://imgur.com/gnceKTZ.png")</f>
        <v/>
      </c>
      <c r="C26" s="15">
        <v>1000.0</v>
      </c>
      <c r="D26" s="15">
        <v>250.0</v>
      </c>
      <c r="E26" s="13" t="s">
        <v>2360</v>
      </c>
      <c r="F26" s="15">
        <v>10508.0</v>
      </c>
      <c r="G26" s="15" t="s">
        <v>118</v>
      </c>
      <c r="H26" s="15" t="s">
        <v>1614</v>
      </c>
    </row>
    <row r="27" ht="56.25" customHeight="1">
      <c r="A27" s="23" t="s">
        <v>2403</v>
      </c>
      <c r="B27" s="15" t="str">
        <f>image("https://imgur.com/Ot0b46x.png")</f>
        <v/>
      </c>
      <c r="C27" s="15">
        <v>1000.0</v>
      </c>
      <c r="D27" s="15">
        <v>250.0</v>
      </c>
      <c r="E27" s="13" t="s">
        <v>2360</v>
      </c>
      <c r="F27" s="15">
        <v>10456.0</v>
      </c>
      <c r="G27" s="15" t="s">
        <v>112</v>
      </c>
      <c r="H27" s="15" t="s">
        <v>369</v>
      </c>
    </row>
    <row r="28" ht="56.25" customHeight="1">
      <c r="A28" s="23" t="s">
        <v>2405</v>
      </c>
      <c r="B28" s="15" t="str">
        <f>image("https://imgur.com/3LJRYIm.png")</f>
        <v/>
      </c>
      <c r="C28" s="15">
        <v>1000.0</v>
      </c>
      <c r="D28" s="15">
        <v>250.0</v>
      </c>
      <c r="E28" s="13" t="s">
        <v>2360</v>
      </c>
      <c r="F28" s="15">
        <v>10672.0</v>
      </c>
      <c r="G28" s="15" t="s">
        <v>118</v>
      </c>
      <c r="H28" s="15" t="s">
        <v>369</v>
      </c>
    </row>
    <row r="29" ht="56.25" customHeight="1">
      <c r="A29" s="23" t="s">
        <v>2406</v>
      </c>
      <c r="B29" s="15" t="str">
        <f>image("https://imgur.com/36JDqmk.png")</f>
        <v/>
      </c>
      <c r="C29" s="15">
        <v>1000.0</v>
      </c>
      <c r="D29" s="15">
        <v>250.0</v>
      </c>
      <c r="E29" s="13" t="s">
        <v>2360</v>
      </c>
      <c r="F29" s="15">
        <v>10583.0</v>
      </c>
      <c r="G29" s="15" t="s">
        <v>94</v>
      </c>
      <c r="H29" s="15" t="s">
        <v>99</v>
      </c>
    </row>
    <row r="30" ht="56.25" customHeight="1">
      <c r="A30" s="23" t="s">
        <v>2409</v>
      </c>
      <c r="B30" s="15" t="str">
        <f>image("https://imgur.com/atJ6dcd.png")</f>
        <v/>
      </c>
      <c r="C30" s="15">
        <v>1000.0</v>
      </c>
      <c r="D30" s="15">
        <v>250.0</v>
      </c>
      <c r="E30" s="13" t="s">
        <v>2360</v>
      </c>
      <c r="F30" s="15">
        <v>10632.0</v>
      </c>
      <c r="G30" s="15" t="s">
        <v>1614</v>
      </c>
      <c r="H30" s="15" t="s">
        <v>118</v>
      </c>
    </row>
    <row r="31" ht="56.25" customHeight="1">
      <c r="A31" s="23" t="s">
        <v>2410</v>
      </c>
      <c r="B31" s="15" t="str">
        <f>image("https://imgur.com/5do81EN.png")</f>
        <v/>
      </c>
      <c r="C31" s="15">
        <v>1000.0</v>
      </c>
      <c r="D31" s="15">
        <v>250.0</v>
      </c>
      <c r="E31" s="13" t="s">
        <v>2360</v>
      </c>
      <c r="F31" s="15">
        <v>10788.0</v>
      </c>
      <c r="G31" s="15" t="s">
        <v>1614</v>
      </c>
      <c r="H31" s="15" t="s">
        <v>118</v>
      </c>
    </row>
    <row r="32" ht="56.25" customHeight="1">
      <c r="A32" s="23" t="s">
        <v>2411</v>
      </c>
      <c r="B32" s="15" t="str">
        <f>image("https://imgur.com/JyJC7J5.png")</f>
        <v/>
      </c>
      <c r="C32" s="15">
        <v>1000.0</v>
      </c>
      <c r="D32" s="15">
        <v>250.0</v>
      </c>
      <c r="E32" s="13" t="s">
        <v>2360</v>
      </c>
      <c r="F32" s="15">
        <v>10396.0</v>
      </c>
      <c r="G32" s="15" t="s">
        <v>1614</v>
      </c>
      <c r="H32" s="15" t="s">
        <v>118</v>
      </c>
    </row>
    <row r="33" ht="56.25" customHeight="1">
      <c r="A33" s="23" t="s">
        <v>2412</v>
      </c>
      <c r="B33" s="15" t="str">
        <f>image("https://imgur.com/dBbX0qn.png")</f>
        <v/>
      </c>
      <c r="C33" s="15">
        <v>1000.0</v>
      </c>
      <c r="D33" s="15">
        <v>250.0</v>
      </c>
      <c r="E33" s="13" t="s">
        <v>2360</v>
      </c>
      <c r="F33" s="15">
        <v>10580.0</v>
      </c>
      <c r="G33" s="15" t="s">
        <v>464</v>
      </c>
      <c r="H33" s="15" t="s">
        <v>208</v>
      </c>
    </row>
    <row r="34" ht="56.25" customHeight="1">
      <c r="A34" s="23" t="s">
        <v>2413</v>
      </c>
      <c r="B34" s="15" t="str">
        <f>image("https://imgur.com/dKEylw7.png")</f>
        <v/>
      </c>
      <c r="C34" s="15">
        <v>1000.0</v>
      </c>
      <c r="D34" s="15">
        <v>250.0</v>
      </c>
      <c r="E34" s="13" t="s">
        <v>2360</v>
      </c>
      <c r="F34" s="15">
        <v>10681.0</v>
      </c>
      <c r="G34" s="15" t="s">
        <v>464</v>
      </c>
      <c r="H34" s="15" t="s">
        <v>82</v>
      </c>
    </row>
    <row r="35" ht="56.25" customHeight="1">
      <c r="A35" s="23" t="s">
        <v>2414</v>
      </c>
      <c r="B35" s="15" t="str">
        <f>image("https://imgur.com/jH1kiP0.png")</f>
        <v/>
      </c>
      <c r="C35" s="15">
        <v>1000.0</v>
      </c>
      <c r="D35" s="15">
        <v>250.0</v>
      </c>
      <c r="E35" s="13" t="s">
        <v>2360</v>
      </c>
      <c r="F35" s="15">
        <v>10400.0</v>
      </c>
      <c r="G35" s="15" t="s">
        <v>208</v>
      </c>
      <c r="H35" s="15" t="s">
        <v>369</v>
      </c>
    </row>
    <row r="36" ht="56.25" customHeight="1">
      <c r="A36" s="23" t="s">
        <v>2415</v>
      </c>
      <c r="B36" s="15" t="str">
        <f>image("https://imgur.com/cM7yfIL.png")</f>
        <v/>
      </c>
      <c r="C36" s="15">
        <v>1000.0</v>
      </c>
      <c r="D36" s="15">
        <v>250.0</v>
      </c>
      <c r="E36" s="13" t="s">
        <v>2360</v>
      </c>
      <c r="F36" s="15">
        <v>10695.0</v>
      </c>
      <c r="G36" s="15" t="s">
        <v>211</v>
      </c>
      <c r="H36" s="15" t="s">
        <v>369</v>
      </c>
    </row>
    <row r="37" ht="56.25" customHeight="1">
      <c r="A37" s="23" t="s">
        <v>2416</v>
      </c>
      <c r="B37" s="15" t="str">
        <f>image("https://imgur.com/Tc3B60n.png")</f>
        <v/>
      </c>
      <c r="C37" s="15">
        <v>1000.0</v>
      </c>
      <c r="D37" s="15">
        <v>250.0</v>
      </c>
      <c r="E37" s="13" t="s">
        <v>2360</v>
      </c>
      <c r="F37" s="15">
        <v>10322.0</v>
      </c>
      <c r="G37" s="15" t="s">
        <v>107</v>
      </c>
      <c r="H37" s="15" t="s">
        <v>369</v>
      </c>
    </row>
    <row r="38" ht="56.25" customHeight="1">
      <c r="A38" s="23" t="s">
        <v>2418</v>
      </c>
      <c r="B38" s="15" t="str">
        <f>image("https://imgur.com/iOQwJ25.png")</f>
        <v/>
      </c>
      <c r="C38" s="15">
        <v>1000.0</v>
      </c>
      <c r="D38" s="15">
        <v>250.0</v>
      </c>
      <c r="E38" s="13" t="s">
        <v>2360</v>
      </c>
      <c r="F38" s="15">
        <v>10403.0</v>
      </c>
      <c r="G38" s="15" t="s">
        <v>521</v>
      </c>
      <c r="H38" s="15" t="s">
        <v>112</v>
      </c>
    </row>
    <row r="39" ht="56.25" customHeight="1">
      <c r="A39" s="23" t="s">
        <v>2419</v>
      </c>
      <c r="B39" s="15" t="str">
        <f>image("https://imgur.com/Qjqg6Fs.png")</f>
        <v/>
      </c>
      <c r="C39" s="15">
        <v>1000.0</v>
      </c>
      <c r="D39" s="15">
        <v>250.0</v>
      </c>
      <c r="E39" s="13" t="s">
        <v>2360</v>
      </c>
      <c r="F39" s="15">
        <v>10393.0</v>
      </c>
      <c r="G39" s="15" t="s">
        <v>1614</v>
      </c>
      <c r="H39" s="15" t="s">
        <v>112</v>
      </c>
    </row>
    <row r="40" ht="56.25" customHeight="1">
      <c r="A40" s="23" t="s">
        <v>2422</v>
      </c>
      <c r="B40" s="15" t="str">
        <f>image("https://imgur.com/iHHElke.png")</f>
        <v/>
      </c>
      <c r="C40" s="15">
        <v>1000.0</v>
      </c>
      <c r="D40" s="15">
        <v>250.0</v>
      </c>
      <c r="E40" s="13" t="s">
        <v>2360</v>
      </c>
      <c r="F40" s="15">
        <v>10682.0</v>
      </c>
      <c r="G40" s="15" t="s">
        <v>208</v>
      </c>
      <c r="H40" s="15" t="s">
        <v>99</v>
      </c>
    </row>
    <row r="41" ht="56.25" customHeight="1">
      <c r="A41" s="23" t="s">
        <v>2423</v>
      </c>
      <c r="B41" s="15" t="str">
        <f>image("https://imgur.com/HUogQmd.png")</f>
        <v/>
      </c>
      <c r="C41" s="15">
        <v>1000.0</v>
      </c>
      <c r="D41" s="15">
        <v>250.0</v>
      </c>
      <c r="E41" s="13" t="s">
        <v>2360</v>
      </c>
      <c r="F41" s="15">
        <v>10426.0</v>
      </c>
      <c r="G41" s="15" t="s">
        <v>369</v>
      </c>
      <c r="H41" s="15" t="s">
        <v>211</v>
      </c>
    </row>
    <row r="42" ht="56.25" customHeight="1">
      <c r="A42" s="23" t="s">
        <v>2425</v>
      </c>
      <c r="B42" s="15" t="str">
        <f>image("https://imgur.com/0A2MJqJ.png")</f>
        <v/>
      </c>
      <c r="C42" s="15">
        <v>1000.0</v>
      </c>
      <c r="D42" s="15">
        <v>250.0</v>
      </c>
      <c r="E42" s="13" t="s">
        <v>2360</v>
      </c>
      <c r="F42" s="15">
        <v>10653.0</v>
      </c>
      <c r="G42" s="15" t="s">
        <v>118</v>
      </c>
      <c r="H42" s="15" t="s">
        <v>211</v>
      </c>
    </row>
    <row r="43" ht="56.25" customHeight="1">
      <c r="A43" s="23" t="s">
        <v>2427</v>
      </c>
      <c r="B43" s="15" t="str">
        <f>image("https://imgur.com/wFDntKq.png")</f>
        <v/>
      </c>
      <c r="C43" s="15">
        <v>1000.0</v>
      </c>
      <c r="D43" s="15">
        <v>250.0</v>
      </c>
      <c r="E43" s="13" t="s">
        <v>2360</v>
      </c>
      <c r="F43" s="15">
        <v>10620.0</v>
      </c>
      <c r="G43" s="15" t="s">
        <v>118</v>
      </c>
      <c r="H43" s="15" t="s">
        <v>369</v>
      </c>
    </row>
    <row r="44" ht="56.25" customHeight="1">
      <c r="A44" s="23" t="s">
        <v>2428</v>
      </c>
      <c r="B44" s="15" t="str">
        <f>image("https://imgur.com/kKsv9zC.png")</f>
        <v/>
      </c>
      <c r="C44" s="15">
        <v>1000.0</v>
      </c>
      <c r="D44" s="15">
        <v>250.0</v>
      </c>
      <c r="E44" s="13" t="s">
        <v>2360</v>
      </c>
      <c r="F44" s="15">
        <v>10496.0</v>
      </c>
      <c r="G44" s="15" t="s">
        <v>521</v>
      </c>
      <c r="H44" s="15" t="s">
        <v>464</v>
      </c>
    </row>
    <row r="45" ht="56.25" customHeight="1">
      <c r="A45" s="23" t="s">
        <v>2430</v>
      </c>
      <c r="B45" s="15" t="str">
        <f>image("https://imgur.com/rt0UpJr.png")</f>
        <v/>
      </c>
      <c r="C45" s="15">
        <v>1000.0</v>
      </c>
      <c r="D45" s="15">
        <v>250.0</v>
      </c>
      <c r="E45" s="13" t="s">
        <v>2360</v>
      </c>
      <c r="F45" s="15">
        <v>10622.0</v>
      </c>
      <c r="G45" s="15" t="s">
        <v>107</v>
      </c>
      <c r="H45" s="15" t="s">
        <v>208</v>
      </c>
    </row>
    <row r="46" ht="56.25" customHeight="1">
      <c r="A46" s="23" t="s">
        <v>2432</v>
      </c>
      <c r="B46" s="15" t="str">
        <f>image("https://imgur.com/b05bQL9.png")</f>
        <v/>
      </c>
      <c r="C46" s="15">
        <v>1000.0</v>
      </c>
      <c r="D46" s="15">
        <v>250.0</v>
      </c>
      <c r="E46" s="13" t="s">
        <v>2360</v>
      </c>
      <c r="F46" s="15">
        <v>10369.0</v>
      </c>
      <c r="G46" s="15" t="s">
        <v>99</v>
      </c>
      <c r="H46" s="15" t="s">
        <v>118</v>
      </c>
    </row>
    <row r="47" ht="56.25" customHeight="1">
      <c r="A47" s="23" t="s">
        <v>2433</v>
      </c>
      <c r="B47" s="15" t="str">
        <f>image("https://imgur.com/PgynZN8.png")</f>
        <v/>
      </c>
      <c r="C47" s="15">
        <v>1000.0</v>
      </c>
      <c r="D47" s="15">
        <v>250.0</v>
      </c>
      <c r="E47" s="13" t="s">
        <v>2360</v>
      </c>
      <c r="F47" s="15">
        <v>10343.0</v>
      </c>
      <c r="G47" s="15" t="s">
        <v>82</v>
      </c>
      <c r="H47" s="15" t="s">
        <v>1614</v>
      </c>
    </row>
    <row r="48" ht="56.25" customHeight="1">
      <c r="A48" s="23" t="s">
        <v>2436</v>
      </c>
      <c r="B48" s="15" t="str">
        <f>image("https://imgur.com/cuLX6BA.png")</f>
        <v/>
      </c>
      <c r="C48" s="15">
        <v>1000.0</v>
      </c>
      <c r="D48" s="15">
        <v>250.0</v>
      </c>
      <c r="E48" s="13" t="s">
        <v>2360</v>
      </c>
      <c r="F48" s="15">
        <v>10478.0</v>
      </c>
      <c r="G48" s="15" t="s">
        <v>82</v>
      </c>
      <c r="H48" s="15" t="s">
        <v>107</v>
      </c>
    </row>
    <row r="49" ht="56.25" customHeight="1">
      <c r="A49" s="23" t="s">
        <v>2439</v>
      </c>
      <c r="B49" s="15" t="str">
        <f>image("https://imgur.com/WTgnQtT.png")</f>
        <v/>
      </c>
      <c r="C49" s="15">
        <v>1000.0</v>
      </c>
      <c r="D49" s="15">
        <v>250.0</v>
      </c>
      <c r="E49" s="13" t="s">
        <v>2360</v>
      </c>
      <c r="F49" s="15">
        <v>10324.0</v>
      </c>
      <c r="G49" s="15" t="s">
        <v>118</v>
      </c>
      <c r="H49" s="15" t="s">
        <v>1608</v>
      </c>
    </row>
    <row r="50" ht="56.25" customHeight="1">
      <c r="A50" s="23" t="s">
        <v>2441</v>
      </c>
      <c r="B50" s="15" t="str">
        <f>image("https://imgur.com/24p2d99.png")</f>
        <v/>
      </c>
      <c r="C50" s="15">
        <v>1000.0</v>
      </c>
      <c r="D50" s="15">
        <v>250.0</v>
      </c>
      <c r="E50" s="13" t="s">
        <v>2360</v>
      </c>
      <c r="F50" s="15">
        <v>10652.0</v>
      </c>
      <c r="G50" s="15" t="s">
        <v>1614</v>
      </c>
      <c r="H50" s="15" t="s">
        <v>464</v>
      </c>
    </row>
    <row r="51" ht="56.25" customHeight="1">
      <c r="A51" s="23" t="s">
        <v>2442</v>
      </c>
      <c r="B51" s="15" t="str">
        <f>image("https://imgur.com/UAB4cTE.png")</f>
        <v/>
      </c>
      <c r="C51" s="15">
        <v>1000.0</v>
      </c>
      <c r="D51" s="15">
        <v>250.0</v>
      </c>
      <c r="E51" s="13" t="s">
        <v>2360</v>
      </c>
      <c r="F51" s="15">
        <v>10797.0</v>
      </c>
      <c r="G51" s="15" t="s">
        <v>464</v>
      </c>
      <c r="H51" s="15" t="s">
        <v>1614</v>
      </c>
    </row>
    <row r="52" ht="56.25" customHeight="1">
      <c r="A52" s="23" t="s">
        <v>2444</v>
      </c>
      <c r="B52" s="15" t="str">
        <f>image("https://imgur.com/SudksgM.png")</f>
        <v/>
      </c>
      <c r="C52" s="15">
        <v>1000.0</v>
      </c>
      <c r="D52" s="15">
        <v>250.0</v>
      </c>
      <c r="E52" s="13" t="s">
        <v>2360</v>
      </c>
      <c r="F52" s="15">
        <v>10666.0</v>
      </c>
      <c r="G52" s="15" t="s">
        <v>118</v>
      </c>
      <c r="H52" s="15" t="s">
        <v>208</v>
      </c>
    </row>
    <row r="53" ht="56.25" customHeight="1">
      <c r="A53" s="23" t="s">
        <v>2446</v>
      </c>
      <c r="B53" s="15" t="str">
        <f>image("https://imgur.com/KDPrJet.png")</f>
        <v/>
      </c>
      <c r="C53" s="15">
        <v>1000.0</v>
      </c>
      <c r="D53" s="15">
        <v>250.0</v>
      </c>
      <c r="E53" s="13" t="s">
        <v>2360</v>
      </c>
      <c r="F53" s="15">
        <v>10548.0</v>
      </c>
      <c r="G53" s="15" t="s">
        <v>1608</v>
      </c>
      <c r="H53" s="15" t="s">
        <v>107</v>
      </c>
    </row>
    <row r="54" ht="56.25" customHeight="1">
      <c r="A54" s="23" t="s">
        <v>2448</v>
      </c>
      <c r="B54" s="15" t="str">
        <f>image("https://imgur.com/TeU84oy.png")</f>
        <v/>
      </c>
      <c r="C54" s="15">
        <v>1000.0</v>
      </c>
      <c r="D54" s="15">
        <v>250.0</v>
      </c>
      <c r="E54" s="13" t="s">
        <v>2360</v>
      </c>
      <c r="F54" s="15">
        <v>10336.0</v>
      </c>
      <c r="G54" s="15" t="s">
        <v>521</v>
      </c>
      <c r="H54" s="15" t="s">
        <v>112</v>
      </c>
    </row>
    <row r="55" ht="56.25" customHeight="1">
      <c r="A55" s="23" t="s">
        <v>2449</v>
      </c>
      <c r="B55" s="15" t="str">
        <f>image("https://imgur.com/tEmaaao.png")</f>
        <v/>
      </c>
      <c r="C55" s="15">
        <v>1000.0</v>
      </c>
      <c r="D55" s="15">
        <v>250.0</v>
      </c>
      <c r="E55" s="13" t="s">
        <v>2360</v>
      </c>
      <c r="F55" s="15">
        <v>10506.0</v>
      </c>
      <c r="G55" s="15" t="s">
        <v>99</v>
      </c>
      <c r="H55" s="15" t="s">
        <v>112</v>
      </c>
    </row>
    <row r="56" ht="56.25" customHeight="1">
      <c r="A56" s="23" t="s">
        <v>2451</v>
      </c>
      <c r="B56" s="15" t="str">
        <f>image("https://imgur.com/fXGGEnK.png")</f>
        <v/>
      </c>
      <c r="C56" s="15">
        <v>1000.0</v>
      </c>
      <c r="D56" s="15">
        <v>250.0</v>
      </c>
      <c r="E56" s="13" t="s">
        <v>2360</v>
      </c>
      <c r="F56" s="15">
        <v>10534.0</v>
      </c>
      <c r="G56" s="15" t="s">
        <v>118</v>
      </c>
      <c r="H56" s="15" t="s">
        <v>82</v>
      </c>
    </row>
    <row r="57" ht="56.25" customHeight="1">
      <c r="A57" s="23" t="s">
        <v>2453</v>
      </c>
      <c r="B57" s="15" t="str">
        <f>image("https://imgur.com/C1CZK7h.png")</f>
        <v/>
      </c>
      <c r="C57" s="15">
        <v>1000.0</v>
      </c>
      <c r="D57" s="15">
        <v>250.0</v>
      </c>
      <c r="E57" s="13" t="s">
        <v>2360</v>
      </c>
      <c r="F57" s="15">
        <v>10634.0</v>
      </c>
      <c r="G57" s="15" t="s">
        <v>369</v>
      </c>
      <c r="H57" s="15" t="s">
        <v>112</v>
      </c>
    </row>
    <row r="58" ht="56.25" customHeight="1">
      <c r="A58" s="23" t="s">
        <v>2455</v>
      </c>
      <c r="B58" s="15" t="str">
        <f>image("https://imgur.com/yik69BJ.png")</f>
        <v/>
      </c>
      <c r="C58" s="15">
        <v>1000.0</v>
      </c>
      <c r="D58" s="15">
        <v>250.0</v>
      </c>
      <c r="E58" s="13" t="s">
        <v>2360</v>
      </c>
      <c r="F58" s="15">
        <v>10613.0</v>
      </c>
      <c r="G58" s="15" t="s">
        <v>112</v>
      </c>
      <c r="H58" s="15" t="s">
        <v>208</v>
      </c>
    </row>
    <row r="59" ht="56.25" customHeight="1">
      <c r="A59" s="23" t="s">
        <v>2458</v>
      </c>
      <c r="B59" s="15" t="str">
        <f>image("https://imgur.com/cYjUwPO.png")</f>
        <v/>
      </c>
      <c r="C59" s="15">
        <v>1000.0</v>
      </c>
      <c r="D59" s="15">
        <v>250.0</v>
      </c>
      <c r="E59" s="13" t="s">
        <v>2360</v>
      </c>
      <c r="F59" s="15">
        <v>10621.0</v>
      </c>
      <c r="G59" s="15" t="s">
        <v>208</v>
      </c>
      <c r="H59" s="15" t="s">
        <v>112</v>
      </c>
    </row>
    <row r="60" ht="56.25" customHeight="1">
      <c r="A60" s="23" t="s">
        <v>2459</v>
      </c>
      <c r="B60" s="15" t="str">
        <f>image("https://imgur.com/FLH4eyO.png")</f>
        <v/>
      </c>
      <c r="C60" s="15">
        <v>1000.0</v>
      </c>
      <c r="D60" s="15">
        <v>250.0</v>
      </c>
      <c r="E60" s="13" t="s">
        <v>2360</v>
      </c>
      <c r="F60" s="15">
        <v>10486.0</v>
      </c>
      <c r="G60" s="15" t="s">
        <v>369</v>
      </c>
      <c r="H60" s="15" t="s">
        <v>107</v>
      </c>
    </row>
    <row r="61" ht="56.25" customHeight="1">
      <c r="A61" s="23" t="s">
        <v>2460</v>
      </c>
      <c r="B61" s="15" t="str">
        <f>image("https://imgur.com/8geYhvR.png")</f>
        <v/>
      </c>
      <c r="C61" s="15">
        <v>1000.0</v>
      </c>
      <c r="D61" s="15">
        <v>250.0</v>
      </c>
      <c r="E61" s="13" t="s">
        <v>2360</v>
      </c>
      <c r="F61" s="15">
        <v>10516.0</v>
      </c>
      <c r="G61" s="15" t="s">
        <v>369</v>
      </c>
      <c r="H61" s="15" t="s">
        <v>99</v>
      </c>
    </row>
    <row r="62" ht="56.25" customHeight="1">
      <c r="A62" s="23" t="s">
        <v>2461</v>
      </c>
      <c r="B62" s="15" t="str">
        <f>image("https://imgur.com/pMlfAD9.png")</f>
        <v/>
      </c>
      <c r="C62" s="15">
        <v>1000.0</v>
      </c>
      <c r="D62" s="15">
        <v>250.0</v>
      </c>
      <c r="E62" s="13" t="s">
        <v>2360</v>
      </c>
      <c r="F62" s="15">
        <v>10378.0</v>
      </c>
      <c r="G62" s="15" t="s">
        <v>1614</v>
      </c>
      <c r="H62" s="15" t="s">
        <v>258</v>
      </c>
    </row>
    <row r="63" ht="56.25" customHeight="1">
      <c r="A63" s="23" t="s">
        <v>2462</v>
      </c>
      <c r="B63" s="15" t="str">
        <f>image("https://imgur.com/4xrhbCQ.png")</f>
        <v/>
      </c>
      <c r="C63" s="15">
        <v>1000.0</v>
      </c>
      <c r="D63" s="15">
        <v>250.0</v>
      </c>
      <c r="E63" s="13" t="s">
        <v>2360</v>
      </c>
      <c r="F63" s="15">
        <v>10535.0</v>
      </c>
      <c r="G63" s="15" t="s">
        <v>521</v>
      </c>
      <c r="H63" s="15" t="s">
        <v>99</v>
      </c>
    </row>
    <row r="64" ht="56.25" customHeight="1">
      <c r="A64" s="23" t="s">
        <v>2463</v>
      </c>
      <c r="B64" s="15" t="str">
        <f>image("https://imgur.com/IFDiIkU.png")</f>
        <v/>
      </c>
      <c r="C64" s="15">
        <v>1000.0</v>
      </c>
      <c r="D64" s="15">
        <v>250.0</v>
      </c>
      <c r="E64" s="13" t="s">
        <v>2360</v>
      </c>
      <c r="F64" s="15">
        <v>10594.0</v>
      </c>
      <c r="G64" s="15" t="s">
        <v>94</v>
      </c>
      <c r="H64" s="15" t="s">
        <v>521</v>
      </c>
    </row>
    <row r="65" ht="56.25" customHeight="1">
      <c r="A65" s="23" t="s">
        <v>2464</v>
      </c>
      <c r="B65" s="15" t="str">
        <f>image("https://imgur.com/2Ek3yxh.png")</f>
        <v/>
      </c>
      <c r="C65" s="15">
        <v>1000.0</v>
      </c>
      <c r="D65" s="15">
        <v>250.0</v>
      </c>
      <c r="E65" s="13" t="s">
        <v>2360</v>
      </c>
      <c r="F65" s="15">
        <v>10447.0</v>
      </c>
      <c r="G65" s="15" t="s">
        <v>521</v>
      </c>
      <c r="H65" s="15" t="s">
        <v>464</v>
      </c>
    </row>
    <row r="66" ht="56.25" customHeight="1">
      <c r="A66" s="23" t="s">
        <v>2466</v>
      </c>
      <c r="B66" s="15" t="str">
        <f>image("https://imgur.com/mF4pq5E.png")</f>
        <v/>
      </c>
      <c r="C66" s="15">
        <v>1000.0</v>
      </c>
      <c r="D66" s="15">
        <v>250.0</v>
      </c>
      <c r="E66" s="13" t="s">
        <v>2360</v>
      </c>
      <c r="F66" s="15">
        <v>10485.0</v>
      </c>
      <c r="G66" s="15" t="s">
        <v>369</v>
      </c>
      <c r="H66" s="15" t="s">
        <v>118</v>
      </c>
    </row>
    <row r="67" ht="56.25" customHeight="1">
      <c r="A67" s="23" t="s">
        <v>2467</v>
      </c>
      <c r="B67" s="15" t="str">
        <f>image("https://imgur.com/qE4YD2T.png")</f>
        <v/>
      </c>
      <c r="C67" s="15">
        <v>1000.0</v>
      </c>
      <c r="D67" s="15">
        <v>250.0</v>
      </c>
      <c r="E67" s="13" t="s">
        <v>2360</v>
      </c>
      <c r="F67" s="15">
        <v>10398.0</v>
      </c>
      <c r="G67" s="15" t="s">
        <v>118</v>
      </c>
      <c r="H67" s="15" t="s">
        <v>1614</v>
      </c>
    </row>
    <row r="68" ht="56.25" customHeight="1">
      <c r="A68" s="23" t="s">
        <v>2468</v>
      </c>
      <c r="B68" s="15" t="str">
        <f>image("https://imgur.com/Fz35sYU.png")</f>
        <v/>
      </c>
      <c r="C68" s="15">
        <v>1000.0</v>
      </c>
      <c r="D68" s="15">
        <v>250.0</v>
      </c>
      <c r="E68" s="13" t="s">
        <v>2360</v>
      </c>
      <c r="F68" s="15">
        <v>10316.0</v>
      </c>
      <c r="G68" s="15" t="s">
        <v>208</v>
      </c>
      <c r="H68" s="15" t="s">
        <v>1608</v>
      </c>
    </row>
    <row r="69" ht="56.25" customHeight="1">
      <c r="A69" s="23" t="s">
        <v>2469</v>
      </c>
      <c r="B69" s="15" t="str">
        <f>image("https://imgur.com/mp5YV9S.png")</f>
        <v/>
      </c>
      <c r="C69" s="15">
        <v>1000.0</v>
      </c>
      <c r="D69" s="15">
        <v>250.0</v>
      </c>
      <c r="E69" s="13" t="s">
        <v>2360</v>
      </c>
      <c r="F69" s="15">
        <v>10385.0</v>
      </c>
      <c r="G69" s="15" t="s">
        <v>118</v>
      </c>
      <c r="H69" s="15" t="s">
        <v>369</v>
      </c>
    </row>
    <row r="70" ht="56.25" customHeight="1">
      <c r="A70" s="23" t="s">
        <v>2470</v>
      </c>
      <c r="B70" s="15" t="str">
        <f>image("https://imgur.com/pP4FAHL.png")</f>
        <v/>
      </c>
      <c r="C70" s="15">
        <v>1000.0</v>
      </c>
      <c r="D70" s="15">
        <v>250.0</v>
      </c>
      <c r="E70" s="13" t="s">
        <v>2360</v>
      </c>
      <c r="F70" s="15">
        <v>10648.0</v>
      </c>
      <c r="G70" s="15" t="s">
        <v>118</v>
      </c>
      <c r="H70" s="15" t="s">
        <v>1614</v>
      </c>
    </row>
    <row r="71" ht="56.25" customHeight="1">
      <c r="A71" s="23" t="s">
        <v>2471</v>
      </c>
      <c r="B71" s="15" t="str">
        <f>image("https://imgur.com/7croju9.png")</f>
        <v/>
      </c>
      <c r="C71" s="15">
        <v>1000.0</v>
      </c>
      <c r="D71" s="15">
        <v>250.0</v>
      </c>
      <c r="E71" s="13" t="s">
        <v>2360</v>
      </c>
      <c r="F71" s="15">
        <v>10600.0</v>
      </c>
      <c r="G71" s="15" t="s">
        <v>1608</v>
      </c>
      <c r="H71" s="15" t="s">
        <v>208</v>
      </c>
    </row>
    <row r="72" ht="56.25" customHeight="1">
      <c r="A72" s="23" t="s">
        <v>2472</v>
      </c>
      <c r="B72" s="15" t="str">
        <f>image("https://imgur.com/4ObJDrw.png")</f>
        <v/>
      </c>
      <c r="C72" s="15">
        <v>1000.0</v>
      </c>
      <c r="D72" s="15">
        <v>250.0</v>
      </c>
      <c r="E72" s="13" t="s">
        <v>2360</v>
      </c>
      <c r="F72" s="15">
        <v>10412.0</v>
      </c>
      <c r="G72" s="15" t="s">
        <v>369</v>
      </c>
      <c r="H72" s="15" t="s">
        <v>118</v>
      </c>
    </row>
    <row r="73" ht="56.25" customHeight="1">
      <c r="A73" s="23" t="s">
        <v>2473</v>
      </c>
      <c r="B73" s="15" t="str">
        <f>image("https://imgur.com/U7quzAl.png")</f>
        <v/>
      </c>
      <c r="C73" s="15">
        <v>1000.0</v>
      </c>
      <c r="D73" s="15">
        <v>250.0</v>
      </c>
      <c r="E73" s="13" t="s">
        <v>2360</v>
      </c>
      <c r="F73" s="15">
        <v>10451.0</v>
      </c>
      <c r="G73" s="15" t="s">
        <v>521</v>
      </c>
      <c r="H73" s="15" t="s">
        <v>1614</v>
      </c>
    </row>
    <row r="74" ht="56.25" customHeight="1">
      <c r="A74" s="23" t="s">
        <v>2474</v>
      </c>
      <c r="B74" s="15" t="str">
        <f>image("https://imgur.com/cRwjmsH.png")</f>
        <v/>
      </c>
      <c r="C74" s="15">
        <v>1000.0</v>
      </c>
      <c r="D74" s="15">
        <v>250.0</v>
      </c>
      <c r="E74" s="13" t="s">
        <v>2360</v>
      </c>
      <c r="F74" s="15">
        <v>10637.0</v>
      </c>
      <c r="G74" s="15" t="s">
        <v>107</v>
      </c>
      <c r="H74" s="15" t="s">
        <v>211</v>
      </c>
    </row>
    <row r="75" ht="56.25" customHeight="1">
      <c r="A75" s="23" t="s">
        <v>2476</v>
      </c>
      <c r="B75" s="15" t="str">
        <f>image("https://imgur.com/QfAl1gq.png")</f>
        <v/>
      </c>
      <c r="C75" s="15">
        <v>1000.0</v>
      </c>
      <c r="D75" s="15">
        <v>250.0</v>
      </c>
      <c r="E75" s="13" t="s">
        <v>2360</v>
      </c>
      <c r="F75" s="15">
        <v>10374.0</v>
      </c>
      <c r="G75" s="15" t="s">
        <v>118</v>
      </c>
      <c r="H75" s="15" t="s">
        <v>369</v>
      </c>
    </row>
    <row r="76" ht="56.25" customHeight="1">
      <c r="A76" s="23" t="s">
        <v>2477</v>
      </c>
      <c r="B76" s="15" t="str">
        <f>image("https://imgur.com/HNq1Wvk.png")</f>
        <v/>
      </c>
      <c r="C76" s="15">
        <v>1000.0</v>
      </c>
      <c r="D76" s="15">
        <v>250.0</v>
      </c>
      <c r="E76" s="13" t="s">
        <v>2360</v>
      </c>
      <c r="F76" s="15">
        <v>10507.0</v>
      </c>
      <c r="G76" s="15" t="s">
        <v>208</v>
      </c>
      <c r="H76" s="15" t="s">
        <v>112</v>
      </c>
    </row>
    <row r="77" ht="56.25" customHeight="1">
      <c r="A77" s="23" t="s">
        <v>2479</v>
      </c>
      <c r="B77" s="15" t="str">
        <f>image("https://imgur.com/JM2XX7n.png")</f>
        <v/>
      </c>
      <c r="C77" s="15">
        <v>1000.0</v>
      </c>
      <c r="D77" s="15">
        <v>250.0</v>
      </c>
      <c r="E77" s="13" t="s">
        <v>2360</v>
      </c>
      <c r="F77" s="15">
        <v>10615.0</v>
      </c>
      <c r="G77" s="15" t="s">
        <v>521</v>
      </c>
      <c r="H77" s="15" t="s">
        <v>208</v>
      </c>
    </row>
    <row r="78" ht="56.25" customHeight="1">
      <c r="A78" s="23" t="s">
        <v>2480</v>
      </c>
      <c r="B78" s="15" t="str">
        <f>image("https://imgur.com/67JUunz.png")</f>
        <v/>
      </c>
      <c r="C78" s="15">
        <v>1000.0</v>
      </c>
      <c r="D78" s="15">
        <v>250.0</v>
      </c>
      <c r="E78" s="13" t="s">
        <v>2360</v>
      </c>
      <c r="F78" s="15">
        <v>10640.0</v>
      </c>
      <c r="G78" s="15" t="s">
        <v>82</v>
      </c>
      <c r="H78" s="15" t="s">
        <v>464</v>
      </c>
    </row>
    <row r="79" ht="56.25" customHeight="1">
      <c r="A79" s="23" t="s">
        <v>2482</v>
      </c>
      <c r="B79" s="15" t="str">
        <f>image("https://imgur.com/skwhPPR.png")</f>
        <v/>
      </c>
      <c r="C79" s="15">
        <v>1000.0</v>
      </c>
      <c r="D79" s="15">
        <v>250.0</v>
      </c>
      <c r="E79" s="13" t="s">
        <v>2360</v>
      </c>
      <c r="F79" s="15">
        <v>10334.0</v>
      </c>
      <c r="G79" s="15" t="s">
        <v>118</v>
      </c>
      <c r="H79" s="15" t="s">
        <v>112</v>
      </c>
    </row>
    <row r="80" ht="56.25" customHeight="1">
      <c r="A80" s="23" t="s">
        <v>2483</v>
      </c>
      <c r="B80" s="15" t="str">
        <f>image("https://imgur.com/EdrsJU0.png")</f>
        <v/>
      </c>
      <c r="C80" s="15">
        <v>1000.0</v>
      </c>
      <c r="D80" s="15">
        <v>250.0</v>
      </c>
      <c r="E80" s="13" t="s">
        <v>2360</v>
      </c>
      <c r="F80" s="15">
        <v>10568.0</v>
      </c>
      <c r="G80" s="15" t="s">
        <v>82</v>
      </c>
      <c r="H80" s="15" t="s">
        <v>369</v>
      </c>
    </row>
    <row r="81" ht="56.25" customHeight="1">
      <c r="A81" s="23" t="s">
        <v>2484</v>
      </c>
      <c r="B81" s="15" t="str">
        <f>image("https://imgur.com/DOCCnUx.png")</f>
        <v/>
      </c>
      <c r="C81" s="15">
        <v>1000.0</v>
      </c>
      <c r="D81" s="15">
        <v>250.0</v>
      </c>
      <c r="E81" s="13" t="s">
        <v>2360</v>
      </c>
      <c r="F81" s="15">
        <v>10373.0</v>
      </c>
      <c r="G81" s="15" t="s">
        <v>1608</v>
      </c>
      <c r="H81" s="15" t="s">
        <v>521</v>
      </c>
    </row>
    <row r="82" ht="56.25" customHeight="1">
      <c r="A82" s="23" t="s">
        <v>2485</v>
      </c>
      <c r="B82" s="15" t="str">
        <f>image("https://imgur.com/CeYh5Oa.png")</f>
        <v/>
      </c>
      <c r="C82" s="15">
        <v>1000.0</v>
      </c>
      <c r="D82" s="15">
        <v>250.0</v>
      </c>
      <c r="E82" s="13" t="s">
        <v>2360</v>
      </c>
      <c r="F82" s="15">
        <v>10501.0</v>
      </c>
      <c r="G82" s="15" t="s">
        <v>211</v>
      </c>
      <c r="H82" s="15" t="s">
        <v>112</v>
      </c>
    </row>
    <row r="83" ht="56.25" customHeight="1">
      <c r="A83" s="23" t="s">
        <v>2486</v>
      </c>
      <c r="B83" s="15" t="str">
        <f>image("https://imgur.com/3kgUHa8.png")</f>
        <v/>
      </c>
      <c r="C83" s="15">
        <v>1000.0</v>
      </c>
      <c r="D83" s="15">
        <v>250.0</v>
      </c>
      <c r="E83" s="13" t="s">
        <v>2360</v>
      </c>
      <c r="F83" s="15">
        <v>10778.0</v>
      </c>
      <c r="G83" s="15" t="s">
        <v>369</v>
      </c>
      <c r="H83" s="15" t="s">
        <v>208</v>
      </c>
    </row>
    <row r="84" ht="56.25" customHeight="1">
      <c r="A84" s="23" t="s">
        <v>2488</v>
      </c>
      <c r="B84" s="15" t="str">
        <f>image("https://imgur.com/FWm5S09.png")</f>
        <v/>
      </c>
      <c r="C84" s="15">
        <v>1000.0</v>
      </c>
      <c r="D84" s="15">
        <v>250.0</v>
      </c>
      <c r="E84" s="13" t="s">
        <v>2360</v>
      </c>
      <c r="F84" s="15">
        <v>10570.0</v>
      </c>
      <c r="G84" s="15" t="s">
        <v>208</v>
      </c>
      <c r="H84" s="15" t="s">
        <v>112</v>
      </c>
    </row>
    <row r="85" ht="56.25" customHeight="1">
      <c r="A85" s="23" t="s">
        <v>2491</v>
      </c>
      <c r="B85" s="15" t="str">
        <f>image("https://imgur.com/SaGXE9p.png")</f>
        <v/>
      </c>
      <c r="C85" s="15">
        <v>1000.0</v>
      </c>
      <c r="D85" s="15">
        <v>250.0</v>
      </c>
      <c r="E85" s="13" t="s">
        <v>2360</v>
      </c>
      <c r="F85" s="15">
        <v>10689.0</v>
      </c>
      <c r="G85" s="15" t="s">
        <v>208</v>
      </c>
      <c r="H85" s="15" t="s">
        <v>99</v>
      </c>
    </row>
    <row r="86" ht="56.25" customHeight="1">
      <c r="A86" s="23" t="s">
        <v>2492</v>
      </c>
      <c r="B86" s="15" t="str">
        <f>image("https://imgur.com/kngxLWx.png")</f>
        <v/>
      </c>
      <c r="C86" s="15">
        <v>1000.0</v>
      </c>
      <c r="D86" s="15">
        <v>250.0</v>
      </c>
      <c r="E86" s="13" t="s">
        <v>2360</v>
      </c>
      <c r="F86" s="15">
        <v>10468.0</v>
      </c>
      <c r="G86" s="15" t="s">
        <v>82</v>
      </c>
      <c r="H86" s="15" t="s">
        <v>211</v>
      </c>
    </row>
    <row r="87" ht="56.25" customHeight="1">
      <c r="A87" s="23" t="s">
        <v>2495</v>
      </c>
      <c r="B87" s="15" t="str">
        <f>image("https://imgur.com/RmRZwXG.png")</f>
        <v/>
      </c>
      <c r="C87" s="15">
        <v>1000.0</v>
      </c>
      <c r="D87" s="15">
        <v>250.0</v>
      </c>
      <c r="E87" s="13" t="s">
        <v>2360</v>
      </c>
      <c r="F87" s="15">
        <v>10461.0</v>
      </c>
      <c r="G87" s="15" t="s">
        <v>82</v>
      </c>
      <c r="H87" s="15" t="s">
        <v>208</v>
      </c>
    </row>
    <row r="88" ht="56.25" customHeight="1">
      <c r="A88" s="23" t="s">
        <v>2496</v>
      </c>
      <c r="B88" s="15" t="str">
        <f>image("https://imgur.com/WWHoSv5.png")</f>
        <v/>
      </c>
      <c r="C88" s="15">
        <v>1000.0</v>
      </c>
      <c r="D88" s="15">
        <v>250.0</v>
      </c>
      <c r="E88" s="13" t="s">
        <v>2360</v>
      </c>
      <c r="F88" s="15">
        <v>10315.0</v>
      </c>
      <c r="G88" s="15" t="s">
        <v>521</v>
      </c>
      <c r="H88" s="15" t="s">
        <v>1608</v>
      </c>
    </row>
    <row r="89" ht="56.25" customHeight="1">
      <c r="A89" s="23" t="s">
        <v>2498</v>
      </c>
      <c r="B89" s="15" t="str">
        <f>image("https://imgur.com/mni6Mst.png")</f>
        <v/>
      </c>
      <c r="C89" s="15">
        <v>1000.0</v>
      </c>
      <c r="D89" s="15">
        <v>250.0</v>
      </c>
      <c r="E89" s="13" t="s">
        <v>2360</v>
      </c>
      <c r="F89" s="15">
        <v>10345.0</v>
      </c>
      <c r="G89" s="15" t="s">
        <v>112</v>
      </c>
      <c r="H89" s="15" t="s">
        <v>1608</v>
      </c>
    </row>
    <row r="90" ht="56.25" customHeight="1">
      <c r="A90" s="23" t="s">
        <v>2499</v>
      </c>
      <c r="B90" s="15" t="str">
        <f>image("https://imgur.com/VBz4l8o.png")</f>
        <v/>
      </c>
      <c r="C90" s="15">
        <v>1000.0</v>
      </c>
      <c r="D90" s="15">
        <v>250.0</v>
      </c>
      <c r="E90" s="13" t="s">
        <v>2360</v>
      </c>
      <c r="F90" s="15">
        <v>10414.0</v>
      </c>
      <c r="G90" s="15" t="s">
        <v>1608</v>
      </c>
      <c r="H90" s="15" t="s">
        <v>208</v>
      </c>
    </row>
    <row r="91" ht="56.25" customHeight="1">
      <c r="A91" s="23" t="s">
        <v>2501</v>
      </c>
      <c r="B91" s="15" t="str">
        <f>image("https://imgur.com/s72VkgX.png")</f>
        <v/>
      </c>
      <c r="C91" s="15">
        <v>1000.0</v>
      </c>
      <c r="D91" s="15">
        <v>250.0</v>
      </c>
      <c r="E91" s="13" t="s">
        <v>2360</v>
      </c>
      <c r="F91" s="15">
        <v>10803.0</v>
      </c>
      <c r="G91" s="15" t="s">
        <v>107</v>
      </c>
      <c r="H91" s="15" t="s">
        <v>99</v>
      </c>
    </row>
    <row r="92" ht="56.25" customHeight="1">
      <c r="A92" s="23" t="s">
        <v>2503</v>
      </c>
      <c r="B92" s="15" t="str">
        <f>image("https://imgur.com/oTtTUJP.png")</f>
        <v/>
      </c>
      <c r="C92" s="15">
        <v>1000.0</v>
      </c>
      <c r="D92" s="15">
        <v>250.0</v>
      </c>
      <c r="E92" s="13" t="s">
        <v>2360</v>
      </c>
      <c r="F92" s="15">
        <v>10515.0</v>
      </c>
      <c r="G92" s="15" t="s">
        <v>107</v>
      </c>
      <c r="H92" s="15" t="s">
        <v>464</v>
      </c>
    </row>
    <row r="93" ht="56.25" customHeight="1">
      <c r="A93" s="23" t="s">
        <v>2504</v>
      </c>
      <c r="B93" s="15" t="str">
        <f>image("https://imgur.com/xBj8b0f.png")</f>
        <v/>
      </c>
      <c r="C93" s="15">
        <v>1000.0</v>
      </c>
      <c r="D93" s="15">
        <v>250.0</v>
      </c>
      <c r="E93" s="13" t="s">
        <v>2360</v>
      </c>
      <c r="F93" s="15">
        <v>11124.0</v>
      </c>
      <c r="G93" s="15" t="s">
        <v>1614</v>
      </c>
      <c r="H93" s="15" t="s">
        <v>1614</v>
      </c>
    </row>
    <row r="94" ht="56.25" customHeight="1">
      <c r="A94" s="23" t="s">
        <v>2505</v>
      </c>
      <c r="B94" s="15" t="str">
        <f>image("https://imgur.com/RSAJ9Lj.png")</f>
        <v/>
      </c>
      <c r="C94" s="15">
        <v>1000.0</v>
      </c>
      <c r="D94" s="15">
        <v>250.0</v>
      </c>
      <c r="E94" s="13" t="s">
        <v>2360</v>
      </c>
      <c r="F94" s="15">
        <v>10628.0</v>
      </c>
      <c r="G94" s="15" t="s">
        <v>118</v>
      </c>
      <c r="H94" s="15" t="s">
        <v>1608</v>
      </c>
    </row>
    <row r="95" ht="56.25" customHeight="1">
      <c r="A95" s="23" t="s">
        <v>2506</v>
      </c>
      <c r="B95" s="15" t="str">
        <f>image("https://imgur.com/DkVYndX.png")</f>
        <v/>
      </c>
      <c r="C95" s="15">
        <v>1000.0</v>
      </c>
      <c r="D95" s="15">
        <v>250.0</v>
      </c>
      <c r="E95" s="13" t="s">
        <v>2360</v>
      </c>
      <c r="F95" s="15">
        <v>10504.0</v>
      </c>
      <c r="G95" s="15" t="s">
        <v>107</v>
      </c>
      <c r="H95" s="15" t="s">
        <v>82</v>
      </c>
    </row>
    <row r="96" ht="56.25" customHeight="1">
      <c r="A96" s="23" t="s">
        <v>2508</v>
      </c>
      <c r="B96" s="15" t="str">
        <f>image("https://imgur.com/3iDz6o0.png")</f>
        <v/>
      </c>
      <c r="C96" s="15">
        <v>1000.0</v>
      </c>
      <c r="D96" s="15">
        <v>250.0</v>
      </c>
      <c r="E96" s="13" t="s">
        <v>2360</v>
      </c>
      <c r="F96" s="15">
        <v>10317.0</v>
      </c>
      <c r="G96" s="15" t="s">
        <v>118</v>
      </c>
      <c r="H96" s="15" t="s">
        <v>99</v>
      </c>
    </row>
    <row r="97" ht="56.25" customHeight="1">
      <c r="A97" s="23" t="s">
        <v>2509</v>
      </c>
      <c r="B97" s="15" t="str">
        <f>image("https://imgur.com/FoeS73c.png")</f>
        <v/>
      </c>
      <c r="C97" s="15">
        <v>1000.0</v>
      </c>
      <c r="D97" s="15">
        <v>250.0</v>
      </c>
      <c r="E97" s="13" t="s">
        <v>2360</v>
      </c>
      <c r="F97" s="15">
        <v>10649.0</v>
      </c>
      <c r="G97" s="15" t="s">
        <v>464</v>
      </c>
      <c r="H97" s="15" t="s">
        <v>1614</v>
      </c>
    </row>
    <row r="98" ht="56.25" customHeight="1">
      <c r="A98" s="23" t="s">
        <v>2511</v>
      </c>
      <c r="B98" s="15" t="str">
        <f>image("https://imgur.com/rLpwC8Z.png")</f>
        <v/>
      </c>
      <c r="C98" s="15">
        <v>1000.0</v>
      </c>
      <c r="D98" s="15">
        <v>250.0</v>
      </c>
      <c r="E98" s="13" t="s">
        <v>2360</v>
      </c>
      <c r="F98" s="15">
        <v>10680.0</v>
      </c>
      <c r="G98" s="15" t="s">
        <v>211</v>
      </c>
      <c r="H98" s="15" t="s">
        <v>107</v>
      </c>
    </row>
    <row r="99" ht="56.25" customHeight="1">
      <c r="A99" s="23" t="s">
        <v>2514</v>
      </c>
      <c r="B99" s="15" t="str">
        <f>image("https://imgur.com/D88Ihot.png")</f>
        <v/>
      </c>
      <c r="C99" s="15">
        <v>1000.0</v>
      </c>
      <c r="D99" s="15">
        <v>250.0</v>
      </c>
      <c r="E99" s="13" t="s">
        <v>2360</v>
      </c>
      <c r="F99" s="15">
        <v>10356.0</v>
      </c>
      <c r="G99" s="15" t="s">
        <v>211</v>
      </c>
      <c r="H99" s="15" t="s">
        <v>112</v>
      </c>
    </row>
    <row r="100" ht="56.25" customHeight="1">
      <c r="A100" s="23" t="s">
        <v>2516</v>
      </c>
      <c r="B100" s="15" t="str">
        <f>image("https://imgur.com/DGaIlkV.png")</f>
        <v/>
      </c>
      <c r="C100" s="15">
        <v>1000.0</v>
      </c>
      <c r="D100" s="15">
        <v>250.0</v>
      </c>
      <c r="E100" s="13" t="s">
        <v>2360</v>
      </c>
      <c r="F100" s="15">
        <v>10686.0</v>
      </c>
      <c r="G100" s="15" t="s">
        <v>369</v>
      </c>
      <c r="H100" s="15" t="s">
        <v>82</v>
      </c>
    </row>
    <row r="101" ht="56.25" customHeight="1">
      <c r="A101" s="23" t="s">
        <v>2517</v>
      </c>
      <c r="B101" s="15" t="str">
        <f>image("https://imgur.com/uQfYklI.png")</f>
        <v/>
      </c>
      <c r="C101" s="15">
        <v>1000.0</v>
      </c>
      <c r="D101" s="15">
        <v>250.0</v>
      </c>
      <c r="E101" s="13" t="s">
        <v>2360</v>
      </c>
      <c r="F101" s="15">
        <v>10379.0</v>
      </c>
      <c r="G101" s="15" t="s">
        <v>1608</v>
      </c>
      <c r="H101" s="15" t="s">
        <v>118</v>
      </c>
    </row>
    <row r="102" ht="56.25" customHeight="1">
      <c r="A102" s="23" t="s">
        <v>2519</v>
      </c>
      <c r="B102" s="15" t="str">
        <f>image("https://imgur.com/CYL5iUG.png")</f>
        <v/>
      </c>
      <c r="C102" s="15">
        <v>1000.0</v>
      </c>
      <c r="D102" s="15">
        <v>250.0</v>
      </c>
      <c r="E102" s="13" t="s">
        <v>2360</v>
      </c>
      <c r="F102" s="15">
        <v>10326.0</v>
      </c>
      <c r="G102" s="15" t="s">
        <v>99</v>
      </c>
      <c r="H102" s="15" t="s">
        <v>211</v>
      </c>
    </row>
    <row r="103" ht="56.25" customHeight="1">
      <c r="A103" s="23" t="s">
        <v>2520</v>
      </c>
      <c r="B103" s="15" t="str">
        <f>image("https://imgur.com/QHIxCgk.png")</f>
        <v/>
      </c>
      <c r="C103" s="15">
        <v>1000.0</v>
      </c>
      <c r="D103" s="15">
        <v>250.0</v>
      </c>
      <c r="E103" s="13" t="s">
        <v>2360</v>
      </c>
      <c r="F103" s="15">
        <v>10452.0</v>
      </c>
      <c r="G103" s="15" t="s">
        <v>82</v>
      </c>
      <c r="H103" s="15" t="s">
        <v>258</v>
      </c>
    </row>
    <row r="104" ht="56.25" customHeight="1">
      <c r="A104" s="23" t="s">
        <v>2522</v>
      </c>
      <c r="B104" s="15" t="str">
        <f>image("https://imgur.com/hIRzmkE.png")</f>
        <v/>
      </c>
      <c r="C104" s="15">
        <v>1000.0</v>
      </c>
      <c r="D104" s="15">
        <v>250.0</v>
      </c>
      <c r="E104" s="13" t="s">
        <v>2360</v>
      </c>
      <c r="F104" s="15">
        <v>10367.0</v>
      </c>
      <c r="G104" s="15" t="s">
        <v>107</v>
      </c>
      <c r="H104" s="15" t="s">
        <v>464</v>
      </c>
    </row>
    <row r="105" ht="56.25" customHeight="1">
      <c r="A105" s="23" t="s">
        <v>2523</v>
      </c>
      <c r="B105" s="15" t="str">
        <f>image("https://imgur.com/haFMvDo.png")</f>
        <v/>
      </c>
      <c r="C105" s="15">
        <v>1000.0</v>
      </c>
      <c r="D105" s="15">
        <v>250.0</v>
      </c>
      <c r="E105" s="13" t="s">
        <v>2360</v>
      </c>
      <c r="F105" s="15">
        <v>10335.0</v>
      </c>
      <c r="G105" s="15" t="s">
        <v>521</v>
      </c>
      <c r="H105" s="15" t="s">
        <v>112</v>
      </c>
    </row>
    <row r="106" ht="56.25" customHeight="1">
      <c r="A106" s="23" t="s">
        <v>2524</v>
      </c>
      <c r="B106" s="15" t="str">
        <f>image("https://imgur.com/yaHM3Cy.png")</f>
        <v/>
      </c>
      <c r="C106" s="15">
        <v>1000.0</v>
      </c>
      <c r="D106" s="15">
        <v>250.0</v>
      </c>
      <c r="E106" s="13" t="s">
        <v>2360</v>
      </c>
      <c r="F106" s="15">
        <v>10448.0</v>
      </c>
      <c r="G106" s="15" t="s">
        <v>521</v>
      </c>
      <c r="H106" s="15" t="s">
        <v>369</v>
      </c>
    </row>
    <row r="107" ht="56.25" customHeight="1">
      <c r="A107" s="23" t="s">
        <v>2526</v>
      </c>
      <c r="B107" s="15" t="str">
        <f>image("https://imgur.com/hZAb2Iy.png")</f>
        <v/>
      </c>
      <c r="C107" s="15">
        <v>1000.0</v>
      </c>
      <c r="D107" s="15">
        <v>250.0</v>
      </c>
      <c r="E107" s="13" t="s">
        <v>2360</v>
      </c>
      <c r="F107" s="15">
        <v>10597.0</v>
      </c>
      <c r="G107" s="15" t="s">
        <v>82</v>
      </c>
      <c r="H107" s="15" t="s">
        <v>208</v>
      </c>
    </row>
    <row r="108" ht="56.25" customHeight="1">
      <c r="A108" s="23" t="s">
        <v>2527</v>
      </c>
      <c r="B108" s="15" t="str">
        <f>image("https://imgur.com/LWsN6wQ.png")</f>
        <v/>
      </c>
      <c r="C108" s="15">
        <v>1000.0</v>
      </c>
      <c r="D108" s="15">
        <v>250.0</v>
      </c>
      <c r="E108" s="13" t="s">
        <v>2360</v>
      </c>
      <c r="F108" s="15">
        <v>10536.0</v>
      </c>
      <c r="G108" s="15" t="s">
        <v>521</v>
      </c>
      <c r="H108" s="15" t="s">
        <v>208</v>
      </c>
    </row>
    <row r="109" ht="56.25" customHeight="1">
      <c r="A109" s="23" t="s">
        <v>2530</v>
      </c>
      <c r="B109" s="15" t="str">
        <f>image("https://imgur.com/fI1AJoO.png")</f>
        <v/>
      </c>
      <c r="C109" s="15">
        <v>1000.0</v>
      </c>
      <c r="D109" s="15">
        <v>250.0</v>
      </c>
      <c r="E109" s="13" t="s">
        <v>2360</v>
      </c>
      <c r="F109" s="15">
        <v>10503.0</v>
      </c>
      <c r="G109" s="15" t="s">
        <v>99</v>
      </c>
      <c r="H109" s="15" t="s">
        <v>211</v>
      </c>
    </row>
    <row r="110" ht="56.25" customHeight="1">
      <c r="A110" s="23" t="s">
        <v>2531</v>
      </c>
      <c r="B110" s="15" t="str">
        <f>image("https://imgur.com/C2o2aXr.png")</f>
        <v/>
      </c>
      <c r="C110" s="15">
        <v>1000.0</v>
      </c>
      <c r="D110" s="15">
        <v>250.0</v>
      </c>
      <c r="E110" s="13" t="s">
        <v>2360</v>
      </c>
      <c r="F110" s="15">
        <v>10488.0</v>
      </c>
      <c r="G110" s="15" t="s">
        <v>118</v>
      </c>
      <c r="H110" s="15" t="s">
        <v>211</v>
      </c>
    </row>
    <row r="111" ht="56.25" customHeight="1">
      <c r="A111" s="23" t="s">
        <v>2533</v>
      </c>
      <c r="B111" s="15" t="str">
        <f>image("https://imgur.com/hO2Y9Vc.png")</f>
        <v/>
      </c>
      <c r="C111" s="15">
        <v>1000.0</v>
      </c>
      <c r="D111" s="15">
        <v>250.0</v>
      </c>
      <c r="E111" s="13" t="s">
        <v>2360</v>
      </c>
      <c r="F111" s="15">
        <v>10505.0</v>
      </c>
      <c r="G111" s="15" t="s">
        <v>107</v>
      </c>
      <c r="H111" s="15" t="s">
        <v>369</v>
      </c>
    </row>
    <row r="112" ht="56.25" customHeight="1">
      <c r="A112" s="23" t="s">
        <v>2534</v>
      </c>
      <c r="B112" s="15" t="str">
        <f>image("https://imgur.com/RnHQXTf.png")</f>
        <v/>
      </c>
      <c r="C112" s="15">
        <v>1000.0</v>
      </c>
      <c r="D112" s="15">
        <v>250.0</v>
      </c>
      <c r="E112" s="13" t="s">
        <v>2360</v>
      </c>
      <c r="F112" s="15">
        <v>10799.0</v>
      </c>
      <c r="G112" s="15" t="s">
        <v>94</v>
      </c>
      <c r="H112" s="15" t="s">
        <v>118</v>
      </c>
    </row>
    <row r="113" ht="56.25" customHeight="1">
      <c r="A113" s="23" t="s">
        <v>2535</v>
      </c>
      <c r="B113" s="15" t="str">
        <f>image("https://imgur.com/v0iwBeA.png")</f>
        <v/>
      </c>
      <c r="C113" s="15">
        <v>1000.0</v>
      </c>
      <c r="D113" s="15">
        <v>250.0</v>
      </c>
      <c r="E113" s="13" t="s">
        <v>2360</v>
      </c>
      <c r="F113" s="15">
        <v>10862.0</v>
      </c>
      <c r="G113" s="15" t="s">
        <v>208</v>
      </c>
      <c r="H113" s="15" t="s">
        <v>99</v>
      </c>
    </row>
    <row r="114" ht="56.25" customHeight="1">
      <c r="A114" s="23" t="s">
        <v>2536</v>
      </c>
      <c r="B114" s="15" t="str">
        <f>image("https://imgur.com/24kVQR9.png")</f>
        <v/>
      </c>
      <c r="C114" s="15">
        <v>1000.0</v>
      </c>
      <c r="D114" s="15">
        <v>250.0</v>
      </c>
      <c r="E114" s="13" t="s">
        <v>2360</v>
      </c>
      <c r="F114" s="15">
        <v>10323.0</v>
      </c>
      <c r="G114" s="15" t="s">
        <v>521</v>
      </c>
      <c r="H114" s="15" t="s">
        <v>82</v>
      </c>
    </row>
    <row r="115" ht="56.25" customHeight="1">
      <c r="A115" s="23" t="s">
        <v>2538</v>
      </c>
      <c r="B115" s="15" t="str">
        <f>image("https://imgur.com/CDOlCfH.png")</f>
        <v/>
      </c>
      <c r="C115" s="15">
        <v>1000.0</v>
      </c>
      <c r="D115" s="15">
        <v>250.0</v>
      </c>
      <c r="E115" s="13" t="s">
        <v>2360</v>
      </c>
      <c r="F115" s="15">
        <v>10435.0</v>
      </c>
      <c r="G115" s="15" t="s">
        <v>1614</v>
      </c>
      <c r="H115" s="15" t="s">
        <v>107</v>
      </c>
    </row>
    <row r="116" ht="56.25" customHeight="1">
      <c r="A116" s="23" t="s">
        <v>2539</v>
      </c>
      <c r="B116" s="15" t="str">
        <f>image("https://imgur.com/7iuH8jU.png")</f>
        <v/>
      </c>
      <c r="C116" s="15">
        <v>1000.0</v>
      </c>
      <c r="D116" s="15">
        <v>250.0</v>
      </c>
      <c r="E116" s="13" t="s">
        <v>2360</v>
      </c>
      <c r="F116" s="15">
        <v>10474.0</v>
      </c>
      <c r="G116" s="15" t="s">
        <v>82</v>
      </c>
      <c r="H116" s="15" t="s">
        <v>1608</v>
      </c>
    </row>
    <row r="117" ht="56.25" customHeight="1">
      <c r="A117" s="23" t="s">
        <v>2540</v>
      </c>
      <c r="B117" s="15" t="str">
        <f>image("https://imgur.com/A0MfpTX.png")</f>
        <v/>
      </c>
      <c r="C117" s="15">
        <v>1000.0</v>
      </c>
      <c r="D117" s="15">
        <v>250.0</v>
      </c>
      <c r="E117" s="13" t="s">
        <v>2360</v>
      </c>
      <c r="F117" s="15">
        <v>10670.0</v>
      </c>
      <c r="G117" s="15" t="s">
        <v>118</v>
      </c>
      <c r="H117" s="15" t="s">
        <v>1608</v>
      </c>
    </row>
    <row r="118" ht="56.25" customHeight="1">
      <c r="A118" s="23" t="s">
        <v>2543</v>
      </c>
      <c r="B118" s="15" t="str">
        <f>image("https://imgur.com/ZdmgI7h.png")</f>
        <v/>
      </c>
      <c r="C118" s="15">
        <v>1000.0</v>
      </c>
      <c r="D118" s="15">
        <v>250.0</v>
      </c>
      <c r="E118" s="13" t="s">
        <v>2360</v>
      </c>
      <c r="F118" s="15">
        <v>10459.0</v>
      </c>
      <c r="G118" s="15" t="s">
        <v>1608</v>
      </c>
      <c r="H118" s="15" t="s">
        <v>208</v>
      </c>
    </row>
    <row r="119" ht="56.25" customHeight="1">
      <c r="A119" s="23" t="s">
        <v>2544</v>
      </c>
      <c r="B119" s="15" t="str">
        <f>image("https://imgur.com/HPrYR3e.png")</f>
        <v/>
      </c>
      <c r="C119" s="15">
        <v>1000.0</v>
      </c>
      <c r="D119" s="15">
        <v>250.0</v>
      </c>
      <c r="E119" s="13" t="s">
        <v>2360</v>
      </c>
      <c r="F119" s="15">
        <v>10444.0</v>
      </c>
      <c r="G119" s="15" t="s">
        <v>99</v>
      </c>
      <c r="H119" s="15" t="s">
        <v>112</v>
      </c>
    </row>
    <row r="120" ht="56.25" customHeight="1">
      <c r="A120" s="23" t="s">
        <v>2545</v>
      </c>
      <c r="B120" s="15" t="str">
        <f>image("https://imgur.com/kTadK3j.png")</f>
        <v/>
      </c>
      <c r="C120" s="15">
        <v>1000.0</v>
      </c>
      <c r="D120" s="15">
        <v>250.0</v>
      </c>
      <c r="E120" s="13" t="s">
        <v>2360</v>
      </c>
      <c r="F120" s="15">
        <v>10654.0</v>
      </c>
      <c r="G120" s="15" t="s">
        <v>1608</v>
      </c>
      <c r="H120" s="15" t="s">
        <v>118</v>
      </c>
    </row>
    <row r="121" ht="56.25" customHeight="1">
      <c r="A121" s="23" t="s">
        <v>2547</v>
      </c>
      <c r="B121" s="15" t="str">
        <f>image("https://imgur.com/vcuH6sv.png")</f>
        <v/>
      </c>
      <c r="C121" s="15">
        <v>1000.0</v>
      </c>
      <c r="D121" s="15">
        <v>250.0</v>
      </c>
      <c r="E121" s="13" t="s">
        <v>2360</v>
      </c>
      <c r="F121" s="15">
        <v>10513.0</v>
      </c>
      <c r="G121" s="15" t="s">
        <v>112</v>
      </c>
      <c r="H121" s="15" t="s">
        <v>107</v>
      </c>
    </row>
    <row r="122" ht="56.25" customHeight="1">
      <c r="A122" s="23" t="s">
        <v>2548</v>
      </c>
      <c r="B122" s="15" t="str">
        <f>image("https://imgur.com/2b5f6hz.png")</f>
        <v/>
      </c>
      <c r="C122" s="15">
        <v>1000.0</v>
      </c>
      <c r="D122" s="15">
        <v>250.0</v>
      </c>
      <c r="E122" s="13" t="s">
        <v>2360</v>
      </c>
      <c r="F122" s="15">
        <v>10318.0</v>
      </c>
      <c r="G122" s="15" t="s">
        <v>107</v>
      </c>
      <c r="H122" s="15" t="s">
        <v>464</v>
      </c>
    </row>
    <row r="123" ht="56.25" customHeight="1">
      <c r="A123" s="23" t="s">
        <v>2549</v>
      </c>
      <c r="B123" s="15" t="str">
        <f>image("https://imgur.com/TpyH0HV.png")</f>
        <v/>
      </c>
      <c r="C123" s="15">
        <v>1000.0</v>
      </c>
      <c r="D123" s="15">
        <v>250.0</v>
      </c>
      <c r="E123" s="13" t="s">
        <v>2360</v>
      </c>
      <c r="F123" s="15">
        <v>10438.0</v>
      </c>
      <c r="G123" s="15" t="s">
        <v>118</v>
      </c>
      <c r="H123" s="15" t="s">
        <v>208</v>
      </c>
    </row>
    <row r="124" ht="56.25" customHeight="1">
      <c r="A124" s="23" t="s">
        <v>2551</v>
      </c>
      <c r="B124" s="15" t="str">
        <f>image("https://imgur.com/BLrqemj.png")</f>
        <v/>
      </c>
      <c r="C124" s="15">
        <v>1000.0</v>
      </c>
      <c r="D124" s="15">
        <v>250.0</v>
      </c>
      <c r="E124" s="13" t="s">
        <v>2360</v>
      </c>
      <c r="F124" s="15">
        <v>10473.0</v>
      </c>
      <c r="G124" s="15" t="s">
        <v>464</v>
      </c>
      <c r="H124" s="15" t="s">
        <v>211</v>
      </c>
    </row>
    <row r="125" ht="56.25" customHeight="1">
      <c r="A125" s="23" t="s">
        <v>2552</v>
      </c>
      <c r="B125" s="15" t="str">
        <f>image("https://imgur.com/4UccPHa.png")</f>
        <v/>
      </c>
      <c r="C125" s="15">
        <v>1000.0</v>
      </c>
      <c r="D125" s="15">
        <v>250.0</v>
      </c>
      <c r="E125" s="13" t="s">
        <v>2360</v>
      </c>
      <c r="F125" s="15">
        <v>10532.0</v>
      </c>
      <c r="G125" s="15" t="s">
        <v>94</v>
      </c>
      <c r="H125" s="15" t="s">
        <v>1614</v>
      </c>
    </row>
    <row r="126" ht="56.25" customHeight="1">
      <c r="A126" s="23" t="s">
        <v>2554</v>
      </c>
      <c r="B126" s="15" t="str">
        <f>image("https://imgur.com/f7iExd2.png")</f>
        <v/>
      </c>
      <c r="C126" s="15">
        <v>1000.0</v>
      </c>
      <c r="D126" s="15">
        <v>250.0</v>
      </c>
      <c r="E126" s="13" t="s">
        <v>2360</v>
      </c>
      <c r="F126" s="15">
        <v>10776.0</v>
      </c>
      <c r="G126" s="15" t="s">
        <v>82</v>
      </c>
      <c r="H126" s="15" t="s">
        <v>99</v>
      </c>
    </row>
    <row r="127" ht="56.25" customHeight="1">
      <c r="A127" s="23" t="s">
        <v>2557</v>
      </c>
      <c r="B127" s="15" t="str">
        <f>image("https://imgur.com/WWUJNoZ.png")</f>
        <v/>
      </c>
      <c r="C127" s="15">
        <v>1000.0</v>
      </c>
      <c r="D127" s="15">
        <v>250.0</v>
      </c>
      <c r="E127" s="13" t="s">
        <v>2360</v>
      </c>
      <c r="F127" s="15">
        <v>10647.0</v>
      </c>
      <c r="G127" s="15" t="s">
        <v>369</v>
      </c>
      <c r="H127" s="15" t="s">
        <v>112</v>
      </c>
    </row>
    <row r="128" ht="56.25" customHeight="1">
      <c r="A128" s="23" t="s">
        <v>2558</v>
      </c>
      <c r="B128" s="15" t="str">
        <f>image("https://imgur.com/73Waa1s.png")</f>
        <v/>
      </c>
      <c r="C128" s="15">
        <v>1000.0</v>
      </c>
      <c r="D128" s="15">
        <v>250.0</v>
      </c>
      <c r="E128" s="13" t="s">
        <v>2360</v>
      </c>
      <c r="F128" s="15">
        <v>10576.0</v>
      </c>
      <c r="G128" s="15" t="s">
        <v>112</v>
      </c>
      <c r="H128" s="15" t="s">
        <v>99</v>
      </c>
    </row>
    <row r="129" ht="56.25" customHeight="1">
      <c r="A129" s="23" t="s">
        <v>2560</v>
      </c>
      <c r="B129" s="15" t="str">
        <f>image("https://imgur.com/nWr7IrM.png")</f>
        <v/>
      </c>
      <c r="C129" s="15">
        <v>1000.0</v>
      </c>
      <c r="D129" s="15">
        <v>250.0</v>
      </c>
      <c r="E129" s="13" t="s">
        <v>2360</v>
      </c>
      <c r="F129" s="15">
        <v>10864.0</v>
      </c>
      <c r="G129" s="15" t="s">
        <v>1608</v>
      </c>
      <c r="H129" s="15" t="s">
        <v>258</v>
      </c>
    </row>
    <row r="130" ht="56.25" customHeight="1">
      <c r="A130" s="23" t="s">
        <v>2561</v>
      </c>
      <c r="B130" s="41" t="str">
        <f>image("https://imgur.com/a369kqL.png")</f>
        <v/>
      </c>
      <c r="C130" s="15">
        <v>1000.0</v>
      </c>
      <c r="D130" s="15">
        <v>250.0</v>
      </c>
      <c r="E130" s="13" t="s">
        <v>2360</v>
      </c>
      <c r="F130" s="15">
        <v>10342.0</v>
      </c>
      <c r="G130" s="15" t="s">
        <v>118</v>
      </c>
      <c r="H130" s="15" t="s">
        <v>1614</v>
      </c>
    </row>
    <row r="131" ht="56.25" customHeight="1">
      <c r="A131" s="23" t="s">
        <v>2562</v>
      </c>
      <c r="B131" s="15" t="str">
        <f>image("https://imgur.com/BgpDBh1.png")</f>
        <v/>
      </c>
      <c r="C131" s="15">
        <v>1000.0</v>
      </c>
      <c r="D131" s="15">
        <v>250.0</v>
      </c>
      <c r="E131" s="13" t="s">
        <v>2360</v>
      </c>
      <c r="F131" s="15">
        <v>10495.0</v>
      </c>
      <c r="G131" s="15" t="s">
        <v>82</v>
      </c>
      <c r="H131" s="15" t="s">
        <v>369</v>
      </c>
    </row>
    <row r="132" ht="56.25" customHeight="1">
      <c r="A132" s="23" t="s">
        <v>2564</v>
      </c>
      <c r="B132" s="15" t="str">
        <f>image("https://imgur.com/LEF371A.png")</f>
        <v/>
      </c>
      <c r="C132" s="15">
        <v>1000.0</v>
      </c>
      <c r="D132" s="15">
        <v>250.0</v>
      </c>
      <c r="E132" s="13" t="s">
        <v>2360</v>
      </c>
      <c r="F132" s="15">
        <v>10541.0</v>
      </c>
      <c r="G132" s="15" t="s">
        <v>99</v>
      </c>
      <c r="H132" s="15" t="s">
        <v>82</v>
      </c>
    </row>
    <row r="133" ht="56.25" customHeight="1">
      <c r="A133" s="23" t="s">
        <v>2565</v>
      </c>
      <c r="B133" s="15" t="str">
        <f>image("https://imgur.com/pWnnmRO.png")</f>
        <v/>
      </c>
      <c r="C133" s="15">
        <v>1000.0</v>
      </c>
      <c r="D133" s="15">
        <v>250.0</v>
      </c>
      <c r="E133" s="13" t="s">
        <v>2360</v>
      </c>
      <c r="F133" s="15">
        <v>10462.0</v>
      </c>
      <c r="G133" s="15" t="s">
        <v>369</v>
      </c>
      <c r="H133" s="15" t="s">
        <v>211</v>
      </c>
    </row>
    <row r="134" ht="56.25" customHeight="1">
      <c r="A134" s="23" t="s">
        <v>2569</v>
      </c>
      <c r="B134" s="15" t="str">
        <f>image("https://imgur.com/pZC8JfW.png")</f>
        <v/>
      </c>
      <c r="C134" s="15">
        <v>1000.0</v>
      </c>
      <c r="D134" s="15">
        <v>250.0</v>
      </c>
      <c r="E134" s="13" t="s">
        <v>2360</v>
      </c>
      <c r="F134" s="15">
        <v>10410.0</v>
      </c>
      <c r="G134" s="15" t="s">
        <v>369</v>
      </c>
      <c r="H134" s="15" t="s">
        <v>118</v>
      </c>
    </row>
    <row r="135" ht="56.25" customHeight="1">
      <c r="A135" s="23" t="s">
        <v>2570</v>
      </c>
      <c r="B135" s="15" t="str">
        <f>image("https://imgur.com/r7BAma8.png")</f>
        <v/>
      </c>
      <c r="C135" s="15">
        <v>1000.0</v>
      </c>
      <c r="D135" s="15">
        <v>250.0</v>
      </c>
      <c r="E135" s="13" t="s">
        <v>2360</v>
      </c>
      <c r="F135" s="15">
        <v>10417.0</v>
      </c>
      <c r="G135" s="15" t="s">
        <v>208</v>
      </c>
      <c r="H135" s="15" t="s">
        <v>369</v>
      </c>
    </row>
    <row r="136" ht="56.25" customHeight="1">
      <c r="A136" s="23" t="s">
        <v>2572</v>
      </c>
      <c r="B136" s="15" t="str">
        <f>image("https://imgur.com/bVHpJxg.png")</f>
        <v/>
      </c>
      <c r="C136" s="15">
        <v>1000.0</v>
      </c>
      <c r="D136" s="15">
        <v>250.0</v>
      </c>
      <c r="E136" s="13" t="s">
        <v>2360</v>
      </c>
      <c r="F136" s="15">
        <v>10392.0</v>
      </c>
      <c r="G136" s="15" t="s">
        <v>1614</v>
      </c>
      <c r="H136" s="15" t="s">
        <v>99</v>
      </c>
    </row>
    <row r="137" ht="56.25" customHeight="1">
      <c r="A137" s="23" t="s">
        <v>2573</v>
      </c>
      <c r="B137" s="15" t="str">
        <f>image("https://imgur.com/CVVWElY.png")</f>
        <v/>
      </c>
      <c r="C137" s="15">
        <v>1000.0</v>
      </c>
      <c r="D137" s="15">
        <v>250.0</v>
      </c>
      <c r="E137" s="13" t="s">
        <v>2360</v>
      </c>
      <c r="F137" s="15">
        <v>10366.0</v>
      </c>
      <c r="G137" s="15" t="s">
        <v>211</v>
      </c>
      <c r="H137" s="15" t="s">
        <v>112</v>
      </c>
    </row>
    <row r="138" ht="56.25" customHeight="1">
      <c r="A138" s="23" t="s">
        <v>2574</v>
      </c>
      <c r="B138" s="15" t="str">
        <f>image("https://imgur.com/lGT9HQL.png")</f>
        <v/>
      </c>
      <c r="C138" s="15">
        <v>1000.0</v>
      </c>
      <c r="D138" s="15">
        <v>250.0</v>
      </c>
      <c r="E138" s="13" t="s">
        <v>2360</v>
      </c>
      <c r="F138" s="15">
        <v>10558.0</v>
      </c>
      <c r="G138" s="15" t="s">
        <v>1608</v>
      </c>
      <c r="H138" s="15" t="s">
        <v>464</v>
      </c>
    </row>
    <row r="139" ht="56.25" customHeight="1">
      <c r="A139" s="23" t="s">
        <v>2575</v>
      </c>
      <c r="B139" s="15" t="str">
        <f>image("https://imgur.com/AMGjskQ.png")</f>
        <v/>
      </c>
      <c r="C139" s="15">
        <v>1000.0</v>
      </c>
      <c r="D139" s="15">
        <v>250.0</v>
      </c>
      <c r="E139" s="13" t="s">
        <v>2360</v>
      </c>
      <c r="F139" s="15">
        <v>10633.0</v>
      </c>
      <c r="G139" s="15" t="s">
        <v>1608</v>
      </c>
      <c r="H139" s="15" t="s">
        <v>208</v>
      </c>
    </row>
    <row r="140" ht="56.25" customHeight="1">
      <c r="A140" s="23" t="s">
        <v>2577</v>
      </c>
      <c r="B140" s="15" t="str">
        <f>image("https://imgur.com/7UgT0nA.png")</f>
        <v/>
      </c>
      <c r="C140" s="15">
        <v>1000.0</v>
      </c>
      <c r="D140" s="15">
        <v>250.0</v>
      </c>
      <c r="E140" s="13" t="s">
        <v>2360</v>
      </c>
      <c r="F140" s="15">
        <v>10555.0</v>
      </c>
      <c r="G140" s="15" t="s">
        <v>118</v>
      </c>
      <c r="H140" s="15" t="s">
        <v>369</v>
      </c>
    </row>
    <row r="141" ht="56.25" customHeight="1">
      <c r="A141" s="23" t="s">
        <v>2579</v>
      </c>
      <c r="B141" s="15" t="str">
        <f>image("https://imgur.com/3cEotqo.png")</f>
        <v/>
      </c>
      <c r="C141" s="15">
        <v>1000.0</v>
      </c>
      <c r="D141" s="15">
        <v>250.0</v>
      </c>
      <c r="E141" s="13" t="s">
        <v>2360</v>
      </c>
      <c r="F141" s="15">
        <v>10464.0</v>
      </c>
      <c r="G141" s="15" t="s">
        <v>211</v>
      </c>
      <c r="H141" s="15" t="s">
        <v>208</v>
      </c>
    </row>
    <row r="142" ht="56.25" customHeight="1">
      <c r="A142" s="23" t="s">
        <v>2580</v>
      </c>
      <c r="B142" s="15" t="str">
        <f>image("https://imgur.com/yfL4Hfc.png")</f>
        <v/>
      </c>
      <c r="C142" s="15">
        <v>1000.0</v>
      </c>
      <c r="D142" s="15">
        <v>250.0</v>
      </c>
      <c r="E142" s="13" t="s">
        <v>2360</v>
      </c>
      <c r="F142" s="15">
        <v>10450.0</v>
      </c>
      <c r="G142" s="15" t="s">
        <v>211</v>
      </c>
      <c r="H142" s="15" t="s">
        <v>208</v>
      </c>
    </row>
    <row r="143" ht="56.25" customHeight="1">
      <c r="A143" s="23" t="s">
        <v>2582</v>
      </c>
      <c r="B143" s="15" t="str">
        <f>image("https://imgur.com/1iMZPE1.png")</f>
        <v/>
      </c>
      <c r="C143" s="15">
        <v>1000.0</v>
      </c>
      <c r="D143" s="15">
        <v>250.0</v>
      </c>
      <c r="E143" s="13" t="s">
        <v>2360</v>
      </c>
      <c r="F143" s="15">
        <v>10540.0</v>
      </c>
      <c r="G143" s="15" t="s">
        <v>118</v>
      </c>
      <c r="H143" s="15" t="s">
        <v>112</v>
      </c>
    </row>
    <row r="144" ht="56.25" customHeight="1">
      <c r="A144" s="23" t="s">
        <v>2583</v>
      </c>
      <c r="B144" s="15" t="str">
        <f>image("https://imgur.com/INk5Nu5.png")</f>
        <v/>
      </c>
      <c r="C144" s="15">
        <v>1000.0</v>
      </c>
      <c r="D144" s="15">
        <v>250.0</v>
      </c>
      <c r="E144" s="13" t="s">
        <v>2360</v>
      </c>
      <c r="F144" s="15">
        <v>10692.0</v>
      </c>
      <c r="G144" s="15" t="s">
        <v>118</v>
      </c>
      <c r="H144" s="15" t="s">
        <v>99</v>
      </c>
    </row>
    <row r="145" ht="56.25" customHeight="1">
      <c r="A145" s="23" t="s">
        <v>2584</v>
      </c>
      <c r="B145" s="15" t="str">
        <f>image("https://imgur.com/9OMbDpa.png")</f>
        <v/>
      </c>
      <c r="C145" s="15">
        <v>1000.0</v>
      </c>
      <c r="D145" s="15">
        <v>250.0</v>
      </c>
      <c r="E145" s="13" t="s">
        <v>2360</v>
      </c>
      <c r="F145" s="15">
        <v>10693.0</v>
      </c>
      <c r="G145" s="15" t="s">
        <v>99</v>
      </c>
      <c r="H145" s="15" t="s">
        <v>1608</v>
      </c>
    </row>
    <row r="146" ht="56.25" customHeight="1">
      <c r="A146" s="23" t="s">
        <v>2586</v>
      </c>
      <c r="B146" s="15" t="str">
        <f>image("https://imgur.com/ZuLHRgM.png")</f>
        <v/>
      </c>
      <c r="C146" s="15">
        <v>1000.0</v>
      </c>
      <c r="D146" s="15">
        <v>250.0</v>
      </c>
      <c r="E146" s="13" t="s">
        <v>2360</v>
      </c>
      <c r="F146" s="15">
        <v>10544.0</v>
      </c>
      <c r="G146" s="15" t="s">
        <v>1608</v>
      </c>
      <c r="H146" s="15" t="s">
        <v>1614</v>
      </c>
    </row>
    <row r="147" ht="56.25" customHeight="1">
      <c r="A147" s="23" t="s">
        <v>2588</v>
      </c>
      <c r="B147" s="15" t="str">
        <f>image("https://imgur.com/JBFmhtU.png")</f>
        <v/>
      </c>
      <c r="C147" s="15">
        <v>1000.0</v>
      </c>
      <c r="D147" s="15">
        <v>250.0</v>
      </c>
      <c r="E147" s="13" t="s">
        <v>2360</v>
      </c>
      <c r="F147" s="15">
        <v>10530.0</v>
      </c>
      <c r="G147" s="15" t="s">
        <v>118</v>
      </c>
      <c r="H147" s="15" t="s">
        <v>1614</v>
      </c>
    </row>
    <row r="148" ht="56.25" customHeight="1">
      <c r="A148" s="23" t="s">
        <v>2589</v>
      </c>
      <c r="B148" s="15" t="str">
        <f>image("https://imgur.com/erspvXN.png")</f>
        <v/>
      </c>
      <c r="C148" s="15">
        <v>1000.0</v>
      </c>
      <c r="D148" s="15">
        <v>250.0</v>
      </c>
      <c r="E148" s="13" t="s">
        <v>2360</v>
      </c>
      <c r="F148" s="15">
        <v>10348.0</v>
      </c>
      <c r="G148" s="15" t="s">
        <v>1608</v>
      </c>
      <c r="H148" s="15" t="s">
        <v>369</v>
      </c>
    </row>
    <row r="149" ht="56.25" customHeight="1">
      <c r="A149" s="23" t="s">
        <v>2590</v>
      </c>
      <c r="B149" s="15" t="str">
        <f>image("https://imgur.com/4Z9nqrQ.png")</f>
        <v/>
      </c>
      <c r="C149" s="15">
        <v>1000.0</v>
      </c>
      <c r="D149" s="15">
        <v>250.0</v>
      </c>
      <c r="E149" s="13" t="s">
        <v>2360</v>
      </c>
      <c r="F149" s="15">
        <v>10394.0</v>
      </c>
      <c r="G149" s="15" t="s">
        <v>1614</v>
      </c>
      <c r="H149" s="15" t="s">
        <v>112</v>
      </c>
    </row>
    <row r="150" ht="56.25" customHeight="1">
      <c r="A150" s="23" t="s">
        <v>2593</v>
      </c>
      <c r="B150" s="15" t="str">
        <f>image("https://imgur.com/wc3cW4R.png")</f>
        <v/>
      </c>
      <c r="C150" s="15">
        <v>1000.0</v>
      </c>
      <c r="D150" s="15">
        <v>250.0</v>
      </c>
      <c r="E150" s="13" t="s">
        <v>2360</v>
      </c>
      <c r="F150" s="15">
        <v>10406.0</v>
      </c>
      <c r="G150" s="15" t="s">
        <v>521</v>
      </c>
      <c r="H150" s="15" t="s">
        <v>112</v>
      </c>
    </row>
    <row r="151" ht="56.25" customHeight="1">
      <c r="A151" s="23" t="s">
        <v>2594</v>
      </c>
      <c r="B151" s="15" t="str">
        <f>image("https://imgur.com/Zqc1lwy.png")</f>
        <v/>
      </c>
      <c r="C151" s="15">
        <v>1000.0</v>
      </c>
      <c r="D151" s="15">
        <v>250.0</v>
      </c>
      <c r="E151" s="13" t="s">
        <v>2360</v>
      </c>
      <c r="F151" s="15">
        <v>10685.0</v>
      </c>
      <c r="G151" s="15" t="s">
        <v>112</v>
      </c>
      <c r="H151" s="15" t="s">
        <v>208</v>
      </c>
    </row>
    <row r="152" ht="56.25" customHeight="1">
      <c r="A152" s="23" t="s">
        <v>2596</v>
      </c>
      <c r="B152" s="15" t="str">
        <f>image("https://imgur.com/fimkWY0.png")</f>
        <v/>
      </c>
      <c r="C152" s="15">
        <v>1000.0</v>
      </c>
      <c r="D152" s="15">
        <v>250.0</v>
      </c>
      <c r="E152" s="13" t="s">
        <v>2360</v>
      </c>
      <c r="F152" s="15">
        <v>10490.0</v>
      </c>
      <c r="G152" s="15" t="s">
        <v>107</v>
      </c>
      <c r="H152" s="15" t="s">
        <v>211</v>
      </c>
    </row>
    <row r="153" ht="56.25" customHeight="1">
      <c r="A153" s="23" t="s">
        <v>2597</v>
      </c>
      <c r="B153" s="15" t="str">
        <f>image("https://imgur.com/TbZw4oV.png")</f>
        <v/>
      </c>
      <c r="C153" s="15">
        <v>1000.0</v>
      </c>
      <c r="D153" s="15">
        <v>250.0</v>
      </c>
      <c r="E153" s="13" t="s">
        <v>2360</v>
      </c>
      <c r="F153" s="15">
        <v>10679.0</v>
      </c>
      <c r="G153" s="15" t="s">
        <v>82</v>
      </c>
      <c r="H153" s="15" t="s">
        <v>208</v>
      </c>
    </row>
    <row r="154" ht="56.25" customHeight="1">
      <c r="A154" s="23" t="s">
        <v>2599</v>
      </c>
      <c r="B154" s="15" t="str">
        <f>image("https://imgur.com/fd8J4nx.png")</f>
        <v/>
      </c>
      <c r="C154" s="15">
        <v>1000.0</v>
      </c>
      <c r="D154" s="15">
        <v>250.0</v>
      </c>
      <c r="E154" s="13" t="s">
        <v>2360</v>
      </c>
      <c r="F154" s="15">
        <v>10514.0</v>
      </c>
      <c r="G154" s="15" t="s">
        <v>1614</v>
      </c>
      <c r="H154" s="15" t="s">
        <v>464</v>
      </c>
    </row>
    <row r="155" ht="56.25" customHeight="1">
      <c r="A155" s="23" t="s">
        <v>2600</v>
      </c>
      <c r="B155" s="15" t="str">
        <f>image("https://imgur.com/YUIhBAK.png")</f>
        <v/>
      </c>
      <c r="C155" s="15">
        <v>1000.0</v>
      </c>
      <c r="D155" s="15">
        <v>250.0</v>
      </c>
      <c r="E155" s="13" t="s">
        <v>2360</v>
      </c>
      <c r="F155" s="15">
        <v>10500.0</v>
      </c>
      <c r="G155" s="15" t="s">
        <v>369</v>
      </c>
      <c r="H155" s="15" t="s">
        <v>211</v>
      </c>
    </row>
    <row r="156" ht="56.25" customHeight="1">
      <c r="A156" s="23" t="s">
        <v>2602</v>
      </c>
      <c r="B156" s="15" t="str">
        <f>image("https://imgur.com/ww5N3Fc.png")</f>
        <v/>
      </c>
      <c r="C156" s="15">
        <v>1000.0</v>
      </c>
      <c r="D156" s="15">
        <v>250.0</v>
      </c>
      <c r="E156" s="13" t="s">
        <v>2360</v>
      </c>
      <c r="F156" s="15">
        <v>10781.0</v>
      </c>
      <c r="G156" s="15" t="s">
        <v>107</v>
      </c>
      <c r="H156" s="15" t="s">
        <v>464</v>
      </c>
    </row>
    <row r="157" ht="56.25" customHeight="1">
      <c r="A157" s="23" t="s">
        <v>2603</v>
      </c>
      <c r="B157" s="15" t="str">
        <f>image("https://imgur.com/XANUxDX.png")</f>
        <v/>
      </c>
      <c r="C157" s="15">
        <v>1000.0</v>
      </c>
      <c r="D157" s="15">
        <v>250.0</v>
      </c>
      <c r="E157" s="13" t="s">
        <v>2360</v>
      </c>
      <c r="F157" s="15">
        <v>10455.0</v>
      </c>
      <c r="G157" s="15" t="s">
        <v>208</v>
      </c>
      <c r="H157" s="15" t="s">
        <v>211</v>
      </c>
    </row>
    <row r="158" ht="56.25" customHeight="1">
      <c r="A158" s="23" t="s">
        <v>2605</v>
      </c>
      <c r="B158" s="15" t="str">
        <f>image("https://imgur.com/2OSe9Q9.png")</f>
        <v/>
      </c>
      <c r="C158" s="15">
        <v>1000.0</v>
      </c>
      <c r="D158" s="15">
        <v>250.0</v>
      </c>
      <c r="E158" s="13" t="s">
        <v>2360</v>
      </c>
      <c r="F158" s="15">
        <v>10424.0</v>
      </c>
      <c r="G158" s="15" t="s">
        <v>107</v>
      </c>
      <c r="H158" s="15" t="s">
        <v>118</v>
      </c>
    </row>
    <row r="159" ht="56.25" customHeight="1">
      <c r="A159" s="23" t="s">
        <v>2607</v>
      </c>
      <c r="B159" s="15" t="str">
        <f>image("https://imgur.com/s0ANlIU.png")</f>
        <v/>
      </c>
      <c r="C159" s="15">
        <v>1000.0</v>
      </c>
      <c r="D159" s="15">
        <v>250.0</v>
      </c>
      <c r="E159" s="13" t="s">
        <v>2360</v>
      </c>
      <c r="F159" s="15">
        <v>10457.0</v>
      </c>
      <c r="G159" s="15" t="s">
        <v>112</v>
      </c>
      <c r="H159" s="15" t="s">
        <v>82</v>
      </c>
    </row>
    <row r="160" ht="56.25" customHeight="1">
      <c r="A160" s="23" t="s">
        <v>2608</v>
      </c>
      <c r="B160" s="15" t="str">
        <f>image("https://imgur.com/VwsJurA.png")</f>
        <v/>
      </c>
      <c r="C160" s="15">
        <v>1000.0</v>
      </c>
      <c r="D160" s="15">
        <v>250.0</v>
      </c>
      <c r="E160" s="13" t="s">
        <v>2360</v>
      </c>
      <c r="F160" s="15">
        <v>10545.0</v>
      </c>
      <c r="G160" s="15" t="s">
        <v>211</v>
      </c>
      <c r="H160" s="15" t="s">
        <v>208</v>
      </c>
    </row>
    <row r="161" ht="56.25" customHeight="1">
      <c r="A161" s="23" t="s">
        <v>2610</v>
      </c>
      <c r="B161" s="15" t="str">
        <f>image("https://imgur.com/XiCdrT3.png")</f>
        <v/>
      </c>
      <c r="C161" s="15">
        <v>1000.0</v>
      </c>
      <c r="D161" s="15">
        <v>250.0</v>
      </c>
      <c r="E161" s="13" t="s">
        <v>2360</v>
      </c>
      <c r="F161" s="15">
        <v>10598.0</v>
      </c>
      <c r="G161" s="15" t="s">
        <v>369</v>
      </c>
      <c r="H161" s="15" t="s">
        <v>369</v>
      </c>
    </row>
    <row r="162" ht="56.25" customHeight="1">
      <c r="A162" s="23" t="s">
        <v>2611</v>
      </c>
      <c r="B162" s="15" t="str">
        <f>image("https://imgur.com/O3eOilr.png")</f>
        <v/>
      </c>
      <c r="C162" s="15">
        <v>1000.0</v>
      </c>
      <c r="D162" s="15">
        <v>250.0</v>
      </c>
      <c r="E162" s="13" t="s">
        <v>2360</v>
      </c>
      <c r="F162" s="15">
        <v>10352.0</v>
      </c>
      <c r="G162" s="15" t="s">
        <v>464</v>
      </c>
      <c r="H162" s="15" t="s">
        <v>464</v>
      </c>
    </row>
    <row r="163" ht="56.25" customHeight="1">
      <c r="A163" s="23" t="s">
        <v>2612</v>
      </c>
      <c r="B163" s="15" t="str">
        <f>image("https://imgur.com/SFnhomw.png")</f>
        <v/>
      </c>
      <c r="C163" s="15">
        <v>1000.0</v>
      </c>
      <c r="D163" s="15">
        <v>250.0</v>
      </c>
      <c r="E163" s="13" t="s">
        <v>2360</v>
      </c>
      <c r="F163" s="15">
        <v>10386.0</v>
      </c>
      <c r="G163" s="15" t="s">
        <v>82</v>
      </c>
      <c r="H163" s="15" t="s">
        <v>208</v>
      </c>
    </row>
    <row r="164" ht="56.25" customHeight="1">
      <c r="A164" s="23" t="s">
        <v>2614</v>
      </c>
      <c r="B164" s="15" t="str">
        <f>image("https://imgur.com/gpsmCDl.png")</f>
        <v/>
      </c>
      <c r="C164" s="15">
        <v>1000.0</v>
      </c>
      <c r="D164" s="15">
        <v>250.0</v>
      </c>
      <c r="E164" s="13" t="s">
        <v>2360</v>
      </c>
      <c r="F164" s="15">
        <v>10482.0</v>
      </c>
      <c r="G164" s="15" t="s">
        <v>107</v>
      </c>
      <c r="H164" s="15" t="s">
        <v>1614</v>
      </c>
    </row>
    <row r="165" ht="56.25" customHeight="1">
      <c r="A165" s="23" t="s">
        <v>2615</v>
      </c>
      <c r="B165" s="15" t="str">
        <f>image("https://imgur.com/AyHmwfh.png")</f>
        <v/>
      </c>
      <c r="C165" s="15">
        <v>1000.0</v>
      </c>
      <c r="D165" s="15">
        <v>250.0</v>
      </c>
      <c r="E165" s="13" t="s">
        <v>2360</v>
      </c>
      <c r="F165" s="15">
        <v>10479.0</v>
      </c>
      <c r="G165" s="15" t="s">
        <v>211</v>
      </c>
      <c r="H165" s="15" t="s">
        <v>99</v>
      </c>
    </row>
    <row r="166" ht="56.25" customHeight="1">
      <c r="A166" s="23" t="s">
        <v>2617</v>
      </c>
      <c r="B166" s="15" t="str">
        <f>image("https://imgur.com/5pvge3j.png")</f>
        <v/>
      </c>
      <c r="C166" s="15">
        <v>1000.0</v>
      </c>
      <c r="D166" s="15">
        <v>250.0</v>
      </c>
      <c r="E166" s="13" t="s">
        <v>2360</v>
      </c>
      <c r="F166" s="15">
        <v>10596.0</v>
      </c>
      <c r="G166" s="15" t="s">
        <v>107</v>
      </c>
      <c r="H166" s="15" t="s">
        <v>107</v>
      </c>
    </row>
    <row r="167" ht="56.25" customHeight="1">
      <c r="A167" s="23" t="s">
        <v>2619</v>
      </c>
      <c r="B167" s="15" t="str">
        <f>image("https://imgur.com/oNqQdPl.png")</f>
        <v/>
      </c>
      <c r="C167" s="15">
        <v>1000.0</v>
      </c>
      <c r="D167" s="15">
        <v>250.0</v>
      </c>
      <c r="E167" s="13" t="s">
        <v>2360</v>
      </c>
      <c r="F167" s="15">
        <v>10469.0</v>
      </c>
      <c r="G167" s="15" t="s">
        <v>82</v>
      </c>
      <c r="H167" s="15" t="s">
        <v>118</v>
      </c>
    </row>
    <row r="168" ht="56.25" customHeight="1">
      <c r="A168" s="23" t="s">
        <v>2620</v>
      </c>
      <c r="B168" s="15" t="str">
        <f>image("https://imgur.com/PLLUI99.png")</f>
        <v/>
      </c>
      <c r="C168" s="15">
        <v>1000.0</v>
      </c>
      <c r="D168" s="15">
        <v>250.0</v>
      </c>
      <c r="E168" s="13" t="s">
        <v>2360</v>
      </c>
      <c r="F168" s="15">
        <v>10657.0</v>
      </c>
      <c r="G168" s="15" t="s">
        <v>464</v>
      </c>
      <c r="H168" s="15" t="s">
        <v>99</v>
      </c>
    </row>
    <row r="169" ht="56.25" customHeight="1">
      <c r="A169" s="23" t="s">
        <v>2622</v>
      </c>
      <c r="B169" s="15" t="str">
        <f>image("https://imgur.com/KcriWoc.png")</f>
        <v/>
      </c>
      <c r="C169" s="15">
        <v>1000.0</v>
      </c>
      <c r="D169" s="15">
        <v>250.0</v>
      </c>
      <c r="E169" s="13" t="s">
        <v>2360</v>
      </c>
      <c r="F169" s="15">
        <v>10422.0</v>
      </c>
      <c r="G169" s="15" t="s">
        <v>99</v>
      </c>
      <c r="H169" s="15" t="s">
        <v>208</v>
      </c>
    </row>
    <row r="170" ht="56.25" customHeight="1">
      <c r="A170" s="23" t="s">
        <v>2623</v>
      </c>
      <c r="B170" s="15" t="str">
        <f>image("https://imgur.com/9As1sfq.png")</f>
        <v/>
      </c>
      <c r="C170" s="15">
        <v>1000.0</v>
      </c>
      <c r="D170" s="15">
        <v>250.0</v>
      </c>
      <c r="E170" s="13" t="s">
        <v>2360</v>
      </c>
      <c r="F170" s="15">
        <v>10586.0</v>
      </c>
      <c r="G170" s="15" t="s">
        <v>464</v>
      </c>
      <c r="H170" s="15" t="s">
        <v>99</v>
      </c>
    </row>
    <row r="171" ht="56.25" customHeight="1">
      <c r="A171" s="23" t="s">
        <v>2625</v>
      </c>
      <c r="B171" s="15" t="str">
        <f>image("https://imgur.com/HdWpd73.png")</f>
        <v/>
      </c>
      <c r="C171" s="15">
        <v>1000.0</v>
      </c>
      <c r="D171" s="15">
        <v>250.0</v>
      </c>
      <c r="E171" s="13" t="s">
        <v>2360</v>
      </c>
      <c r="F171" s="15">
        <v>10523.0</v>
      </c>
      <c r="G171" s="15" t="s">
        <v>211</v>
      </c>
      <c r="H171" s="15" t="s">
        <v>118</v>
      </c>
    </row>
    <row r="172" ht="56.25" customHeight="1">
      <c r="A172" s="23" t="s">
        <v>2626</v>
      </c>
      <c r="B172" s="15" t="str">
        <f>image("https://imgur.com/2BEZhU6.png")</f>
        <v/>
      </c>
      <c r="C172" s="15">
        <v>1000.0</v>
      </c>
      <c r="D172" s="15">
        <v>250.0</v>
      </c>
      <c r="E172" s="13" t="s">
        <v>2360</v>
      </c>
      <c r="F172" s="15">
        <v>10643.0</v>
      </c>
      <c r="G172" s="15" t="s">
        <v>94</v>
      </c>
      <c r="H172" s="15" t="s">
        <v>118</v>
      </c>
    </row>
    <row r="173" ht="56.25" customHeight="1">
      <c r="A173" s="23" t="s">
        <v>2628</v>
      </c>
      <c r="B173" s="15" t="str">
        <f>image("https://imgur.com/Gxevx1v.png")</f>
        <v/>
      </c>
      <c r="C173" s="15">
        <v>1000.0</v>
      </c>
      <c r="D173" s="15">
        <v>250.0</v>
      </c>
      <c r="E173" s="13" t="s">
        <v>2360</v>
      </c>
      <c r="F173" s="15">
        <v>10694.0</v>
      </c>
      <c r="G173" s="15" t="s">
        <v>82</v>
      </c>
      <c r="H173" s="15" t="s">
        <v>369</v>
      </c>
    </row>
    <row r="174" ht="56.25" customHeight="1">
      <c r="A174" s="23" t="s">
        <v>2630</v>
      </c>
      <c r="B174" s="15" t="str">
        <f>image("https://imgur.com/WIlbbMj.png")</f>
        <v/>
      </c>
      <c r="C174" s="15">
        <v>1000.0</v>
      </c>
      <c r="D174" s="15">
        <v>250.0</v>
      </c>
      <c r="E174" s="13" t="s">
        <v>2360</v>
      </c>
      <c r="F174" s="15">
        <v>10518.0</v>
      </c>
      <c r="G174" s="15" t="s">
        <v>112</v>
      </c>
      <c r="H174" s="15" t="s">
        <v>369</v>
      </c>
    </row>
    <row r="175" ht="56.25" customHeight="1">
      <c r="A175" s="23" t="s">
        <v>2632</v>
      </c>
      <c r="B175" s="15" t="str">
        <f>image("https://imgur.com/XbdO6iL.png")</f>
        <v/>
      </c>
      <c r="C175" s="15">
        <v>1000.0</v>
      </c>
      <c r="D175" s="15">
        <v>250.0</v>
      </c>
      <c r="E175" s="13" t="s">
        <v>2360</v>
      </c>
      <c r="F175" s="15">
        <v>10529.0</v>
      </c>
      <c r="G175" s="15" t="s">
        <v>211</v>
      </c>
      <c r="H175" s="15" t="s">
        <v>99</v>
      </c>
    </row>
    <row r="176" ht="56.25" customHeight="1">
      <c r="A176" s="23" t="s">
        <v>2633</v>
      </c>
      <c r="B176" s="15" t="str">
        <f>image("https://imgur.com/A5mPlYt.png")</f>
        <v/>
      </c>
      <c r="C176" s="15">
        <v>1000.0</v>
      </c>
      <c r="D176" s="15">
        <v>250.0</v>
      </c>
      <c r="E176" s="13" t="s">
        <v>2360</v>
      </c>
      <c r="F176" s="15">
        <v>10436.0</v>
      </c>
      <c r="G176" s="15" t="s">
        <v>369</v>
      </c>
      <c r="H176" s="15" t="s">
        <v>112</v>
      </c>
    </row>
    <row r="177" ht="56.25" customHeight="1">
      <c r="A177" s="23" t="s">
        <v>2634</v>
      </c>
      <c r="B177" s="15" t="str">
        <f>image("https://imgur.com/pX0KpYW.png")</f>
        <v/>
      </c>
      <c r="C177" s="15">
        <v>1000.0</v>
      </c>
      <c r="D177" s="15">
        <v>250.0</v>
      </c>
      <c r="E177" s="13" t="s">
        <v>2360</v>
      </c>
      <c r="F177" s="15">
        <v>10470.0</v>
      </c>
      <c r="G177" s="15" t="s">
        <v>1608</v>
      </c>
      <c r="H177" s="15" t="s">
        <v>99</v>
      </c>
    </row>
    <row r="178" ht="56.25" customHeight="1">
      <c r="A178" s="23" t="s">
        <v>2636</v>
      </c>
      <c r="B178" s="15" t="str">
        <f>image("https://imgur.com/RIeJvYt.png")</f>
        <v/>
      </c>
      <c r="C178" s="15">
        <v>1000.0</v>
      </c>
      <c r="D178" s="15">
        <v>250.0</v>
      </c>
      <c r="E178" s="13" t="s">
        <v>2360</v>
      </c>
      <c r="F178" s="15">
        <v>10806.0</v>
      </c>
      <c r="G178" s="15" t="s">
        <v>99</v>
      </c>
      <c r="H178" s="15" t="s">
        <v>208</v>
      </c>
    </row>
    <row r="179" ht="56.25" customHeight="1">
      <c r="A179" s="23" t="s">
        <v>2637</v>
      </c>
      <c r="B179" s="15" t="str">
        <f>image("https://imgur.com/GTHchxT.png")</f>
        <v/>
      </c>
      <c r="C179" s="15">
        <v>1000.0</v>
      </c>
      <c r="D179" s="15">
        <v>250.0</v>
      </c>
      <c r="E179" s="13" t="s">
        <v>2360</v>
      </c>
      <c r="F179" s="15">
        <v>10380.0</v>
      </c>
      <c r="G179" s="15" t="s">
        <v>112</v>
      </c>
      <c r="H179" s="15" t="s">
        <v>99</v>
      </c>
    </row>
    <row r="180" ht="56.25" customHeight="1">
      <c r="A180" s="23" t="s">
        <v>2638</v>
      </c>
      <c r="B180" s="15" t="str">
        <f>image("https://imgur.com/MlOUjnL.png")</f>
        <v/>
      </c>
      <c r="C180" s="15">
        <v>1000.0</v>
      </c>
      <c r="D180" s="15">
        <v>250.0</v>
      </c>
      <c r="E180" s="13" t="s">
        <v>2360</v>
      </c>
      <c r="F180" s="15">
        <v>10678.0</v>
      </c>
      <c r="G180" s="15" t="s">
        <v>369</v>
      </c>
      <c r="H180" s="15" t="s">
        <v>99</v>
      </c>
    </row>
    <row r="181" ht="56.25" customHeight="1">
      <c r="A181" s="23" t="s">
        <v>2640</v>
      </c>
      <c r="B181" s="15" t="str">
        <f>image("https://imgur.com/YfRepmo.png")</f>
        <v/>
      </c>
      <c r="C181" s="15">
        <v>1000.0</v>
      </c>
      <c r="D181" s="15">
        <v>250.0</v>
      </c>
      <c r="E181" s="13" t="s">
        <v>2360</v>
      </c>
      <c r="F181" s="15">
        <v>10521.0</v>
      </c>
      <c r="G181" s="15" t="s">
        <v>82</v>
      </c>
      <c r="H181" s="15" t="s">
        <v>112</v>
      </c>
    </row>
    <row r="182" ht="56.25" customHeight="1">
      <c r="A182" s="23" t="s">
        <v>2641</v>
      </c>
      <c r="B182" s="15" t="str">
        <f>image("https://imgur.com/rLqsdqL.png")</f>
        <v/>
      </c>
      <c r="C182" s="15">
        <v>1000.0</v>
      </c>
      <c r="D182" s="15">
        <v>250.0</v>
      </c>
      <c r="E182" s="13" t="s">
        <v>2360</v>
      </c>
      <c r="F182" s="15">
        <v>10355.0</v>
      </c>
      <c r="G182" s="15" t="s">
        <v>464</v>
      </c>
      <c r="H182" s="15" t="s">
        <v>369</v>
      </c>
    </row>
    <row r="183" ht="56.25" customHeight="1">
      <c r="A183" s="23" t="s">
        <v>2643</v>
      </c>
      <c r="B183" s="15" t="str">
        <f>image("https://imgur.com/roCIf0F.png")</f>
        <v/>
      </c>
      <c r="C183" s="15">
        <v>1000.0</v>
      </c>
      <c r="D183" s="15">
        <v>250.0</v>
      </c>
      <c r="E183" s="13" t="s">
        <v>2360</v>
      </c>
      <c r="F183" s="15">
        <v>10492.0</v>
      </c>
      <c r="G183" s="15" t="s">
        <v>521</v>
      </c>
      <c r="H183" s="15" t="s">
        <v>1614</v>
      </c>
    </row>
    <row r="184" ht="56.25" customHeight="1">
      <c r="A184" s="23" t="s">
        <v>2646</v>
      </c>
      <c r="B184" s="15" t="str">
        <f>image("https://imgur.com/88a9NeA.png")</f>
        <v/>
      </c>
      <c r="C184" s="15">
        <v>1000.0</v>
      </c>
      <c r="D184" s="15">
        <v>250.0</v>
      </c>
      <c r="E184" s="13" t="s">
        <v>2360</v>
      </c>
      <c r="F184" s="15">
        <v>10423.0</v>
      </c>
      <c r="G184" s="15" t="s">
        <v>99</v>
      </c>
      <c r="H184" s="15" t="s">
        <v>208</v>
      </c>
    </row>
    <row r="185" ht="56.25" customHeight="1">
      <c r="A185" s="23" t="s">
        <v>2647</v>
      </c>
      <c r="B185" s="15" t="str">
        <f>image("https://imgur.com/4jwln3o.png")</f>
        <v/>
      </c>
      <c r="C185" s="15">
        <v>1000.0</v>
      </c>
      <c r="D185" s="15">
        <v>250.0</v>
      </c>
      <c r="E185" s="13" t="s">
        <v>2360</v>
      </c>
      <c r="F185" s="15">
        <v>10460.0</v>
      </c>
      <c r="G185" s="15" t="s">
        <v>1614</v>
      </c>
      <c r="H185" s="15" t="s">
        <v>112</v>
      </c>
    </row>
    <row r="186" ht="56.25" customHeight="1">
      <c r="A186" s="23" t="s">
        <v>2648</v>
      </c>
      <c r="B186" s="15" t="str">
        <f>image("https://imgur.com/zhDKB4k.png")</f>
        <v/>
      </c>
      <c r="C186" s="15">
        <v>1000.0</v>
      </c>
      <c r="D186" s="15">
        <v>250.0</v>
      </c>
      <c r="E186" s="13" t="s">
        <v>2360</v>
      </c>
      <c r="F186" s="15">
        <v>10787.0</v>
      </c>
      <c r="G186" s="15" t="s">
        <v>107</v>
      </c>
      <c r="H186" s="15" t="s">
        <v>1608</v>
      </c>
    </row>
    <row r="187" ht="56.25" customHeight="1">
      <c r="A187" s="23" t="s">
        <v>2650</v>
      </c>
      <c r="B187" s="15" t="str">
        <f>image("https://imgur.com/arEYU0c.png")</f>
        <v/>
      </c>
      <c r="C187" s="15">
        <v>1000.0</v>
      </c>
      <c r="D187" s="15">
        <v>250.0</v>
      </c>
      <c r="E187" s="13" t="s">
        <v>2360</v>
      </c>
      <c r="F187" s="15">
        <v>10353.0</v>
      </c>
      <c r="G187" s="15" t="s">
        <v>211</v>
      </c>
      <c r="H187" s="15" t="s">
        <v>99</v>
      </c>
    </row>
    <row r="188" ht="56.25" customHeight="1">
      <c r="A188" s="23" t="s">
        <v>2651</v>
      </c>
      <c r="B188" s="15" t="str">
        <f>image("https://imgur.com/EnD3g1Q.png")</f>
        <v/>
      </c>
      <c r="C188" s="15">
        <v>1000.0</v>
      </c>
      <c r="D188" s="15">
        <v>250.0</v>
      </c>
      <c r="E188" s="13" t="s">
        <v>2360</v>
      </c>
      <c r="F188" s="15">
        <v>10466.0</v>
      </c>
      <c r="G188" s="15" t="s">
        <v>521</v>
      </c>
      <c r="H188" s="15" t="s">
        <v>208</v>
      </c>
    </row>
    <row r="189" ht="56.25" customHeight="1">
      <c r="A189" s="23" t="s">
        <v>2653</v>
      </c>
      <c r="B189" s="15" t="str">
        <f>image("https://imgur.com/nCrNdCY.png")</f>
        <v/>
      </c>
      <c r="C189" s="15">
        <v>1000.0</v>
      </c>
      <c r="D189" s="15">
        <v>250.0</v>
      </c>
      <c r="E189" s="13" t="s">
        <v>2360</v>
      </c>
      <c r="F189" s="15">
        <v>11121.0</v>
      </c>
      <c r="G189" s="15" t="s">
        <v>208</v>
      </c>
      <c r="H189" s="15" t="s">
        <v>258</v>
      </c>
    </row>
    <row r="190" ht="56.25" customHeight="1">
      <c r="A190" s="23" t="s">
        <v>2654</v>
      </c>
      <c r="B190" s="15" t="str">
        <f>image("https://imgur.com/VUl20Gi.png")</f>
        <v/>
      </c>
      <c r="C190" s="15">
        <v>1000.0</v>
      </c>
      <c r="D190" s="15">
        <v>250.0</v>
      </c>
      <c r="E190" s="13" t="s">
        <v>2360</v>
      </c>
      <c r="F190" s="15">
        <v>10321.0</v>
      </c>
      <c r="G190" s="15" t="s">
        <v>369</v>
      </c>
      <c r="H190" s="15" t="s">
        <v>1608</v>
      </c>
    </row>
    <row r="191" ht="56.25" customHeight="1">
      <c r="A191" s="23" t="s">
        <v>2655</v>
      </c>
      <c r="B191" s="15" t="str">
        <f>image("https://imgur.com/ouW3GGe.png")</f>
        <v/>
      </c>
      <c r="C191" s="15">
        <v>1000.0</v>
      </c>
      <c r="D191" s="15">
        <v>250.0</v>
      </c>
      <c r="E191" s="13" t="s">
        <v>2360</v>
      </c>
      <c r="F191" s="15">
        <v>10588.0</v>
      </c>
      <c r="G191" s="15" t="s">
        <v>211</v>
      </c>
      <c r="H191" s="15" t="s">
        <v>521</v>
      </c>
    </row>
    <row r="192" ht="56.25" customHeight="1">
      <c r="A192" s="23" t="s">
        <v>2657</v>
      </c>
      <c r="B192" s="15" t="str">
        <f>image("https://imgur.com/0knwB8g.png")</f>
        <v/>
      </c>
      <c r="C192" s="15">
        <v>1000.0</v>
      </c>
      <c r="D192" s="15">
        <v>250.0</v>
      </c>
      <c r="E192" s="13" t="s">
        <v>2360</v>
      </c>
      <c r="F192" s="15">
        <v>10604.0</v>
      </c>
      <c r="G192" s="15" t="s">
        <v>1614</v>
      </c>
      <c r="H192" s="15" t="s">
        <v>211</v>
      </c>
    </row>
    <row r="193" ht="56.25" customHeight="1">
      <c r="A193" s="23" t="s">
        <v>2658</v>
      </c>
      <c r="B193" s="15" t="str">
        <f>image("https://imgur.com/DCVjayd.png")</f>
        <v/>
      </c>
      <c r="C193" s="15">
        <v>1000.0</v>
      </c>
      <c r="D193" s="15">
        <v>250.0</v>
      </c>
      <c r="E193" s="13" t="s">
        <v>2360</v>
      </c>
      <c r="F193" s="15">
        <v>10408.0</v>
      </c>
      <c r="G193" s="15" t="s">
        <v>99</v>
      </c>
      <c r="H193" s="15" t="s">
        <v>211</v>
      </c>
    </row>
    <row r="194" ht="56.25" customHeight="1">
      <c r="A194" s="23" t="s">
        <v>2660</v>
      </c>
      <c r="B194" s="15" t="str">
        <f>image("https://imgur.com/HTEhzko.png")</f>
        <v/>
      </c>
      <c r="C194" s="15">
        <v>1000.0</v>
      </c>
      <c r="D194" s="15">
        <v>250.0</v>
      </c>
      <c r="E194" s="13" t="s">
        <v>2360</v>
      </c>
      <c r="F194" s="15">
        <v>10608.0</v>
      </c>
      <c r="G194" s="15" t="s">
        <v>112</v>
      </c>
      <c r="H194" s="15" t="s">
        <v>369</v>
      </c>
    </row>
    <row r="195" ht="56.25" customHeight="1">
      <c r="A195" s="23" t="s">
        <v>2662</v>
      </c>
      <c r="B195" s="15" t="str">
        <f>image("https://imgur.com/FqIXC0W.png")</f>
        <v/>
      </c>
      <c r="C195" s="15">
        <v>1000.0</v>
      </c>
      <c r="D195" s="15">
        <v>250.0</v>
      </c>
      <c r="E195" s="13" t="s">
        <v>2360</v>
      </c>
      <c r="F195" s="15">
        <v>10611.0</v>
      </c>
      <c r="G195" s="15" t="s">
        <v>94</v>
      </c>
      <c r="H195" s="15" t="s">
        <v>208</v>
      </c>
    </row>
    <row r="196" ht="56.25" customHeight="1">
      <c r="A196" s="23" t="s">
        <v>2664</v>
      </c>
      <c r="B196" s="15" t="str">
        <f>image("https://imgur.com/KgMzQ3L.png")</f>
        <v/>
      </c>
      <c r="C196" s="15">
        <v>1000.0</v>
      </c>
      <c r="D196" s="15">
        <v>250.0</v>
      </c>
      <c r="E196" s="13" t="s">
        <v>2360</v>
      </c>
      <c r="F196" s="15">
        <v>10407.0</v>
      </c>
      <c r="G196" s="15" t="s">
        <v>112</v>
      </c>
      <c r="H196" s="15" t="s">
        <v>369</v>
      </c>
    </row>
    <row r="197" ht="56.25" customHeight="1">
      <c r="A197" s="23" t="s">
        <v>2665</v>
      </c>
      <c r="B197" s="15" t="str">
        <f>image("https://imgur.com/mhlRmUg.png")</f>
        <v/>
      </c>
      <c r="C197" s="15">
        <v>1000.0</v>
      </c>
      <c r="D197" s="15">
        <v>250.0</v>
      </c>
      <c r="E197" s="13" t="s">
        <v>2360</v>
      </c>
      <c r="F197" s="15">
        <v>10602.0</v>
      </c>
      <c r="G197" s="15" t="s">
        <v>82</v>
      </c>
      <c r="H197" s="15" t="s">
        <v>208</v>
      </c>
    </row>
    <row r="198" ht="56.25" customHeight="1">
      <c r="A198" s="23" t="s">
        <v>2666</v>
      </c>
      <c r="B198" s="15" t="str">
        <f>image("https://imgur.com/Dt1XvxR.png")</f>
        <v/>
      </c>
      <c r="C198" s="15">
        <v>1000.0</v>
      </c>
      <c r="D198" s="15">
        <v>250.0</v>
      </c>
      <c r="E198" s="13" t="s">
        <v>2360</v>
      </c>
      <c r="F198" s="15">
        <v>10650.0</v>
      </c>
      <c r="G198" s="15" t="s">
        <v>118</v>
      </c>
      <c r="H198" s="15" t="s">
        <v>94</v>
      </c>
    </row>
    <row r="199" ht="56.25" customHeight="1">
      <c r="A199" s="23" t="s">
        <v>2668</v>
      </c>
      <c r="B199" s="15" t="str">
        <f>image("https://imgur.com/FlhTmA6.png")</f>
        <v/>
      </c>
      <c r="C199" s="15">
        <v>1000.0</v>
      </c>
      <c r="D199" s="15">
        <v>250.0</v>
      </c>
      <c r="E199" s="13" t="s">
        <v>2360</v>
      </c>
      <c r="F199" s="15">
        <v>10312.0</v>
      </c>
      <c r="G199" s="15" t="s">
        <v>211</v>
      </c>
      <c r="H199" s="15" t="s">
        <v>369</v>
      </c>
    </row>
    <row r="200" ht="56.25" customHeight="1">
      <c r="A200" s="23" t="s">
        <v>2669</v>
      </c>
      <c r="B200" s="15" t="str">
        <f>image("https://imgur.com/68DlZnS.png")</f>
        <v/>
      </c>
      <c r="C200" s="15">
        <v>1000.0</v>
      </c>
      <c r="D200" s="15">
        <v>250.0</v>
      </c>
      <c r="E200" s="13" t="s">
        <v>2360</v>
      </c>
      <c r="F200" s="15">
        <v>10346.0</v>
      </c>
      <c r="G200" s="15" t="s">
        <v>521</v>
      </c>
      <c r="H200" s="15" t="s">
        <v>99</v>
      </c>
    </row>
    <row r="201" ht="56.25" customHeight="1">
      <c r="A201" s="37" t="s">
        <v>2671</v>
      </c>
      <c r="B201" s="15" t="str">
        <f>image("https://imgur.com/EQ1lant.png")</f>
        <v/>
      </c>
      <c r="C201" s="25">
        <v>1000.0</v>
      </c>
      <c r="D201" s="25">
        <v>250.0</v>
      </c>
      <c r="E201" s="13" t="s">
        <v>2360</v>
      </c>
      <c r="F201" s="15">
        <v>10804.0</v>
      </c>
      <c r="G201" s="15" t="s">
        <v>464</v>
      </c>
      <c r="H201" s="15" t="s">
        <v>99</v>
      </c>
    </row>
    <row r="202" ht="56.25" customHeight="1">
      <c r="A202" s="23" t="s">
        <v>2673</v>
      </c>
      <c r="B202" s="15" t="str">
        <f>image("https://imgur.com/jwkUwnf.png")</f>
        <v/>
      </c>
      <c r="C202" s="15">
        <v>1000.0</v>
      </c>
      <c r="D202" s="15">
        <v>250.0</v>
      </c>
      <c r="E202" s="13" t="s">
        <v>2360</v>
      </c>
      <c r="F202" s="15">
        <v>10617.0</v>
      </c>
      <c r="G202" s="15" t="s">
        <v>369</v>
      </c>
      <c r="H202" s="15" t="s">
        <v>107</v>
      </c>
    </row>
    <row r="203" ht="56.25" customHeight="1">
      <c r="A203" s="23" t="s">
        <v>2675</v>
      </c>
      <c r="B203" s="15" t="str">
        <f>image("https://imgur.com/fdUfTQb.png")</f>
        <v/>
      </c>
      <c r="C203" s="15">
        <v>1000.0</v>
      </c>
      <c r="D203" s="15">
        <v>250.0</v>
      </c>
      <c r="E203" s="13" t="s">
        <v>2360</v>
      </c>
      <c r="F203" s="15">
        <v>10404.0</v>
      </c>
      <c r="G203" s="15" t="s">
        <v>112</v>
      </c>
      <c r="H203" s="15" t="s">
        <v>369</v>
      </c>
    </row>
    <row r="204" ht="56.25" customHeight="1">
      <c r="A204" s="23" t="s">
        <v>2677</v>
      </c>
      <c r="B204" s="15" t="str">
        <f>image("https://imgur.com/WcfrgFR.png")</f>
        <v/>
      </c>
      <c r="C204" s="15">
        <v>1000.0</v>
      </c>
      <c r="D204" s="15">
        <v>250.0</v>
      </c>
      <c r="E204" s="13" t="s">
        <v>2360</v>
      </c>
      <c r="F204" s="15">
        <v>10688.0</v>
      </c>
      <c r="G204" s="15" t="s">
        <v>112</v>
      </c>
      <c r="H204" s="15" t="s">
        <v>521</v>
      </c>
    </row>
    <row r="205" ht="56.25" customHeight="1">
      <c r="A205" s="23" t="s">
        <v>2678</v>
      </c>
      <c r="B205" s="15" t="str">
        <f>image("https://imgur.com/4dWyvii.png")</f>
        <v/>
      </c>
      <c r="C205" s="15">
        <v>1000.0</v>
      </c>
      <c r="D205" s="15">
        <v>250.0</v>
      </c>
      <c r="E205" s="13" t="s">
        <v>2360</v>
      </c>
      <c r="F205" s="15">
        <v>10439.0</v>
      </c>
      <c r="G205" s="15" t="s">
        <v>118</v>
      </c>
      <c r="H205" s="15" t="s">
        <v>258</v>
      </c>
    </row>
    <row r="206" ht="56.25" customHeight="1">
      <c r="A206" s="23" t="s">
        <v>2679</v>
      </c>
      <c r="B206" s="15" t="str">
        <f>image("https://imgur.com/LTPATS7.png")</f>
        <v/>
      </c>
      <c r="C206" s="15">
        <v>1000.0</v>
      </c>
      <c r="D206" s="15">
        <v>250.0</v>
      </c>
      <c r="E206" s="13" t="s">
        <v>2360</v>
      </c>
      <c r="F206" s="15">
        <v>10818.0</v>
      </c>
      <c r="G206" s="15" t="s">
        <v>369</v>
      </c>
      <c r="H206" s="15" t="s">
        <v>1614</v>
      </c>
    </row>
    <row r="207" ht="56.25" customHeight="1">
      <c r="A207" s="23" t="s">
        <v>2681</v>
      </c>
      <c r="B207" s="15" t="str">
        <f>image("https://imgur.com/EcFShPR.png")</f>
        <v/>
      </c>
      <c r="C207" s="15">
        <v>1000.0</v>
      </c>
      <c r="D207" s="15">
        <v>250.0</v>
      </c>
      <c r="E207" s="13" t="s">
        <v>2360</v>
      </c>
      <c r="F207" s="15">
        <v>10430.0</v>
      </c>
      <c r="G207" s="15" t="s">
        <v>118</v>
      </c>
      <c r="H207" s="15" t="s">
        <v>112</v>
      </c>
    </row>
    <row r="208" ht="56.25" customHeight="1">
      <c r="A208" s="23" t="s">
        <v>2682</v>
      </c>
      <c r="B208" s="15" t="str">
        <f>image("https://imgur.com/RKIAVrb.png")</f>
        <v/>
      </c>
      <c r="C208" s="15">
        <v>1000.0</v>
      </c>
      <c r="D208" s="15">
        <v>250.0</v>
      </c>
      <c r="E208" s="13" t="s">
        <v>2360</v>
      </c>
      <c r="F208" s="15">
        <v>10483.0</v>
      </c>
      <c r="G208" s="15" t="s">
        <v>211</v>
      </c>
      <c r="H208" s="15" t="s">
        <v>1614</v>
      </c>
    </row>
    <row r="209" ht="56.25" customHeight="1">
      <c r="A209" s="23" t="s">
        <v>2684</v>
      </c>
      <c r="B209" s="15" t="str">
        <f>image("https://imgur.com/wcSes5k.png")</f>
        <v/>
      </c>
      <c r="C209" s="15">
        <v>1000.0</v>
      </c>
      <c r="D209" s="15">
        <v>250.0</v>
      </c>
      <c r="E209" s="13" t="s">
        <v>2360</v>
      </c>
      <c r="F209" s="15">
        <v>10858.0</v>
      </c>
      <c r="G209" s="15" t="s">
        <v>107</v>
      </c>
      <c r="H209" s="15" t="s">
        <v>464</v>
      </c>
    </row>
    <row r="210" ht="56.25" customHeight="1">
      <c r="A210" s="23" t="s">
        <v>2685</v>
      </c>
      <c r="B210" s="15" t="str">
        <f>image("https://imgur.com/aNBvAsD.png")</f>
        <v/>
      </c>
      <c r="C210" s="15">
        <v>1000.0</v>
      </c>
      <c r="D210" s="15">
        <v>250.0</v>
      </c>
      <c r="E210" s="13" t="s">
        <v>2360</v>
      </c>
      <c r="F210" s="15">
        <v>10630.0</v>
      </c>
      <c r="G210" s="15" t="s">
        <v>112</v>
      </c>
      <c r="H210" s="15" t="s">
        <v>369</v>
      </c>
    </row>
    <row r="211" ht="56.25" customHeight="1">
      <c r="A211" s="23" t="s">
        <v>2687</v>
      </c>
      <c r="B211" s="15" t="str">
        <f>image("https://imgur.com/hzpUJbe.png")</f>
        <v/>
      </c>
      <c r="C211" s="15">
        <v>1000.0</v>
      </c>
      <c r="D211" s="15">
        <v>250.0</v>
      </c>
      <c r="E211" s="13" t="s">
        <v>2360</v>
      </c>
      <c r="F211" s="15">
        <v>10402.0</v>
      </c>
      <c r="G211" s="15" t="s">
        <v>1614</v>
      </c>
      <c r="H211" s="15" t="s">
        <v>208</v>
      </c>
    </row>
    <row r="212" ht="56.25" customHeight="1">
      <c r="A212" s="23" t="s">
        <v>2688</v>
      </c>
      <c r="B212" s="15" t="str">
        <f>image("https://imgur.com/qV2I3ac.png")</f>
        <v/>
      </c>
      <c r="C212" s="15">
        <v>1000.0</v>
      </c>
      <c r="D212" s="15">
        <v>250.0</v>
      </c>
      <c r="E212" s="13" t="s">
        <v>2360</v>
      </c>
      <c r="F212" s="15">
        <v>10605.0</v>
      </c>
      <c r="G212" s="15" t="s">
        <v>118</v>
      </c>
      <c r="H212" s="15" t="s">
        <v>208</v>
      </c>
    </row>
    <row r="213" ht="56.25" customHeight="1">
      <c r="A213" s="23" t="s">
        <v>2690</v>
      </c>
      <c r="B213" s="15" t="str">
        <f>image("https://imgur.com/QDDzGLn.png")</f>
        <v/>
      </c>
      <c r="C213" s="15">
        <v>1000.0</v>
      </c>
      <c r="D213" s="15">
        <v>250.0</v>
      </c>
      <c r="E213" s="13" t="s">
        <v>2360</v>
      </c>
      <c r="F213" s="15">
        <v>10331.0</v>
      </c>
      <c r="G213" s="15" t="s">
        <v>82</v>
      </c>
      <c r="H213" s="15" t="s">
        <v>99</v>
      </c>
    </row>
    <row r="214" ht="56.25" customHeight="1">
      <c r="A214" s="23" t="s">
        <v>2692</v>
      </c>
      <c r="B214" s="15" t="str">
        <f>image("https://imgur.com/lWrXHGP.png")</f>
        <v/>
      </c>
      <c r="C214" s="15">
        <v>1000.0</v>
      </c>
      <c r="D214" s="15">
        <v>250.0</v>
      </c>
      <c r="E214" s="13" t="s">
        <v>2360</v>
      </c>
      <c r="F214" s="15">
        <v>10817.0</v>
      </c>
      <c r="G214" s="15" t="s">
        <v>82</v>
      </c>
      <c r="H214" s="15" t="s">
        <v>258</v>
      </c>
    </row>
    <row r="215" ht="56.25" customHeight="1">
      <c r="A215" s="23" t="s">
        <v>2694</v>
      </c>
      <c r="B215" s="15" t="str">
        <f>image("https://imgur.com/ft02H12.png")</f>
        <v/>
      </c>
      <c r="C215" s="15">
        <v>1000.0</v>
      </c>
      <c r="D215" s="15">
        <v>250.0</v>
      </c>
      <c r="E215" s="13" t="s">
        <v>2360</v>
      </c>
      <c r="F215" s="15">
        <v>10354.0</v>
      </c>
      <c r="G215" s="15" t="s">
        <v>369</v>
      </c>
      <c r="H215" s="15" t="s">
        <v>112</v>
      </c>
    </row>
    <row r="216" ht="56.25" customHeight="1">
      <c r="A216" s="23" t="s">
        <v>2695</v>
      </c>
      <c r="B216" s="15" t="str">
        <f>image("https://imgur.com/5T4i73u.png")</f>
        <v/>
      </c>
      <c r="C216" s="15">
        <v>1000.0</v>
      </c>
      <c r="D216" s="15">
        <v>250.0</v>
      </c>
      <c r="E216" s="13" t="s">
        <v>2360</v>
      </c>
      <c r="F216" s="15">
        <v>10337.0</v>
      </c>
      <c r="G216" s="15" t="s">
        <v>211</v>
      </c>
      <c r="H216" s="15" t="s">
        <v>1614</v>
      </c>
    </row>
    <row r="217" ht="56.25" customHeight="1">
      <c r="A217" s="23" t="s">
        <v>2697</v>
      </c>
      <c r="B217" s="15" t="str">
        <f>image("https://imgur.com/tltDfUQ.png")</f>
        <v/>
      </c>
      <c r="C217" s="15">
        <v>1000.0</v>
      </c>
      <c r="D217" s="15">
        <v>250.0</v>
      </c>
      <c r="E217" s="13" t="s">
        <v>2360</v>
      </c>
      <c r="F217" s="15">
        <v>10517.0</v>
      </c>
      <c r="G217" s="15" t="s">
        <v>99</v>
      </c>
      <c r="H217" s="15" t="s">
        <v>1614</v>
      </c>
    </row>
    <row r="218" ht="56.25" customHeight="1">
      <c r="A218" s="23" t="s">
        <v>2698</v>
      </c>
      <c r="B218" s="15" t="str">
        <f>image("https://imgur.com/r785CGx.png")</f>
        <v/>
      </c>
      <c r="C218" s="15">
        <v>1000.0</v>
      </c>
      <c r="D218" s="15">
        <v>250.0</v>
      </c>
      <c r="E218" s="13" t="s">
        <v>2360</v>
      </c>
      <c r="F218" s="15">
        <v>10528.0</v>
      </c>
      <c r="G218" s="15" t="s">
        <v>118</v>
      </c>
      <c r="H218" s="15" t="s">
        <v>99</v>
      </c>
    </row>
    <row r="219" ht="56.25" customHeight="1">
      <c r="A219" s="23" t="s">
        <v>2700</v>
      </c>
      <c r="B219" s="15" t="str">
        <f>image("https://imgur.com/NDUf8PY.png")</f>
        <v/>
      </c>
      <c r="C219" s="15">
        <v>1000.0</v>
      </c>
      <c r="D219" s="15">
        <v>250.0</v>
      </c>
      <c r="E219" s="13" t="s">
        <v>2360</v>
      </c>
      <c r="F219" s="15">
        <v>10421.0</v>
      </c>
      <c r="G219" s="15" t="s">
        <v>1614</v>
      </c>
      <c r="H219" s="15" t="s">
        <v>211</v>
      </c>
    </row>
    <row r="220" ht="56.25" customHeight="1">
      <c r="A220" s="23" t="s">
        <v>2701</v>
      </c>
      <c r="B220" s="15" t="str">
        <f>image("https://imgur.com/Xa6MPCo.png")</f>
        <v/>
      </c>
      <c r="C220" s="15">
        <v>1000.0</v>
      </c>
      <c r="D220" s="15">
        <v>250.0</v>
      </c>
      <c r="E220" s="13" t="s">
        <v>2360</v>
      </c>
      <c r="F220" s="15">
        <v>10445.0</v>
      </c>
      <c r="G220" s="15" t="s">
        <v>112</v>
      </c>
      <c r="H220" s="15" t="s">
        <v>99</v>
      </c>
    </row>
    <row r="221" ht="56.25" customHeight="1">
      <c r="A221" s="23" t="s">
        <v>2703</v>
      </c>
      <c r="B221" s="15" t="str">
        <f>image("https://imgur.com/6PJ8xry.png")</f>
        <v/>
      </c>
      <c r="C221" s="15">
        <v>1000.0</v>
      </c>
      <c r="D221" s="15">
        <v>250.0</v>
      </c>
      <c r="E221" s="13" t="s">
        <v>2360</v>
      </c>
      <c r="F221" s="15">
        <v>11126.0</v>
      </c>
      <c r="G221" s="15" t="s">
        <v>369</v>
      </c>
      <c r="H221" s="15" t="s">
        <v>1614</v>
      </c>
    </row>
    <row r="222" ht="56.25" customHeight="1">
      <c r="A222" s="23" t="s">
        <v>2705</v>
      </c>
      <c r="B222" s="15" t="str">
        <f>image("https://imgur.com/MDXGv3B.png")</f>
        <v/>
      </c>
      <c r="C222" s="15">
        <v>1000.0</v>
      </c>
      <c r="D222" s="15">
        <v>250.0</v>
      </c>
      <c r="E222" s="13" t="s">
        <v>2360</v>
      </c>
      <c r="F222" s="15">
        <v>10616.0</v>
      </c>
      <c r="G222" s="15" t="s">
        <v>208</v>
      </c>
      <c r="H222" s="15" t="s">
        <v>211</v>
      </c>
    </row>
    <row r="223" ht="56.25" customHeight="1">
      <c r="A223" s="23" t="s">
        <v>2706</v>
      </c>
      <c r="B223" s="15" t="str">
        <f>image("https://imgur.com/DhCq1nv.png")</f>
        <v/>
      </c>
      <c r="C223" s="15">
        <v>1000.0</v>
      </c>
      <c r="D223" s="15">
        <v>250.0</v>
      </c>
      <c r="E223" s="13" t="s">
        <v>2360</v>
      </c>
      <c r="F223" s="15">
        <v>10585.0</v>
      </c>
      <c r="G223" s="15" t="s">
        <v>118</v>
      </c>
      <c r="H223" s="15" t="s">
        <v>99</v>
      </c>
    </row>
    <row r="224" ht="56.25" customHeight="1">
      <c r="A224" s="23" t="s">
        <v>2707</v>
      </c>
      <c r="B224" s="15" t="str">
        <f>image("https://imgur.com/EOrWM7D.png")</f>
        <v/>
      </c>
      <c r="C224" s="15">
        <v>1000.0</v>
      </c>
      <c r="D224" s="15">
        <v>250.0</v>
      </c>
      <c r="E224" s="13" t="s">
        <v>2360</v>
      </c>
      <c r="F224" s="15">
        <v>10332.0</v>
      </c>
      <c r="G224" s="15" t="s">
        <v>99</v>
      </c>
      <c r="H224" s="15" t="s">
        <v>1608</v>
      </c>
    </row>
    <row r="225" ht="56.25" customHeight="1">
      <c r="A225" s="23" t="s">
        <v>2709</v>
      </c>
      <c r="B225" s="15" t="str">
        <f>image("https://imgur.com/ZwbZ1qH.png")</f>
        <v/>
      </c>
      <c r="C225" s="15">
        <v>1000.0</v>
      </c>
      <c r="D225" s="15">
        <v>250.0</v>
      </c>
      <c r="E225" s="13" t="s">
        <v>2360</v>
      </c>
      <c r="F225" s="15">
        <v>10779.0</v>
      </c>
      <c r="G225" s="15" t="s">
        <v>208</v>
      </c>
      <c r="H225" s="15" t="s">
        <v>211</v>
      </c>
    </row>
    <row r="226" ht="56.25" customHeight="1">
      <c r="A226" s="23" t="s">
        <v>2710</v>
      </c>
      <c r="B226" s="15" t="str">
        <f>image("https://imgur.com/bqpd4zD.png")</f>
        <v/>
      </c>
      <c r="C226" s="15">
        <v>1000.0</v>
      </c>
      <c r="D226" s="15">
        <v>250.0</v>
      </c>
      <c r="E226" s="13" t="s">
        <v>2360</v>
      </c>
      <c r="F226" s="15">
        <v>10364.0</v>
      </c>
      <c r="G226" s="15" t="s">
        <v>464</v>
      </c>
      <c r="H226" s="15" t="s">
        <v>94</v>
      </c>
    </row>
    <row r="227" ht="56.25" customHeight="1">
      <c r="A227" s="23" t="s">
        <v>2711</v>
      </c>
      <c r="B227" s="15" t="str">
        <f>image("https://imgur.com/0Ar8Bvn.png")</f>
        <v/>
      </c>
      <c r="C227" s="15">
        <v>1000.0</v>
      </c>
      <c r="D227" s="15">
        <v>250.0</v>
      </c>
      <c r="E227" s="13" t="s">
        <v>2360</v>
      </c>
      <c r="F227" s="15">
        <v>11123.0</v>
      </c>
      <c r="G227" s="15" t="s">
        <v>258</v>
      </c>
      <c r="H227" s="15" t="s">
        <v>82</v>
      </c>
    </row>
    <row r="228" ht="56.25" customHeight="1">
      <c r="A228" s="23" t="s">
        <v>2713</v>
      </c>
      <c r="B228" s="15" t="str">
        <f>image("https://imgur.com/Or6silM.png")</f>
        <v/>
      </c>
      <c r="C228" s="15">
        <v>1000.0</v>
      </c>
      <c r="D228" s="15">
        <v>250.0</v>
      </c>
      <c r="E228" s="13" t="s">
        <v>2360</v>
      </c>
      <c r="F228" s="15">
        <v>10816.0</v>
      </c>
      <c r="G228" s="15" t="s">
        <v>99</v>
      </c>
      <c r="H228" s="15" t="s">
        <v>369</v>
      </c>
    </row>
    <row r="229" ht="56.25" customHeight="1">
      <c r="A229" s="23" t="s">
        <v>2715</v>
      </c>
      <c r="B229" s="15" t="str">
        <f>image("https://imgur.com/2xryAJn.png")</f>
        <v/>
      </c>
      <c r="C229" s="15">
        <v>1000.0</v>
      </c>
      <c r="D229" s="15">
        <v>250.0</v>
      </c>
      <c r="E229" s="13" t="s">
        <v>2360</v>
      </c>
      <c r="F229" s="15">
        <v>10357.0</v>
      </c>
      <c r="G229" s="15" t="s">
        <v>369</v>
      </c>
      <c r="H229" s="15" t="s">
        <v>464</v>
      </c>
    </row>
    <row r="230" ht="56.25" customHeight="1">
      <c r="A230" s="23" t="s">
        <v>2717</v>
      </c>
      <c r="B230" s="15" t="str">
        <f>image("https://imgur.com/EBA72rw.png")</f>
        <v/>
      </c>
      <c r="C230" s="15">
        <v>1000.0</v>
      </c>
      <c r="D230" s="15">
        <v>250.0</v>
      </c>
      <c r="E230" s="13" t="s">
        <v>2360</v>
      </c>
      <c r="F230" s="15">
        <v>10395.0</v>
      </c>
      <c r="G230" s="15" t="s">
        <v>1608</v>
      </c>
      <c r="H230" s="15" t="s">
        <v>112</v>
      </c>
    </row>
    <row r="231" ht="56.25" customHeight="1">
      <c r="A231" s="23" t="s">
        <v>2719</v>
      </c>
      <c r="B231" s="15" t="str">
        <f>image("https://imgur.com/1Vh2CHA.png")</f>
        <v/>
      </c>
      <c r="C231" s="15">
        <v>1000.0</v>
      </c>
      <c r="D231" s="15">
        <v>250.0</v>
      </c>
      <c r="E231" s="13" t="s">
        <v>2360</v>
      </c>
      <c r="F231" s="15">
        <v>10790.0</v>
      </c>
      <c r="G231" s="15" t="s">
        <v>94</v>
      </c>
      <c r="H231" s="15" t="s">
        <v>208</v>
      </c>
    </row>
    <row r="232" ht="56.25" customHeight="1">
      <c r="A232" s="23" t="s">
        <v>2720</v>
      </c>
      <c r="B232" s="15" t="str">
        <f>image("https://imgur.com/DZenuhT.png")</f>
        <v/>
      </c>
      <c r="C232" s="15">
        <v>1000.0</v>
      </c>
      <c r="D232" s="15">
        <v>250.0</v>
      </c>
      <c r="E232" s="13" t="s">
        <v>2360</v>
      </c>
      <c r="F232" s="15">
        <v>10664.0</v>
      </c>
      <c r="G232" s="15" t="s">
        <v>211</v>
      </c>
      <c r="H232" s="15" t="s">
        <v>208</v>
      </c>
    </row>
    <row r="233" ht="56.25" customHeight="1">
      <c r="A233" s="23" t="s">
        <v>2722</v>
      </c>
      <c r="B233" s="15" t="str">
        <f>image("https://imgur.com/J3JQwGY.png")</f>
        <v/>
      </c>
      <c r="C233" s="15">
        <v>1000.0</v>
      </c>
      <c r="D233" s="15">
        <v>250.0</v>
      </c>
      <c r="E233" s="13" t="s">
        <v>2360</v>
      </c>
      <c r="F233" s="15">
        <v>10442.0</v>
      </c>
      <c r="G233" s="15" t="s">
        <v>1614</v>
      </c>
      <c r="H233" s="15" t="s">
        <v>118</v>
      </c>
    </row>
    <row r="234" ht="56.25" customHeight="1">
      <c r="A234" s="23" t="s">
        <v>2723</v>
      </c>
      <c r="B234" s="15" t="str">
        <f>image("https://imgur.com/4E52kuu.png")</f>
        <v/>
      </c>
      <c r="C234" s="15">
        <v>1000.0</v>
      </c>
      <c r="D234" s="15">
        <v>250.0</v>
      </c>
      <c r="E234" s="13" t="s">
        <v>2360</v>
      </c>
      <c r="F234" s="15">
        <v>10579.0</v>
      </c>
      <c r="G234" s="15" t="s">
        <v>1608</v>
      </c>
      <c r="H234" s="15" t="s">
        <v>99</v>
      </c>
    </row>
    <row r="235" ht="56.25" customHeight="1">
      <c r="A235" s="23" t="s">
        <v>2725</v>
      </c>
      <c r="B235" s="15" t="str">
        <f>image("https://imgur.com/wSidD2C.png")</f>
        <v/>
      </c>
      <c r="C235" s="15">
        <v>1000.0</v>
      </c>
      <c r="D235" s="15">
        <v>250.0</v>
      </c>
      <c r="E235" s="13" t="s">
        <v>2360</v>
      </c>
      <c r="F235" s="15">
        <v>10333.0</v>
      </c>
      <c r="G235" s="15" t="s">
        <v>464</v>
      </c>
      <c r="H235" s="15" t="s">
        <v>1608</v>
      </c>
    </row>
    <row r="236" ht="56.25" customHeight="1">
      <c r="A236" s="23" t="s">
        <v>2727</v>
      </c>
      <c r="B236" s="15" t="str">
        <f>image("https://imgur.com/2qnaVDf.png")</f>
        <v/>
      </c>
      <c r="C236" s="15">
        <v>1000.0</v>
      </c>
      <c r="D236" s="15">
        <v>250.0</v>
      </c>
      <c r="E236" s="13" t="s">
        <v>2360</v>
      </c>
      <c r="F236" s="15">
        <v>10433.0</v>
      </c>
      <c r="G236" s="15" t="s">
        <v>1608</v>
      </c>
      <c r="H236" s="15" t="s">
        <v>369</v>
      </c>
    </row>
    <row r="237" ht="56.25" customHeight="1">
      <c r="A237" s="23" t="s">
        <v>2728</v>
      </c>
      <c r="B237" s="15" t="str">
        <f>image("https://imgur.com/0UD7yqy.png")</f>
        <v/>
      </c>
      <c r="C237" s="15">
        <v>1000.0</v>
      </c>
      <c r="D237" s="15">
        <v>250.0</v>
      </c>
      <c r="E237" s="13" t="s">
        <v>2360</v>
      </c>
      <c r="F237" s="15">
        <v>10340.0</v>
      </c>
      <c r="G237" s="15" t="s">
        <v>369</v>
      </c>
      <c r="H237" s="15" t="s">
        <v>112</v>
      </c>
    </row>
    <row r="238" ht="56.25" customHeight="1">
      <c r="A238" s="23" t="s">
        <v>2729</v>
      </c>
      <c r="B238" s="15" t="str">
        <f>image("https://imgur.com/sQEUSKb.png")</f>
        <v/>
      </c>
      <c r="C238" s="15">
        <v>1000.0</v>
      </c>
      <c r="D238" s="15">
        <v>250.0</v>
      </c>
      <c r="E238" s="13" t="s">
        <v>2360</v>
      </c>
      <c r="F238" s="15">
        <v>10519.0</v>
      </c>
      <c r="G238" s="15" t="s">
        <v>369</v>
      </c>
      <c r="H238" s="15" t="s">
        <v>112</v>
      </c>
    </row>
    <row r="239" ht="56.25" customHeight="1">
      <c r="A239" s="23" t="s">
        <v>2730</v>
      </c>
      <c r="B239" s="15" t="str">
        <f>image("https://imgur.com/wkq1cta.png")</f>
        <v/>
      </c>
      <c r="C239" s="15">
        <v>1000.0</v>
      </c>
      <c r="D239" s="15">
        <v>250.0</v>
      </c>
      <c r="E239" s="13" t="s">
        <v>2360</v>
      </c>
      <c r="F239" s="15">
        <v>10560.0</v>
      </c>
      <c r="G239" s="15" t="s">
        <v>521</v>
      </c>
      <c r="H239" s="15" t="s">
        <v>99</v>
      </c>
    </row>
    <row r="240" ht="56.25" customHeight="1">
      <c r="A240" s="23" t="s">
        <v>2731</v>
      </c>
      <c r="B240" s="15" t="str">
        <f>image("https://imgur.com/CArEvqQ.png")</f>
        <v/>
      </c>
      <c r="C240" s="15">
        <v>1000.0</v>
      </c>
      <c r="D240" s="15">
        <v>250.0</v>
      </c>
      <c r="E240" s="13" t="s">
        <v>2360</v>
      </c>
      <c r="F240" s="15">
        <v>10638.0</v>
      </c>
      <c r="G240" s="15" t="s">
        <v>369</v>
      </c>
      <c r="H240" s="15" t="s">
        <v>1608</v>
      </c>
    </row>
    <row r="241" ht="56.25" customHeight="1">
      <c r="A241" s="23" t="s">
        <v>2732</v>
      </c>
      <c r="B241" s="15" t="str">
        <f>image("https://imgur.com/2VdfgyB.png")</f>
        <v/>
      </c>
      <c r="C241" s="15">
        <v>1000.0</v>
      </c>
      <c r="D241" s="15">
        <v>250.0</v>
      </c>
      <c r="E241" s="13" t="s">
        <v>2360</v>
      </c>
      <c r="F241" s="15">
        <v>10440.0</v>
      </c>
      <c r="G241" s="15" t="s">
        <v>1614</v>
      </c>
      <c r="H241" s="15" t="s">
        <v>82</v>
      </c>
    </row>
    <row r="242" ht="56.25" customHeight="1">
      <c r="A242" s="23" t="s">
        <v>2733</v>
      </c>
      <c r="B242" s="15" t="str">
        <f>image("https://imgur.com/fDIgO03.png")</f>
        <v/>
      </c>
      <c r="C242" s="15">
        <v>1000.0</v>
      </c>
      <c r="D242" s="15">
        <v>250.0</v>
      </c>
      <c r="E242" s="13" t="s">
        <v>2360</v>
      </c>
      <c r="F242" s="15">
        <v>10669.0</v>
      </c>
      <c r="G242" s="15" t="s">
        <v>521</v>
      </c>
      <c r="H242" s="15" t="s">
        <v>1608</v>
      </c>
    </row>
    <row r="243" ht="56.25" customHeight="1">
      <c r="A243" s="23" t="s">
        <v>2734</v>
      </c>
      <c r="B243" s="15" t="str">
        <f>image("https://imgur.com/hMoV7Ci.png")</f>
        <v/>
      </c>
      <c r="C243" s="15">
        <v>1000.0</v>
      </c>
      <c r="D243" s="15">
        <v>250.0</v>
      </c>
      <c r="E243" s="13" t="s">
        <v>2360</v>
      </c>
      <c r="F243" s="15">
        <v>10684.0</v>
      </c>
      <c r="G243" s="15" t="s">
        <v>118</v>
      </c>
      <c r="H243" s="15" t="s">
        <v>99</v>
      </c>
    </row>
    <row r="244" ht="56.25" customHeight="1">
      <c r="A244" s="23" t="s">
        <v>2735</v>
      </c>
      <c r="B244" s="15" t="str">
        <f>image("https://imgur.com/g9kQEB0.png")</f>
        <v/>
      </c>
      <c r="C244" s="15">
        <v>1000.0</v>
      </c>
      <c r="D244" s="15">
        <v>250.0</v>
      </c>
      <c r="E244" s="13" t="s">
        <v>2360</v>
      </c>
      <c r="F244" s="15">
        <v>10587.0</v>
      </c>
      <c r="G244" s="15" t="s">
        <v>464</v>
      </c>
      <c r="H244" s="15" t="s">
        <v>94</v>
      </c>
    </row>
    <row r="245" ht="56.25" customHeight="1">
      <c r="A245" s="23" t="s">
        <v>2737</v>
      </c>
      <c r="B245" s="15" t="str">
        <f>image("https://imgur.com/AuHTDRS.png")</f>
        <v/>
      </c>
      <c r="C245" s="15">
        <v>1000.0</v>
      </c>
      <c r="D245" s="15">
        <v>250.0</v>
      </c>
      <c r="E245" s="13" t="s">
        <v>2360</v>
      </c>
      <c r="F245" s="15">
        <v>10539.0</v>
      </c>
      <c r="G245" s="15" t="s">
        <v>1614</v>
      </c>
      <c r="H245" s="15" t="s">
        <v>208</v>
      </c>
    </row>
    <row r="246" ht="56.25" customHeight="1">
      <c r="A246" s="23" t="s">
        <v>2738</v>
      </c>
      <c r="B246" s="15" t="str">
        <f>image("https://imgur.com/cSp64UE.png")</f>
        <v/>
      </c>
      <c r="C246" s="15">
        <v>1000.0</v>
      </c>
      <c r="D246" s="15">
        <v>250.0</v>
      </c>
      <c r="E246" s="13" t="s">
        <v>2360</v>
      </c>
      <c r="F246" s="15">
        <v>10606.0</v>
      </c>
      <c r="G246" s="15" t="s">
        <v>1608</v>
      </c>
      <c r="H246" s="15" t="s">
        <v>208</v>
      </c>
    </row>
    <row r="247" ht="56.25" customHeight="1">
      <c r="A247" s="23" t="s">
        <v>2741</v>
      </c>
      <c r="B247" s="15" t="str">
        <f>image("https://imgur.com/aJYGsiw.png")</f>
        <v/>
      </c>
      <c r="C247" s="15">
        <v>1000.0</v>
      </c>
      <c r="D247" s="15">
        <v>250.0</v>
      </c>
      <c r="E247" s="13" t="s">
        <v>2360</v>
      </c>
      <c r="F247" s="15">
        <v>10773.0</v>
      </c>
      <c r="G247" s="15" t="s">
        <v>107</v>
      </c>
      <c r="H247" s="15" t="s">
        <v>258</v>
      </c>
    </row>
    <row r="248" ht="56.25" customHeight="1">
      <c r="A248" s="23" t="s">
        <v>2742</v>
      </c>
      <c r="B248" s="15" t="str">
        <f>image("https://imgur.com/uVDlvmj.png")</f>
        <v/>
      </c>
      <c r="C248" s="15">
        <v>1000.0</v>
      </c>
      <c r="D248" s="15">
        <v>250.0</v>
      </c>
      <c r="E248" s="13" t="s">
        <v>2360</v>
      </c>
      <c r="F248" s="15">
        <v>10631.0</v>
      </c>
      <c r="G248" s="15" t="s">
        <v>118</v>
      </c>
      <c r="H248" s="15" t="s">
        <v>99</v>
      </c>
    </row>
    <row r="249" ht="56.25" customHeight="1">
      <c r="A249" s="23" t="s">
        <v>2746</v>
      </c>
      <c r="B249" s="15" t="str">
        <f>image("https://imgur.com/axrcTdT.png")</f>
        <v/>
      </c>
      <c r="C249" s="15">
        <v>1000.0</v>
      </c>
      <c r="D249" s="15">
        <v>250.0</v>
      </c>
      <c r="E249" s="13" t="s">
        <v>2360</v>
      </c>
      <c r="F249" s="15">
        <v>10351.0</v>
      </c>
      <c r="G249" s="15" t="s">
        <v>208</v>
      </c>
      <c r="H249" s="15" t="s">
        <v>99</v>
      </c>
    </row>
    <row r="250" ht="56.25" customHeight="1">
      <c r="A250" s="23" t="s">
        <v>2747</v>
      </c>
      <c r="B250" s="15" t="str">
        <f>image("https://imgur.com/Q48cP5U.png")</f>
        <v/>
      </c>
      <c r="C250" s="15">
        <v>1000.0</v>
      </c>
      <c r="D250" s="15">
        <v>250.0</v>
      </c>
      <c r="E250" s="13" t="s">
        <v>2360</v>
      </c>
      <c r="F250" s="15">
        <v>10591.0</v>
      </c>
      <c r="G250" s="15" t="s">
        <v>82</v>
      </c>
      <c r="H250" s="15" t="s">
        <v>99</v>
      </c>
    </row>
    <row r="251" ht="56.25" customHeight="1">
      <c r="A251" s="23" t="s">
        <v>2748</v>
      </c>
      <c r="B251" s="15" t="str">
        <f>image("https://imgur.com/Co4pf8x.png")</f>
        <v/>
      </c>
      <c r="C251" s="15">
        <v>1000.0</v>
      </c>
      <c r="D251" s="15">
        <v>250.0</v>
      </c>
      <c r="E251" s="13" t="s">
        <v>2360</v>
      </c>
      <c r="F251" s="15">
        <v>10554.0</v>
      </c>
      <c r="G251" s="15" t="s">
        <v>82</v>
      </c>
      <c r="H251" s="15" t="s">
        <v>208</v>
      </c>
    </row>
    <row r="252" ht="56.25" customHeight="1">
      <c r="A252" s="23" t="s">
        <v>2750</v>
      </c>
      <c r="B252" s="15" t="str">
        <f>image("https://imgur.com/QxGb92b.png")</f>
        <v/>
      </c>
      <c r="C252" s="15">
        <v>1000.0</v>
      </c>
      <c r="D252" s="15">
        <v>250.0</v>
      </c>
      <c r="E252" s="13" t="s">
        <v>2360</v>
      </c>
      <c r="F252" s="15">
        <v>10491.0</v>
      </c>
      <c r="G252" s="15" t="s">
        <v>99</v>
      </c>
      <c r="H252" s="15" t="s">
        <v>464</v>
      </c>
    </row>
    <row r="253" ht="56.25" customHeight="1">
      <c r="A253" s="23" t="s">
        <v>2753</v>
      </c>
      <c r="B253" s="15" t="str">
        <f>image("https://imgur.com/fKlSCtt.png")</f>
        <v/>
      </c>
      <c r="C253" s="15">
        <v>1000.0</v>
      </c>
      <c r="D253" s="15">
        <v>250.0</v>
      </c>
      <c r="E253" s="13" t="s">
        <v>2360</v>
      </c>
      <c r="F253" s="15">
        <v>10794.0</v>
      </c>
      <c r="G253" s="15" t="s">
        <v>258</v>
      </c>
      <c r="H253" s="15" t="s">
        <v>112</v>
      </c>
    </row>
    <row r="254" ht="56.25" customHeight="1">
      <c r="A254" s="23" t="s">
        <v>2755</v>
      </c>
      <c r="B254" s="15" t="str">
        <f>image("https://imgur.com/h3Ux3HI.png")</f>
        <v/>
      </c>
      <c r="C254" s="15">
        <v>1000.0</v>
      </c>
      <c r="D254" s="15">
        <v>250.0</v>
      </c>
      <c r="E254" s="13" t="s">
        <v>2360</v>
      </c>
      <c r="F254" s="15">
        <v>10498.0</v>
      </c>
      <c r="G254" s="15" t="s">
        <v>369</v>
      </c>
      <c r="H254" s="15" t="s">
        <v>1614</v>
      </c>
    </row>
    <row r="255" ht="56.25" customHeight="1">
      <c r="A255" s="23" t="s">
        <v>2758</v>
      </c>
      <c r="B255" s="15" t="str">
        <f>image("https://imgur.com/dPf3rnU.png")</f>
        <v/>
      </c>
      <c r="C255" s="15">
        <v>1000.0</v>
      </c>
      <c r="D255" s="15">
        <v>250.0</v>
      </c>
      <c r="E255" s="13" t="s">
        <v>2360</v>
      </c>
      <c r="F255" s="15">
        <v>10432.0</v>
      </c>
      <c r="G255" s="15" t="s">
        <v>112</v>
      </c>
      <c r="H255" s="15" t="s">
        <v>211</v>
      </c>
    </row>
    <row r="256" ht="56.25" customHeight="1">
      <c r="A256" s="23" t="s">
        <v>2759</v>
      </c>
      <c r="B256" s="15" t="str">
        <f>image("https://imgur.com/akkU0U6.png")</f>
        <v/>
      </c>
      <c r="C256" s="15">
        <v>1000.0</v>
      </c>
      <c r="D256" s="15">
        <v>250.0</v>
      </c>
      <c r="E256" s="13" t="s">
        <v>2360</v>
      </c>
      <c r="F256" s="15">
        <v>10463.0</v>
      </c>
      <c r="G256" s="15" t="s">
        <v>118</v>
      </c>
      <c r="H256" s="15" t="s">
        <v>112</v>
      </c>
    </row>
    <row r="257" ht="56.25" customHeight="1">
      <c r="A257" s="23" t="s">
        <v>2760</v>
      </c>
      <c r="B257" s="15" t="str">
        <f>image("https://imgur.com/4xDTpyr.png")</f>
        <v/>
      </c>
      <c r="C257" s="15">
        <v>1000.0</v>
      </c>
      <c r="D257" s="15">
        <v>250.0</v>
      </c>
      <c r="E257" s="13" t="s">
        <v>2360</v>
      </c>
      <c r="F257" s="15">
        <v>10619.0</v>
      </c>
      <c r="G257" s="15" t="s">
        <v>118</v>
      </c>
      <c r="H257" s="15" t="s">
        <v>369</v>
      </c>
    </row>
    <row r="258" ht="56.25" customHeight="1">
      <c r="A258" s="23" t="s">
        <v>2762</v>
      </c>
      <c r="B258" s="15" t="str">
        <f>image("https://imgur.com/Qp6euOo.png")</f>
        <v/>
      </c>
      <c r="C258" s="15">
        <v>1000.0</v>
      </c>
      <c r="D258" s="15">
        <v>250.0</v>
      </c>
      <c r="E258" s="13" t="s">
        <v>2360</v>
      </c>
      <c r="F258" s="15">
        <v>10593.0</v>
      </c>
      <c r="G258" s="15" t="s">
        <v>118</v>
      </c>
      <c r="H258" s="15" t="s">
        <v>211</v>
      </c>
    </row>
    <row r="259" ht="56.25" customHeight="1">
      <c r="A259" s="23" t="s">
        <v>2763</v>
      </c>
      <c r="B259" s="15" t="str">
        <f>image("https://imgur.com/t0ziRyd.png")</f>
        <v/>
      </c>
      <c r="C259" s="15">
        <v>1000.0</v>
      </c>
      <c r="D259" s="15">
        <v>250.0</v>
      </c>
      <c r="E259" s="13" t="s">
        <v>2360</v>
      </c>
      <c r="F259" s="15">
        <v>10623.0</v>
      </c>
      <c r="G259" s="15" t="s">
        <v>211</v>
      </c>
      <c r="H259" s="15" t="s">
        <v>107</v>
      </c>
    </row>
    <row r="260" ht="56.25" customHeight="1">
      <c r="A260" s="23" t="s">
        <v>2766</v>
      </c>
      <c r="B260" s="15" t="str">
        <f>image("https://imgur.com/0E0X4ZJ.png")</f>
        <v/>
      </c>
      <c r="C260" s="15">
        <v>1000.0</v>
      </c>
      <c r="D260" s="15">
        <v>250.0</v>
      </c>
      <c r="E260" s="13" t="s">
        <v>2360</v>
      </c>
      <c r="F260" s="15">
        <v>10526.0</v>
      </c>
      <c r="G260" s="15" t="s">
        <v>464</v>
      </c>
      <c r="H260" s="15" t="s">
        <v>112</v>
      </c>
    </row>
    <row r="261" ht="56.25" customHeight="1">
      <c r="A261" s="23" t="s">
        <v>2767</v>
      </c>
      <c r="B261" s="15" t="str">
        <f>image("https://imgur.com/0Do3GqR.png")</f>
        <v/>
      </c>
      <c r="C261" s="15">
        <v>1000.0</v>
      </c>
      <c r="D261" s="15">
        <v>250.0</v>
      </c>
      <c r="E261" s="13" t="s">
        <v>2360</v>
      </c>
      <c r="F261" s="15">
        <v>10510.0</v>
      </c>
      <c r="G261" s="15" t="s">
        <v>118</v>
      </c>
      <c r="H261" s="15" t="s">
        <v>369</v>
      </c>
    </row>
    <row r="262" ht="56.25" customHeight="1">
      <c r="A262" s="23" t="s">
        <v>2770</v>
      </c>
      <c r="B262" s="15" t="str">
        <f>image("https://imgur.com/Eire0HJ.png")</f>
        <v/>
      </c>
      <c r="C262" s="15">
        <v>1000.0</v>
      </c>
      <c r="D262" s="15">
        <v>250.0</v>
      </c>
      <c r="E262" s="13" t="s">
        <v>2360</v>
      </c>
      <c r="F262" s="15">
        <v>10419.0</v>
      </c>
      <c r="G262" s="15" t="s">
        <v>82</v>
      </c>
      <c r="H262" s="15" t="s">
        <v>369</v>
      </c>
    </row>
    <row r="263" ht="56.25" customHeight="1">
      <c r="A263" s="23" t="s">
        <v>2772</v>
      </c>
      <c r="B263" s="15" t="str">
        <f>image("https://imgur.com/sdPL8e3.png")</f>
        <v/>
      </c>
      <c r="C263" s="15">
        <v>1000.0</v>
      </c>
      <c r="D263" s="15">
        <v>250.0</v>
      </c>
      <c r="E263" s="13" t="s">
        <v>2360</v>
      </c>
      <c r="F263" s="15">
        <v>10659.0</v>
      </c>
      <c r="G263" s="15" t="s">
        <v>107</v>
      </c>
      <c r="H263" s="15" t="s">
        <v>1608</v>
      </c>
    </row>
    <row r="264" ht="56.25" customHeight="1">
      <c r="A264" s="23" t="s">
        <v>2773</v>
      </c>
      <c r="B264" s="15" t="str">
        <f>image("https://imgur.com/XVIYrBC.png")</f>
        <v/>
      </c>
      <c r="C264" s="15">
        <v>1000.0</v>
      </c>
      <c r="D264" s="15">
        <v>250.0</v>
      </c>
      <c r="E264" s="13" t="s">
        <v>2360</v>
      </c>
      <c r="F264" s="15">
        <v>10589.0</v>
      </c>
      <c r="G264" s="15" t="s">
        <v>82</v>
      </c>
      <c r="H264" s="15" t="s">
        <v>107</v>
      </c>
    </row>
    <row r="265" ht="56.25" customHeight="1">
      <c r="A265" s="23" t="s">
        <v>2774</v>
      </c>
      <c r="B265" s="15" t="str">
        <f>image("https://imgur.com/WVD3q5Z.png")</f>
        <v/>
      </c>
      <c r="C265" s="15">
        <v>1000.0</v>
      </c>
      <c r="D265" s="15">
        <v>250.0</v>
      </c>
      <c r="E265" s="13" t="s">
        <v>2360</v>
      </c>
      <c r="F265" s="15">
        <v>10453.0</v>
      </c>
      <c r="G265" s="15" t="s">
        <v>107</v>
      </c>
      <c r="H265" s="15" t="s">
        <v>1614</v>
      </c>
    </row>
    <row r="266" ht="56.25" customHeight="1">
      <c r="A266" s="23" t="s">
        <v>2776</v>
      </c>
      <c r="B266" s="15" t="str">
        <f>image("https://imgur.com/zgj9Gur.png")</f>
        <v/>
      </c>
      <c r="C266" s="15">
        <v>1000.0</v>
      </c>
      <c r="D266" s="15">
        <v>250.0</v>
      </c>
      <c r="E266" s="13" t="s">
        <v>2360</v>
      </c>
      <c r="F266" s="15">
        <v>10480.0</v>
      </c>
      <c r="G266" s="15" t="s">
        <v>1608</v>
      </c>
      <c r="H266" s="15" t="s">
        <v>112</v>
      </c>
    </row>
    <row r="267" ht="56.25" customHeight="1">
      <c r="A267" s="23" t="s">
        <v>2778</v>
      </c>
      <c r="B267" s="15" t="str">
        <f>image("https://imgur.com/R5UIvXk.png")</f>
        <v/>
      </c>
      <c r="C267" s="15">
        <v>1000.0</v>
      </c>
      <c r="D267" s="15">
        <v>250.0</v>
      </c>
      <c r="E267" s="13" t="s">
        <v>2360</v>
      </c>
      <c r="F267" s="15">
        <v>10391.0</v>
      </c>
      <c r="G267" s="15" t="s">
        <v>99</v>
      </c>
      <c r="H267" s="15" t="s">
        <v>208</v>
      </c>
    </row>
    <row r="268" ht="56.25" customHeight="1">
      <c r="A268" s="23" t="s">
        <v>2780</v>
      </c>
      <c r="B268" s="15" t="str">
        <f>image("https://imgur.com/N85pkxi.png")</f>
        <v/>
      </c>
      <c r="C268" s="15">
        <v>1000.0</v>
      </c>
      <c r="D268" s="15">
        <v>250.0</v>
      </c>
      <c r="E268" s="13" t="s">
        <v>2360</v>
      </c>
      <c r="F268" s="15">
        <v>10860.0</v>
      </c>
      <c r="G268" s="15" t="s">
        <v>464</v>
      </c>
      <c r="H268" s="15" t="s">
        <v>211</v>
      </c>
    </row>
    <row r="269" ht="56.25" customHeight="1">
      <c r="A269" s="23" t="s">
        <v>2781</v>
      </c>
      <c r="B269" s="15" t="str">
        <f>image("https://imgur.com/SrURTyZ.png")</f>
        <v/>
      </c>
      <c r="C269" s="15">
        <v>1000.0</v>
      </c>
      <c r="D269" s="15">
        <v>250.0</v>
      </c>
      <c r="E269" s="13" t="s">
        <v>2360</v>
      </c>
      <c r="F269" s="15">
        <v>10547.0</v>
      </c>
      <c r="G269" s="15" t="s">
        <v>1608</v>
      </c>
      <c r="H269" s="15" t="s">
        <v>369</v>
      </c>
    </row>
    <row r="270" ht="56.25" customHeight="1">
      <c r="A270" s="23" t="s">
        <v>2783</v>
      </c>
      <c r="B270" s="15" t="str">
        <f>image("https://imgur.com/NckDTvj.png")</f>
        <v/>
      </c>
      <c r="C270" s="15">
        <v>1000.0</v>
      </c>
      <c r="D270" s="15">
        <v>250.0</v>
      </c>
      <c r="E270" s="13" t="s">
        <v>2360</v>
      </c>
      <c r="F270" s="15">
        <v>10502.0</v>
      </c>
      <c r="G270" s="15" t="s">
        <v>107</v>
      </c>
      <c r="H270" s="15" t="s">
        <v>1608</v>
      </c>
    </row>
    <row r="271" ht="56.25" customHeight="1">
      <c r="A271" s="23" t="s">
        <v>2784</v>
      </c>
      <c r="B271" s="15" t="str">
        <f>image("https://imgur.com/74CkYxG.png")</f>
        <v/>
      </c>
      <c r="C271" s="15">
        <v>1000.0</v>
      </c>
      <c r="D271" s="15">
        <v>250.0</v>
      </c>
      <c r="E271" s="13" t="s">
        <v>2360</v>
      </c>
      <c r="F271" s="15">
        <v>10789.0</v>
      </c>
      <c r="G271" s="15" t="s">
        <v>1608</v>
      </c>
      <c r="H271" s="15" t="s">
        <v>107</v>
      </c>
    </row>
    <row r="272" ht="56.25" customHeight="1">
      <c r="A272" s="23" t="s">
        <v>2786</v>
      </c>
      <c r="B272" s="15" t="str">
        <f>image("https://imgur.com/jRz86qg.png")</f>
        <v/>
      </c>
      <c r="C272" s="15">
        <v>1000.0</v>
      </c>
      <c r="D272" s="15">
        <v>250.0</v>
      </c>
      <c r="E272" s="13" t="s">
        <v>2360</v>
      </c>
      <c r="F272" s="15">
        <v>10677.0</v>
      </c>
      <c r="G272" s="15" t="s">
        <v>107</v>
      </c>
      <c r="H272" s="15" t="s">
        <v>369</v>
      </c>
    </row>
    <row r="273" ht="56.25" customHeight="1">
      <c r="A273" s="23" t="s">
        <v>2788</v>
      </c>
      <c r="B273" s="15" t="str">
        <f>image("https://imgur.com/8xhZ6iK.png")</f>
        <v/>
      </c>
      <c r="C273" s="15">
        <v>1000.0</v>
      </c>
      <c r="D273" s="15">
        <v>250.0</v>
      </c>
      <c r="E273" s="13" t="s">
        <v>2360</v>
      </c>
      <c r="F273" s="15">
        <v>10675.0</v>
      </c>
      <c r="G273" s="15" t="s">
        <v>369</v>
      </c>
      <c r="H273" s="15" t="s">
        <v>107</v>
      </c>
    </row>
    <row r="274" ht="56.25" customHeight="1">
      <c r="A274" s="23" t="s">
        <v>2790</v>
      </c>
      <c r="B274" s="15" t="str">
        <f>image("https://imgur.com/5ct7GEP.png")</f>
        <v/>
      </c>
      <c r="C274" s="15">
        <v>1000.0</v>
      </c>
      <c r="D274" s="15">
        <v>250.0</v>
      </c>
      <c r="E274" s="13" t="s">
        <v>2360</v>
      </c>
      <c r="F274" s="15">
        <v>10561.0</v>
      </c>
      <c r="G274" s="15" t="s">
        <v>211</v>
      </c>
      <c r="H274" s="15" t="s">
        <v>107</v>
      </c>
    </row>
    <row r="275" ht="56.25" customHeight="1">
      <c r="A275" s="23" t="s">
        <v>2791</v>
      </c>
      <c r="B275" s="15" t="str">
        <f>image("https://imgur.com/DRxLyNI.png")</f>
        <v/>
      </c>
      <c r="C275" s="15">
        <v>1000.0</v>
      </c>
      <c r="D275" s="15">
        <v>250.0</v>
      </c>
      <c r="E275" s="13" t="s">
        <v>2360</v>
      </c>
      <c r="F275" s="15">
        <v>10443.0</v>
      </c>
      <c r="G275" s="15" t="s">
        <v>107</v>
      </c>
      <c r="H275" s="15" t="s">
        <v>1614</v>
      </c>
    </row>
    <row r="276" ht="56.25" customHeight="1">
      <c r="A276" s="23" t="s">
        <v>2792</v>
      </c>
      <c r="B276" s="15" t="str">
        <f>image("https://imgur.com/cHCAduA.png")</f>
        <v/>
      </c>
      <c r="C276" s="15">
        <v>1000.0</v>
      </c>
      <c r="D276" s="15">
        <v>250.0</v>
      </c>
      <c r="E276" s="13" t="s">
        <v>2360</v>
      </c>
      <c r="F276" s="15">
        <v>10784.0</v>
      </c>
      <c r="G276" s="15" t="s">
        <v>112</v>
      </c>
      <c r="H276" s="15" t="s">
        <v>208</v>
      </c>
    </row>
    <row r="277" ht="56.25" customHeight="1">
      <c r="A277" s="23" t="s">
        <v>2795</v>
      </c>
      <c r="B277" s="15" t="str">
        <f>image("https://imgur.com/XczCq3P.png")</f>
        <v/>
      </c>
      <c r="C277" s="15">
        <v>1000.0</v>
      </c>
      <c r="D277" s="15">
        <v>250.0</v>
      </c>
      <c r="E277" s="13" t="s">
        <v>2360</v>
      </c>
      <c r="F277" s="15">
        <v>10791.0</v>
      </c>
      <c r="G277" s="15" t="s">
        <v>112</v>
      </c>
      <c r="H277" s="15" t="s">
        <v>369</v>
      </c>
    </row>
    <row r="278" ht="56.25" customHeight="1">
      <c r="A278" s="23" t="s">
        <v>2796</v>
      </c>
      <c r="B278" s="15" t="str">
        <f>image("https://imgur.com/MMmMIe2.png")</f>
        <v/>
      </c>
      <c r="C278" s="15">
        <v>1000.0</v>
      </c>
      <c r="D278" s="15">
        <v>250.0</v>
      </c>
      <c r="E278" s="13" t="s">
        <v>2360</v>
      </c>
      <c r="F278" s="15">
        <v>10329.0</v>
      </c>
      <c r="G278" s="15" t="s">
        <v>1608</v>
      </c>
      <c r="H278" s="15" t="s">
        <v>1614</v>
      </c>
    </row>
    <row r="279" ht="56.25" customHeight="1">
      <c r="A279" s="23" t="s">
        <v>2799</v>
      </c>
      <c r="B279" s="15" t="str">
        <f>image("https://imgur.com/W3SVpLS.png")</f>
        <v/>
      </c>
      <c r="C279" s="15">
        <v>1000.0</v>
      </c>
      <c r="D279" s="15">
        <v>250.0</v>
      </c>
      <c r="E279" s="13" t="s">
        <v>2360</v>
      </c>
      <c r="F279" s="15">
        <v>10820.0</v>
      </c>
      <c r="G279" s="15" t="s">
        <v>1608</v>
      </c>
      <c r="H279" s="15" t="s">
        <v>208</v>
      </c>
    </row>
    <row r="280" ht="56.25" customHeight="1">
      <c r="A280" s="23" t="s">
        <v>2800</v>
      </c>
      <c r="B280" s="15" t="str">
        <f>image("https://imgur.com/42Hme5j.png")</f>
        <v/>
      </c>
      <c r="C280" s="15">
        <v>1000.0</v>
      </c>
      <c r="D280" s="15">
        <v>250.0</v>
      </c>
      <c r="E280" s="13" t="s">
        <v>2360</v>
      </c>
      <c r="F280" s="15">
        <v>10494.0</v>
      </c>
      <c r="G280" s="15" t="s">
        <v>94</v>
      </c>
      <c r="H280" s="15" t="s">
        <v>107</v>
      </c>
    </row>
    <row r="281" ht="56.25" customHeight="1">
      <c r="A281" s="23" t="s">
        <v>2801</v>
      </c>
      <c r="B281" s="15" t="str">
        <f>image("https://imgur.com/IYgDaje.png")</f>
        <v/>
      </c>
      <c r="C281" s="15">
        <v>1000.0</v>
      </c>
      <c r="D281" s="15">
        <v>250.0</v>
      </c>
      <c r="E281" s="13" t="s">
        <v>2360</v>
      </c>
      <c r="F281" s="15">
        <v>10387.0</v>
      </c>
      <c r="G281" s="15" t="s">
        <v>94</v>
      </c>
      <c r="H281" s="15" t="s">
        <v>211</v>
      </c>
    </row>
    <row r="282" ht="56.25" customHeight="1">
      <c r="A282" s="23" t="s">
        <v>2803</v>
      </c>
      <c r="B282" s="15" t="str">
        <f>image("https://imgur.com/5E17Ffd.png")</f>
        <v/>
      </c>
      <c r="C282" s="15">
        <v>1000.0</v>
      </c>
      <c r="D282" s="15">
        <v>250.0</v>
      </c>
      <c r="E282" s="13" t="s">
        <v>2360</v>
      </c>
      <c r="F282" s="15">
        <v>10525.0</v>
      </c>
      <c r="G282" s="15" t="s">
        <v>211</v>
      </c>
      <c r="H282" s="15" t="s">
        <v>118</v>
      </c>
    </row>
    <row r="283" ht="56.25" customHeight="1">
      <c r="A283" s="23" t="s">
        <v>2804</v>
      </c>
      <c r="B283" s="15" t="str">
        <f>image("https://imgur.com/uBqNVja.png")</f>
        <v/>
      </c>
      <c r="C283" s="15">
        <v>1000.0</v>
      </c>
      <c r="D283" s="15">
        <v>250.0</v>
      </c>
      <c r="E283" s="13" t="s">
        <v>2360</v>
      </c>
      <c r="F283" s="15">
        <v>10320.0</v>
      </c>
      <c r="G283" s="15" t="s">
        <v>464</v>
      </c>
      <c r="H283" s="15" t="s">
        <v>99</v>
      </c>
    </row>
    <row r="284" ht="56.25" customHeight="1">
      <c r="A284" s="23" t="s">
        <v>2807</v>
      </c>
      <c r="B284" s="15" t="str">
        <f>image("https://imgur.com/Kzxm3nm.png")</f>
        <v/>
      </c>
      <c r="C284" s="15">
        <v>1000.0</v>
      </c>
      <c r="D284" s="15">
        <v>250.0</v>
      </c>
      <c r="E284" s="13" t="s">
        <v>2360</v>
      </c>
      <c r="F284" s="15">
        <v>10624.0</v>
      </c>
      <c r="G284" s="15" t="s">
        <v>369</v>
      </c>
      <c r="H284" s="15" t="s">
        <v>118</v>
      </c>
    </row>
    <row r="285" ht="56.25" customHeight="1">
      <c r="A285" s="23" t="s">
        <v>2808</v>
      </c>
      <c r="B285" s="15" t="str">
        <f>image("https://imgur.com/WQad3lc.png")</f>
        <v/>
      </c>
      <c r="C285" s="15">
        <v>1000.0</v>
      </c>
      <c r="D285" s="15">
        <v>250.0</v>
      </c>
      <c r="E285" s="13" t="s">
        <v>2360</v>
      </c>
      <c r="F285" s="15">
        <v>11125.0</v>
      </c>
      <c r="G285" s="15" t="s">
        <v>107</v>
      </c>
      <c r="H285" s="15" t="s">
        <v>107</v>
      </c>
    </row>
    <row r="286" ht="56.25" customHeight="1">
      <c r="A286" s="23" t="s">
        <v>2810</v>
      </c>
      <c r="B286" s="15" t="str">
        <f>image("https://imgur.com/vgwdH5Q.png")</f>
        <v/>
      </c>
      <c r="C286" s="15">
        <v>1000.0</v>
      </c>
      <c r="D286" s="15">
        <v>250.0</v>
      </c>
      <c r="E286" s="13" t="s">
        <v>2360</v>
      </c>
      <c r="F286" s="15">
        <v>10397.0</v>
      </c>
      <c r="G286" s="15" t="s">
        <v>99</v>
      </c>
      <c r="H286" s="15" t="s">
        <v>107</v>
      </c>
    </row>
    <row r="287" ht="56.25" customHeight="1">
      <c r="A287" s="23" t="s">
        <v>2811</v>
      </c>
      <c r="B287" s="15" t="str">
        <f>image("https://imgur.com/Z9Per6D.png")</f>
        <v/>
      </c>
      <c r="C287" s="15">
        <v>1000.0</v>
      </c>
      <c r="D287" s="15">
        <v>250.0</v>
      </c>
      <c r="E287" s="13" t="s">
        <v>2360</v>
      </c>
      <c r="F287" s="15">
        <v>10371.0</v>
      </c>
      <c r="G287" s="15" t="s">
        <v>107</v>
      </c>
      <c r="H287" s="15" t="s">
        <v>1608</v>
      </c>
    </row>
    <row r="288" ht="56.25" customHeight="1">
      <c r="A288" s="23" t="s">
        <v>2813</v>
      </c>
      <c r="B288" s="15" t="str">
        <f>image("https://imgur.com/IN3fZxa.png")</f>
        <v/>
      </c>
      <c r="C288" s="15">
        <v>1000.0</v>
      </c>
      <c r="D288" s="15">
        <v>250.0</v>
      </c>
      <c r="E288" s="13" t="s">
        <v>2360</v>
      </c>
      <c r="F288" s="15">
        <v>10551.0</v>
      </c>
      <c r="G288" s="15" t="s">
        <v>112</v>
      </c>
      <c r="H288" s="15" t="s">
        <v>107</v>
      </c>
    </row>
    <row r="289" ht="56.25" customHeight="1">
      <c r="A289" s="23" t="s">
        <v>2814</v>
      </c>
      <c r="B289" s="15" t="str">
        <f>image("https://imgur.com/xd0coKm.png")</f>
        <v/>
      </c>
      <c r="C289" s="15">
        <v>1000.0</v>
      </c>
      <c r="D289" s="15">
        <v>250.0</v>
      </c>
      <c r="E289" s="13" t="s">
        <v>2360</v>
      </c>
      <c r="F289" s="15">
        <v>10344.0</v>
      </c>
      <c r="G289" s="15" t="s">
        <v>369</v>
      </c>
      <c r="H289" s="15" t="s">
        <v>369</v>
      </c>
    </row>
    <row r="290" ht="56.25" customHeight="1">
      <c r="A290" s="23" t="s">
        <v>2816</v>
      </c>
      <c r="B290" s="15" t="str">
        <f>image("https://imgur.com/aN9ykTf.png")</f>
        <v/>
      </c>
      <c r="C290" s="15">
        <v>1000.0</v>
      </c>
      <c r="D290" s="15">
        <v>250.0</v>
      </c>
      <c r="E290" s="13" t="s">
        <v>2360</v>
      </c>
      <c r="F290" s="15">
        <v>10821.0</v>
      </c>
      <c r="G290" s="15" t="s">
        <v>369</v>
      </c>
      <c r="H290" s="15" t="s">
        <v>1614</v>
      </c>
    </row>
    <row r="291" ht="56.25" customHeight="1">
      <c r="A291" s="23" t="s">
        <v>2817</v>
      </c>
      <c r="B291" s="15" t="str">
        <f>image("https://imgur.com/hEs5o0i.png")</f>
        <v/>
      </c>
      <c r="C291" s="15">
        <v>1000.0</v>
      </c>
      <c r="D291" s="15">
        <v>250.0</v>
      </c>
      <c r="E291" s="13" t="s">
        <v>2360</v>
      </c>
      <c r="F291" s="15">
        <v>10584.0</v>
      </c>
      <c r="G291" s="15" t="s">
        <v>369</v>
      </c>
      <c r="H291" s="15" t="s">
        <v>107</v>
      </c>
    </row>
    <row r="292" ht="56.25" customHeight="1">
      <c r="A292" s="23" t="s">
        <v>2819</v>
      </c>
      <c r="B292" s="15" t="str">
        <f>image("https://imgur.com/u4piW8C.png")</f>
        <v/>
      </c>
      <c r="C292" s="15">
        <v>1000.0</v>
      </c>
      <c r="D292" s="15">
        <v>250.0</v>
      </c>
      <c r="E292" s="13" t="s">
        <v>2360</v>
      </c>
      <c r="F292" s="15">
        <v>10642.0</v>
      </c>
      <c r="G292" s="15" t="s">
        <v>1614</v>
      </c>
      <c r="H292" s="15" t="s">
        <v>107</v>
      </c>
    </row>
    <row r="293" ht="56.25" customHeight="1">
      <c r="A293" s="23" t="s">
        <v>2821</v>
      </c>
      <c r="B293" s="15" t="str">
        <f>image("https://imgur.com/osDbIsW.png")</f>
        <v/>
      </c>
      <c r="C293" s="15">
        <v>1000.0</v>
      </c>
      <c r="D293" s="15">
        <v>250.0</v>
      </c>
      <c r="E293" s="13" t="s">
        <v>2360</v>
      </c>
      <c r="F293" s="15">
        <v>10595.0</v>
      </c>
      <c r="G293" s="15" t="s">
        <v>118</v>
      </c>
      <c r="H293" s="15" t="s">
        <v>112</v>
      </c>
    </row>
    <row r="294" ht="56.25" customHeight="1">
      <c r="A294" s="23" t="s">
        <v>2823</v>
      </c>
      <c r="B294" s="15" t="str">
        <f>image("https://imgur.com/izqsde1.png")</f>
        <v/>
      </c>
      <c r="C294" s="15">
        <v>1000.0</v>
      </c>
      <c r="D294" s="15">
        <v>250.0</v>
      </c>
      <c r="E294" s="13" t="s">
        <v>2360</v>
      </c>
      <c r="F294" s="15">
        <v>10662.0</v>
      </c>
      <c r="G294" s="15" t="s">
        <v>208</v>
      </c>
      <c r="H294" s="15" t="s">
        <v>258</v>
      </c>
    </row>
    <row r="295" ht="56.25" customHeight="1">
      <c r="A295" s="23" t="s">
        <v>2824</v>
      </c>
      <c r="B295" s="15" t="str">
        <f>image("https://imgur.com/lYEp0q3.png")</f>
        <v/>
      </c>
      <c r="C295" s="15">
        <v>1000.0</v>
      </c>
      <c r="D295" s="15">
        <v>250.0</v>
      </c>
      <c r="E295" s="13" t="s">
        <v>2360</v>
      </c>
      <c r="F295" s="15">
        <v>10801.0</v>
      </c>
      <c r="G295" s="15" t="s">
        <v>118</v>
      </c>
      <c r="H295" s="15" t="s">
        <v>99</v>
      </c>
    </row>
    <row r="296" ht="56.25" customHeight="1">
      <c r="A296" s="23" t="s">
        <v>2825</v>
      </c>
      <c r="B296" s="15" t="str">
        <f>image("https://imgur.com/zjtArkx.png")</f>
        <v/>
      </c>
      <c r="C296" s="15">
        <v>1000.0</v>
      </c>
      <c r="D296" s="15">
        <v>250.0</v>
      </c>
      <c r="E296" s="13" t="s">
        <v>2360</v>
      </c>
      <c r="F296" s="15">
        <v>10646.0</v>
      </c>
      <c r="G296" s="15" t="s">
        <v>94</v>
      </c>
      <c r="H296" s="15" t="s">
        <v>369</v>
      </c>
    </row>
    <row r="297" ht="56.25" customHeight="1">
      <c r="A297" s="23" t="s">
        <v>2827</v>
      </c>
      <c r="B297" s="15" t="str">
        <f>image("https://imgur.com/FmVKiqc.png")</f>
        <v/>
      </c>
      <c r="C297" s="15">
        <v>1000.0</v>
      </c>
      <c r="D297" s="15">
        <v>250.0</v>
      </c>
      <c r="E297" s="13" t="s">
        <v>2360</v>
      </c>
      <c r="F297" s="15">
        <v>10774.0</v>
      </c>
      <c r="G297" s="15" t="s">
        <v>82</v>
      </c>
      <c r="H297" s="15" t="s">
        <v>99</v>
      </c>
    </row>
    <row r="298" ht="56.25" customHeight="1">
      <c r="A298" s="23" t="s">
        <v>2828</v>
      </c>
      <c r="B298" s="15" t="str">
        <f>image("https://imgur.com/E5OotYn.png")</f>
        <v/>
      </c>
      <c r="C298" s="15">
        <v>1000.0</v>
      </c>
      <c r="D298" s="15">
        <v>250.0</v>
      </c>
      <c r="E298" s="13" t="s">
        <v>2360</v>
      </c>
      <c r="F298" s="15">
        <v>10667.0</v>
      </c>
      <c r="G298" s="15" t="s">
        <v>369</v>
      </c>
      <c r="H298" s="15" t="s">
        <v>118</v>
      </c>
    </row>
    <row r="299" ht="56.25" customHeight="1">
      <c r="A299" s="23" t="s">
        <v>2829</v>
      </c>
      <c r="B299" s="15" t="str">
        <f>image("https://imgur.com/X43jdQL.png")</f>
        <v/>
      </c>
      <c r="C299" s="15">
        <v>1000.0</v>
      </c>
      <c r="D299" s="15">
        <v>250.0</v>
      </c>
      <c r="E299" s="13" t="s">
        <v>2360</v>
      </c>
      <c r="F299" s="15">
        <v>10349.0</v>
      </c>
      <c r="G299" s="15" t="s">
        <v>1608</v>
      </c>
      <c r="H299" s="15" t="s">
        <v>208</v>
      </c>
    </row>
    <row r="300" ht="56.25" customHeight="1">
      <c r="A300" s="23" t="s">
        <v>2831</v>
      </c>
      <c r="B300" s="15" t="str">
        <f>image("https://imgur.com/RqKTafC.png")</f>
        <v/>
      </c>
      <c r="C300" s="15">
        <v>1000.0</v>
      </c>
      <c r="D300" s="15">
        <v>250.0</v>
      </c>
      <c r="E300" s="13" t="s">
        <v>2360</v>
      </c>
      <c r="F300" s="15">
        <v>10314.0</v>
      </c>
      <c r="G300" s="15" t="s">
        <v>118</v>
      </c>
      <c r="H300" s="15" t="s">
        <v>211</v>
      </c>
    </row>
    <row r="301" ht="56.25" customHeight="1">
      <c r="A301" s="23" t="s">
        <v>2832</v>
      </c>
      <c r="B301" s="15" t="str">
        <f>image("https://imgur.com/P2YKt8G.png")</f>
        <v/>
      </c>
      <c r="C301" s="15">
        <v>1000.0</v>
      </c>
      <c r="D301" s="15">
        <v>250.0</v>
      </c>
      <c r="E301" s="13" t="s">
        <v>2360</v>
      </c>
      <c r="F301" s="15">
        <v>10420.0</v>
      </c>
      <c r="G301" s="15" t="s">
        <v>369</v>
      </c>
      <c r="H301" s="15" t="s">
        <v>1608</v>
      </c>
    </row>
    <row r="302" ht="56.25" customHeight="1">
      <c r="A302" s="23" t="s">
        <v>2834</v>
      </c>
      <c r="B302" s="15" t="str">
        <f>image("https://imgur.com/k09ml6V.png")</f>
        <v/>
      </c>
      <c r="C302" s="15">
        <v>1000.0</v>
      </c>
      <c r="D302" s="15">
        <v>250.0</v>
      </c>
      <c r="E302" s="13" t="s">
        <v>2360</v>
      </c>
      <c r="F302" s="15">
        <v>10607.0</v>
      </c>
      <c r="G302" s="15" t="s">
        <v>107</v>
      </c>
      <c r="H302" s="15" t="s">
        <v>211</v>
      </c>
    </row>
    <row r="303" ht="56.25" customHeight="1">
      <c r="A303" s="23" t="s">
        <v>2836</v>
      </c>
      <c r="B303" s="15" t="str">
        <f>image("https://imgur.com/2UpwcGN.png")</f>
        <v/>
      </c>
      <c r="C303" s="15">
        <v>1000.0</v>
      </c>
      <c r="D303" s="15">
        <v>250.0</v>
      </c>
      <c r="E303" s="13" t="s">
        <v>2360</v>
      </c>
      <c r="F303" s="15">
        <v>10564.0</v>
      </c>
      <c r="G303" s="15" t="s">
        <v>82</v>
      </c>
      <c r="H303" s="15" t="s">
        <v>1614</v>
      </c>
    </row>
    <row r="304" ht="56.25" customHeight="1">
      <c r="A304" s="23" t="s">
        <v>2837</v>
      </c>
      <c r="B304" s="15" t="str">
        <f>image("https://imgur.com/cMkhDPC.png")</f>
        <v/>
      </c>
      <c r="C304" s="15">
        <v>1000.0</v>
      </c>
      <c r="D304" s="15">
        <v>250.0</v>
      </c>
      <c r="E304" s="13" t="s">
        <v>2360</v>
      </c>
      <c r="F304" s="15">
        <v>10785.0</v>
      </c>
      <c r="G304" s="15" t="s">
        <v>208</v>
      </c>
      <c r="H304" s="15" t="s">
        <v>1614</v>
      </c>
    </row>
    <row r="305" ht="56.25" customHeight="1">
      <c r="A305" s="23" t="s">
        <v>2839</v>
      </c>
      <c r="B305" s="15" t="str">
        <f>image("https://imgur.com/3YKEO78.png")</f>
        <v/>
      </c>
      <c r="C305" s="15">
        <v>1000.0</v>
      </c>
      <c r="D305" s="15">
        <v>250.0</v>
      </c>
      <c r="E305" s="13" t="s">
        <v>2360</v>
      </c>
      <c r="F305" s="15">
        <v>10537.0</v>
      </c>
      <c r="G305" s="15" t="s">
        <v>521</v>
      </c>
      <c r="H305" s="15" t="s">
        <v>1608</v>
      </c>
    </row>
    <row r="306" ht="56.25" customHeight="1">
      <c r="A306" s="23" t="s">
        <v>2841</v>
      </c>
      <c r="B306" s="15" t="str">
        <f>image("https://imgur.com/YjfONvz.png")</f>
        <v/>
      </c>
      <c r="C306" s="15">
        <v>1000.0</v>
      </c>
      <c r="D306" s="15">
        <v>250.0</v>
      </c>
      <c r="E306" s="13" t="s">
        <v>2360</v>
      </c>
      <c r="F306" s="15">
        <v>10361.0</v>
      </c>
      <c r="G306" s="15" t="s">
        <v>1614</v>
      </c>
      <c r="H306" s="15" t="s">
        <v>208</v>
      </c>
    </row>
    <row r="307" ht="56.25" customHeight="1">
      <c r="A307" s="23" t="s">
        <v>2842</v>
      </c>
      <c r="B307" s="15" t="str">
        <f>image("https://imgur.com/kfKq0OK.png")</f>
        <v/>
      </c>
      <c r="C307" s="15">
        <v>1000.0</v>
      </c>
      <c r="D307" s="15">
        <v>250.0</v>
      </c>
      <c r="E307" s="13" t="s">
        <v>2360</v>
      </c>
      <c r="F307" s="15">
        <v>10656.0</v>
      </c>
      <c r="G307" s="15" t="s">
        <v>118</v>
      </c>
      <c r="H307" s="15" t="s">
        <v>1614</v>
      </c>
    </row>
    <row r="308" ht="56.25" customHeight="1">
      <c r="A308" s="23" t="s">
        <v>2843</v>
      </c>
      <c r="B308" s="15" t="str">
        <f>image("https://imgur.com/TaPHSro.png")</f>
        <v/>
      </c>
      <c r="C308" s="15">
        <v>1000.0</v>
      </c>
      <c r="D308" s="15">
        <v>250.0</v>
      </c>
      <c r="E308" s="13" t="s">
        <v>2360</v>
      </c>
      <c r="F308" s="15">
        <v>10783.0</v>
      </c>
      <c r="G308" s="15" t="s">
        <v>1608</v>
      </c>
      <c r="H308" s="15" t="s">
        <v>107</v>
      </c>
    </row>
    <row r="309" ht="56.25" customHeight="1">
      <c r="A309" s="23" t="s">
        <v>2845</v>
      </c>
      <c r="B309" s="15" t="str">
        <f>image("https://imgur.com/OQGdotI.png")</f>
        <v/>
      </c>
      <c r="C309" s="15">
        <v>1000.0</v>
      </c>
      <c r="D309" s="15">
        <v>250.0</v>
      </c>
      <c r="E309" s="13" t="s">
        <v>2360</v>
      </c>
      <c r="F309" s="15">
        <v>10520.0</v>
      </c>
      <c r="G309" s="15" t="s">
        <v>1614</v>
      </c>
      <c r="H309" s="15" t="s">
        <v>107</v>
      </c>
    </row>
    <row r="310" ht="56.25" customHeight="1">
      <c r="A310" s="23" t="s">
        <v>2846</v>
      </c>
      <c r="B310" s="15" t="str">
        <f>image("https://imgur.com/JIvkBJm.png")</f>
        <v/>
      </c>
      <c r="C310" s="15">
        <v>1000.0</v>
      </c>
      <c r="D310" s="15">
        <v>250.0</v>
      </c>
      <c r="E310" s="13" t="s">
        <v>2360</v>
      </c>
      <c r="F310" s="15">
        <v>10531.0</v>
      </c>
      <c r="G310" s="15" t="s">
        <v>107</v>
      </c>
      <c r="H310" s="15" t="s">
        <v>1614</v>
      </c>
    </row>
    <row r="311" ht="56.25" customHeight="1">
      <c r="A311" s="23" t="s">
        <v>2848</v>
      </c>
      <c r="B311" s="15" t="str">
        <f>image("https://imgur.com/0mm4uW3.png")</f>
        <v/>
      </c>
      <c r="C311" s="15">
        <v>1000.0</v>
      </c>
      <c r="D311" s="15">
        <v>250.0</v>
      </c>
      <c r="E311" s="13" t="s">
        <v>2360</v>
      </c>
      <c r="F311" s="15">
        <v>10325.0</v>
      </c>
      <c r="G311" s="15" t="s">
        <v>107</v>
      </c>
      <c r="H311" s="15" t="s">
        <v>211</v>
      </c>
    </row>
    <row r="312" ht="56.25" customHeight="1">
      <c r="A312" s="23" t="s">
        <v>2849</v>
      </c>
      <c r="B312" s="15" t="str">
        <f>image("https://imgur.com/xqufMqC.png")</f>
        <v/>
      </c>
      <c r="C312" s="15">
        <v>1000.0</v>
      </c>
      <c r="D312" s="15">
        <v>250.0</v>
      </c>
      <c r="E312" s="13" t="s">
        <v>2360</v>
      </c>
      <c r="F312" s="15">
        <v>10409.0</v>
      </c>
      <c r="G312" s="15" t="s">
        <v>118</v>
      </c>
      <c r="H312" s="15" t="s">
        <v>464</v>
      </c>
    </row>
    <row r="313" ht="56.25" customHeight="1">
      <c r="A313" s="23" t="s">
        <v>2851</v>
      </c>
      <c r="B313" s="15" t="str">
        <f>image("https://imgur.com/kBuKA2v.png")</f>
        <v/>
      </c>
      <c r="C313" s="15">
        <v>1000.0</v>
      </c>
      <c r="D313" s="15">
        <v>250.0</v>
      </c>
      <c r="E313" s="13" t="s">
        <v>2360</v>
      </c>
      <c r="F313" s="15">
        <v>10372.0</v>
      </c>
      <c r="G313" s="15" t="s">
        <v>118</v>
      </c>
      <c r="H313" s="15" t="s">
        <v>99</v>
      </c>
    </row>
    <row r="314" ht="56.25" customHeight="1">
      <c r="A314" s="23" t="s">
        <v>2853</v>
      </c>
      <c r="B314" s="15" t="str">
        <f>image("https://imgur.com/K07nExR.png")</f>
        <v/>
      </c>
      <c r="C314" s="15">
        <v>1000.0</v>
      </c>
      <c r="D314" s="15">
        <v>250.0</v>
      </c>
      <c r="E314" s="13" t="s">
        <v>2360</v>
      </c>
      <c r="F314" s="15">
        <v>10552.0</v>
      </c>
      <c r="G314" s="15" t="s">
        <v>99</v>
      </c>
      <c r="H314" s="15" t="s">
        <v>521</v>
      </c>
    </row>
    <row r="315" ht="56.25" customHeight="1">
      <c r="A315" s="23" t="s">
        <v>2854</v>
      </c>
      <c r="B315" s="15" t="str">
        <f>image("https://imgur.com/jRclNyH.png")</f>
        <v/>
      </c>
      <c r="C315" s="15">
        <v>1000.0</v>
      </c>
      <c r="D315" s="15">
        <v>250.0</v>
      </c>
      <c r="E315" s="13" t="s">
        <v>2360</v>
      </c>
      <c r="F315" s="15">
        <v>10571.0</v>
      </c>
      <c r="G315" s="15" t="s">
        <v>1608</v>
      </c>
      <c r="H315" s="15" t="s">
        <v>208</v>
      </c>
    </row>
    <row r="316" ht="56.25" customHeight="1">
      <c r="A316" s="23" t="s">
        <v>2856</v>
      </c>
      <c r="B316" s="15" t="str">
        <f>image("https://imgur.com/fOEHGMn.png")</f>
        <v/>
      </c>
      <c r="C316" s="15">
        <v>1000.0</v>
      </c>
      <c r="D316" s="15">
        <v>250.0</v>
      </c>
      <c r="E316" s="13" t="s">
        <v>2360</v>
      </c>
      <c r="F316" s="15">
        <v>10390.0</v>
      </c>
      <c r="G316" s="15" t="s">
        <v>1608</v>
      </c>
      <c r="H316" s="15" t="s">
        <v>211</v>
      </c>
    </row>
    <row r="317" ht="56.25" customHeight="1">
      <c r="A317" s="23" t="s">
        <v>2857</v>
      </c>
      <c r="B317" s="15" t="str">
        <f>image("https://imgur.com/lQgGyFb.png")</f>
        <v/>
      </c>
      <c r="C317" s="15">
        <v>1000.0</v>
      </c>
      <c r="D317" s="15">
        <v>250.0</v>
      </c>
      <c r="E317" s="13" t="s">
        <v>2360</v>
      </c>
      <c r="F317" s="15">
        <v>10429.0</v>
      </c>
      <c r="G317" s="15" t="s">
        <v>82</v>
      </c>
      <c r="H317" s="15" t="s">
        <v>208</v>
      </c>
    </row>
    <row r="318" ht="56.25" customHeight="1">
      <c r="A318" s="23" t="s">
        <v>2858</v>
      </c>
      <c r="B318" s="15" t="str">
        <f>image("https://imgur.com/kOBuVIb.png")</f>
        <v/>
      </c>
      <c r="C318" s="15">
        <v>1000.0</v>
      </c>
      <c r="D318" s="15">
        <v>250.0</v>
      </c>
      <c r="E318" s="13" t="s">
        <v>2360</v>
      </c>
      <c r="F318" s="15">
        <v>10533.0</v>
      </c>
      <c r="G318" s="15" t="s">
        <v>107</v>
      </c>
      <c r="H318" s="15" t="s">
        <v>112</v>
      </c>
    </row>
    <row r="319" ht="56.25" customHeight="1">
      <c r="A319" s="23" t="s">
        <v>2860</v>
      </c>
      <c r="B319" s="15" t="str">
        <f>image("https://imgur.com/z9Sn2KG.png")</f>
        <v/>
      </c>
      <c r="C319" s="15">
        <v>1000.0</v>
      </c>
      <c r="D319" s="15">
        <v>250.0</v>
      </c>
      <c r="E319" s="13" t="s">
        <v>2360</v>
      </c>
      <c r="F319" s="15">
        <v>10780.0</v>
      </c>
      <c r="G319" s="15" t="s">
        <v>369</v>
      </c>
      <c r="H319" s="15" t="s">
        <v>208</v>
      </c>
    </row>
    <row r="320" ht="56.25" customHeight="1">
      <c r="A320" s="23" t="s">
        <v>2861</v>
      </c>
      <c r="B320" s="15" t="str">
        <f>image("https://imgur.com/yakcVdy.png")</f>
        <v/>
      </c>
      <c r="C320" s="15">
        <v>1000.0</v>
      </c>
      <c r="D320" s="15">
        <v>250.0</v>
      </c>
      <c r="E320" s="13" t="s">
        <v>2360</v>
      </c>
      <c r="F320" s="15">
        <v>10673.0</v>
      </c>
      <c r="G320" s="15" t="s">
        <v>464</v>
      </c>
      <c r="H320" s="15" t="s">
        <v>118</v>
      </c>
    </row>
    <row r="321" ht="56.25" customHeight="1">
      <c r="A321" s="23" t="s">
        <v>2862</v>
      </c>
      <c r="B321" s="15" t="str">
        <f>image("https://imgur.com/mFOLDD9.png")</f>
        <v/>
      </c>
      <c r="C321" s="15">
        <v>1000.0</v>
      </c>
      <c r="D321" s="15">
        <v>250.0</v>
      </c>
      <c r="E321" s="13" t="s">
        <v>2360</v>
      </c>
      <c r="F321" s="15">
        <v>10796.0</v>
      </c>
      <c r="G321" s="15" t="s">
        <v>1608</v>
      </c>
      <c r="H321" s="15" t="s">
        <v>369</v>
      </c>
    </row>
    <row r="322" ht="56.25" customHeight="1">
      <c r="A322" s="23" t="s">
        <v>2865</v>
      </c>
      <c r="B322" s="15" t="str">
        <f>image("https://imgur.com/9dYdyOF.png")</f>
        <v/>
      </c>
      <c r="C322" s="15">
        <v>1000.0</v>
      </c>
      <c r="D322" s="15">
        <v>250.0</v>
      </c>
      <c r="E322" s="13" t="s">
        <v>2360</v>
      </c>
      <c r="F322" s="15">
        <v>10365.0</v>
      </c>
      <c r="G322" s="15" t="s">
        <v>208</v>
      </c>
      <c r="H322" s="15" t="s">
        <v>211</v>
      </c>
    </row>
    <row r="323" ht="56.25" customHeight="1">
      <c r="A323" s="23" t="s">
        <v>2866</v>
      </c>
      <c r="B323" s="15" t="str">
        <f>image("https://imgur.com/babs734.png")</f>
        <v/>
      </c>
      <c r="C323" s="15">
        <v>1000.0</v>
      </c>
      <c r="D323" s="15">
        <v>250.0</v>
      </c>
      <c r="E323" s="13" t="s">
        <v>2360</v>
      </c>
      <c r="F323" s="15">
        <v>10431.0</v>
      </c>
      <c r="G323" s="15" t="s">
        <v>464</v>
      </c>
      <c r="H323" s="15" t="s">
        <v>208</v>
      </c>
    </row>
    <row r="324" ht="56.25" customHeight="1">
      <c r="A324" s="23" t="s">
        <v>2867</v>
      </c>
      <c r="B324" s="15" t="str">
        <f>image("https://imgur.com/wScdPS8.png")</f>
        <v/>
      </c>
      <c r="C324" s="15">
        <v>1000.0</v>
      </c>
      <c r="D324" s="15">
        <v>250.0</v>
      </c>
      <c r="E324" s="13" t="s">
        <v>2360</v>
      </c>
      <c r="F324" s="15">
        <v>10542.0</v>
      </c>
      <c r="G324" s="15" t="s">
        <v>1614</v>
      </c>
      <c r="H324" s="15" t="s">
        <v>1608</v>
      </c>
    </row>
    <row r="325" ht="56.25" customHeight="1">
      <c r="A325" s="23" t="s">
        <v>2869</v>
      </c>
      <c r="B325" s="15" t="str">
        <f>image("https://imgur.com/Xs9PmGu.png")</f>
        <v/>
      </c>
      <c r="C325" s="15">
        <v>1000.0</v>
      </c>
      <c r="D325" s="15">
        <v>250.0</v>
      </c>
      <c r="E325" s="13" t="s">
        <v>2360</v>
      </c>
      <c r="F325" s="15">
        <v>10562.0</v>
      </c>
      <c r="G325" s="15" t="s">
        <v>258</v>
      </c>
      <c r="H325" s="15" t="s">
        <v>1608</v>
      </c>
    </row>
    <row r="326" ht="56.25" customHeight="1">
      <c r="A326" s="23" t="s">
        <v>2870</v>
      </c>
      <c r="B326" s="15" t="str">
        <f>image("https://imgur.com/nFENn3i.png")</f>
        <v/>
      </c>
      <c r="C326" s="15">
        <v>1000.0</v>
      </c>
      <c r="D326" s="15">
        <v>250.0</v>
      </c>
      <c r="E326" s="13" t="s">
        <v>2360</v>
      </c>
      <c r="F326" s="15">
        <v>10798.0</v>
      </c>
      <c r="G326" s="15" t="s">
        <v>107</v>
      </c>
      <c r="H326" s="15" t="s">
        <v>208</v>
      </c>
    </row>
    <row r="327" ht="56.25" customHeight="1">
      <c r="A327" s="23" t="s">
        <v>2872</v>
      </c>
      <c r="B327" s="15" t="str">
        <f>image("https://imgur.com/bEUK5vW.png")</f>
        <v/>
      </c>
      <c r="C327" s="15">
        <v>1000.0</v>
      </c>
      <c r="D327" s="15">
        <v>250.0</v>
      </c>
      <c r="E327" s="13" t="s">
        <v>2360</v>
      </c>
      <c r="F327" s="15">
        <v>10810.0</v>
      </c>
      <c r="G327" s="15" t="s">
        <v>82</v>
      </c>
      <c r="H327" s="15" t="s">
        <v>369</v>
      </c>
    </row>
    <row r="328" ht="56.25" customHeight="1">
      <c r="A328" s="23" t="s">
        <v>2873</v>
      </c>
      <c r="B328" s="15" t="str">
        <f>image("https://imgur.com/TJdzxzy.png")</f>
        <v/>
      </c>
      <c r="C328" s="15">
        <v>1000.0</v>
      </c>
      <c r="D328" s="15">
        <v>250.0</v>
      </c>
      <c r="E328" s="13" t="s">
        <v>2360</v>
      </c>
      <c r="F328" s="15">
        <v>10484.0</v>
      </c>
      <c r="G328" s="15" t="s">
        <v>1608</v>
      </c>
      <c r="H328" s="15" t="s">
        <v>208</v>
      </c>
    </row>
    <row r="329" ht="56.25" customHeight="1">
      <c r="A329" s="23" t="s">
        <v>2875</v>
      </c>
      <c r="B329" s="15" t="str">
        <f>image("https://imgur.com/0y7fKfL.png")</f>
        <v/>
      </c>
      <c r="C329" s="15">
        <v>1000.0</v>
      </c>
      <c r="D329" s="15">
        <v>250.0</v>
      </c>
      <c r="E329" s="13" t="s">
        <v>2360</v>
      </c>
      <c r="F329" s="15">
        <v>10626.0</v>
      </c>
      <c r="G329" s="15" t="s">
        <v>118</v>
      </c>
      <c r="H329" s="15" t="s">
        <v>1614</v>
      </c>
    </row>
    <row r="330" ht="56.25" customHeight="1">
      <c r="A330" s="23" t="s">
        <v>2876</v>
      </c>
      <c r="B330" s="15" t="str">
        <f>image("https://imgur.com/1pOayJF.png")</f>
        <v/>
      </c>
      <c r="C330" s="15">
        <v>1000.0</v>
      </c>
      <c r="D330" s="15">
        <v>250.0</v>
      </c>
      <c r="E330" s="13" t="s">
        <v>2360</v>
      </c>
      <c r="F330" s="15">
        <v>10577.0</v>
      </c>
      <c r="G330" s="15" t="s">
        <v>82</v>
      </c>
      <c r="H330" s="15" t="s">
        <v>107</v>
      </c>
    </row>
    <row r="331" ht="56.25" customHeight="1">
      <c r="A331" s="23" t="s">
        <v>2878</v>
      </c>
      <c r="B331" s="15" t="str">
        <f>image("https://imgur.com/7Stg2LI.png")</f>
        <v/>
      </c>
      <c r="C331" s="15">
        <v>1000.0</v>
      </c>
      <c r="D331" s="15">
        <v>250.0</v>
      </c>
      <c r="E331" s="13" t="s">
        <v>2360</v>
      </c>
      <c r="F331" s="15">
        <v>11122.0</v>
      </c>
      <c r="G331" s="15" t="s">
        <v>211</v>
      </c>
      <c r="H331" s="15" t="s">
        <v>118</v>
      </c>
    </row>
    <row r="332" ht="56.25" customHeight="1">
      <c r="A332" s="23" t="s">
        <v>2879</v>
      </c>
      <c r="B332" s="15" t="str">
        <f>image("https://imgur.com/S1Wmx2v.png")</f>
        <v/>
      </c>
      <c r="C332" s="15">
        <v>1000.0</v>
      </c>
      <c r="D332" s="15">
        <v>250.0</v>
      </c>
      <c r="E332" s="13" t="s">
        <v>2360</v>
      </c>
      <c r="F332" s="15">
        <v>10347.0</v>
      </c>
      <c r="G332" s="15" t="s">
        <v>112</v>
      </c>
      <c r="H332" s="15" t="s">
        <v>369</v>
      </c>
    </row>
    <row r="333" ht="56.25" customHeight="1">
      <c r="A333" s="23" t="s">
        <v>2880</v>
      </c>
      <c r="B333" s="15" t="str">
        <f>image("https://imgur.com/lFFVJlZ.png")</f>
        <v/>
      </c>
      <c r="C333" s="15">
        <v>1000.0</v>
      </c>
      <c r="D333" s="15">
        <v>250.0</v>
      </c>
      <c r="E333" s="13" t="s">
        <v>2360</v>
      </c>
      <c r="F333" s="15">
        <v>10668.0</v>
      </c>
      <c r="G333" s="15" t="s">
        <v>208</v>
      </c>
      <c r="H333" s="15" t="s">
        <v>1614</v>
      </c>
    </row>
    <row r="334" ht="56.25" customHeight="1">
      <c r="A334" s="23" t="s">
        <v>2881</v>
      </c>
      <c r="B334" s="15" t="str">
        <f>image("https://imgur.com/hPxLoj5.png")</f>
        <v/>
      </c>
      <c r="C334" s="15">
        <v>1000.0</v>
      </c>
      <c r="D334" s="15">
        <v>250.0</v>
      </c>
      <c r="E334" s="13" t="s">
        <v>2360</v>
      </c>
      <c r="F334" s="15">
        <v>10339.0</v>
      </c>
      <c r="G334" s="15" t="s">
        <v>1608</v>
      </c>
      <c r="H334" s="15" t="s">
        <v>112</v>
      </c>
    </row>
    <row r="335" ht="56.25" customHeight="1">
      <c r="A335" s="23" t="s">
        <v>2883</v>
      </c>
      <c r="B335" s="15" t="str">
        <f>image("https://imgur.com/Ojz3N6c.png")</f>
        <v/>
      </c>
      <c r="C335" s="15">
        <v>1000.0</v>
      </c>
      <c r="D335" s="15">
        <v>250.0</v>
      </c>
      <c r="E335" s="13" t="s">
        <v>2360</v>
      </c>
      <c r="F335" s="15">
        <v>10550.0</v>
      </c>
      <c r="G335" s="15" t="s">
        <v>82</v>
      </c>
      <c r="H335" s="15" t="s">
        <v>464</v>
      </c>
    </row>
    <row r="336" ht="56.25" customHeight="1">
      <c r="A336" s="23" t="s">
        <v>2885</v>
      </c>
      <c r="B336" s="15" t="str">
        <f>image("https://imgur.com/qMyhMcs.png")</f>
        <v/>
      </c>
      <c r="C336" s="15">
        <v>1000.0</v>
      </c>
      <c r="D336" s="15">
        <v>250.0</v>
      </c>
      <c r="E336" s="13" t="s">
        <v>2360</v>
      </c>
      <c r="F336" s="15">
        <v>10360.0</v>
      </c>
      <c r="G336" s="15" t="s">
        <v>369</v>
      </c>
      <c r="H336" s="15" t="s">
        <v>1614</v>
      </c>
    </row>
    <row r="337" ht="56.25" customHeight="1">
      <c r="A337" s="23" t="s">
        <v>2887</v>
      </c>
      <c r="B337" s="15" t="str">
        <f>image("https://imgur.com/mq2vStF.png")</f>
        <v/>
      </c>
      <c r="C337" s="15">
        <v>1000.0</v>
      </c>
      <c r="D337" s="15">
        <v>250.0</v>
      </c>
      <c r="E337" s="13" t="s">
        <v>2360</v>
      </c>
      <c r="F337" s="15">
        <v>10660.0</v>
      </c>
      <c r="G337" s="15" t="s">
        <v>112</v>
      </c>
      <c r="H337" s="15" t="s">
        <v>82</v>
      </c>
    </row>
    <row r="338" ht="56.25" customHeight="1">
      <c r="A338" s="23" t="s">
        <v>2888</v>
      </c>
      <c r="B338" s="15" t="str">
        <f>image("https://imgur.com/osNadnl.png")</f>
        <v/>
      </c>
      <c r="C338" s="15">
        <v>1000.0</v>
      </c>
      <c r="D338" s="15">
        <v>250.0</v>
      </c>
      <c r="E338" s="13" t="s">
        <v>2360</v>
      </c>
      <c r="F338" s="15">
        <v>10556.0</v>
      </c>
      <c r="G338" s="15" t="s">
        <v>107</v>
      </c>
      <c r="H338" s="15" t="s">
        <v>369</v>
      </c>
    </row>
    <row r="339" ht="56.25" customHeight="1">
      <c r="A339" s="23" t="s">
        <v>2889</v>
      </c>
      <c r="B339" s="15" t="str">
        <f>image("https://imgur.com/f0UDIy8.png")</f>
        <v/>
      </c>
      <c r="C339" s="15">
        <v>1000.0</v>
      </c>
      <c r="D339" s="15">
        <v>250.0</v>
      </c>
      <c r="E339" s="13" t="s">
        <v>2360</v>
      </c>
      <c r="F339" s="15">
        <v>10676.0</v>
      </c>
      <c r="G339" s="15" t="s">
        <v>521</v>
      </c>
      <c r="H339" s="15" t="s">
        <v>369</v>
      </c>
    </row>
    <row r="340" ht="56.25" customHeight="1">
      <c r="A340" s="23" t="s">
        <v>2891</v>
      </c>
      <c r="B340" s="15" t="str">
        <f>image("https://imgur.com/XF64O5j.png")</f>
        <v/>
      </c>
      <c r="C340" s="15">
        <v>1000.0</v>
      </c>
      <c r="D340" s="15">
        <v>250.0</v>
      </c>
      <c r="E340" s="13" t="s">
        <v>2360</v>
      </c>
      <c r="F340" s="15">
        <v>10819.0</v>
      </c>
      <c r="G340" s="15" t="s">
        <v>99</v>
      </c>
      <c r="H340" s="15" t="s">
        <v>82</v>
      </c>
    </row>
    <row r="341" ht="56.25" customHeight="1">
      <c r="A341" s="23" t="s">
        <v>2892</v>
      </c>
      <c r="B341" s="15" t="str">
        <f>image("https://imgur.com/gInYKkV.png")</f>
        <v/>
      </c>
      <c r="C341" s="15">
        <v>1000.0</v>
      </c>
      <c r="D341" s="15">
        <v>250.0</v>
      </c>
      <c r="E341" s="13" t="s">
        <v>2360</v>
      </c>
      <c r="F341" s="15">
        <v>10802.0</v>
      </c>
      <c r="G341" s="15" t="s">
        <v>1608</v>
      </c>
      <c r="H341" s="15" t="s">
        <v>118</v>
      </c>
    </row>
    <row r="342" ht="56.25" customHeight="1">
      <c r="A342" s="23" t="s">
        <v>2894</v>
      </c>
      <c r="B342" s="15" t="str">
        <f>image("https://imgur.com/zMtryIw.png")</f>
        <v/>
      </c>
      <c r="C342" s="15">
        <v>1000.0</v>
      </c>
      <c r="D342" s="15">
        <v>250.0</v>
      </c>
      <c r="E342" s="13" t="s">
        <v>2360</v>
      </c>
      <c r="F342" s="15">
        <v>10543.0</v>
      </c>
      <c r="G342" s="15" t="s">
        <v>464</v>
      </c>
      <c r="H342" s="15" t="s">
        <v>1608</v>
      </c>
    </row>
    <row r="343" ht="56.25" customHeight="1">
      <c r="A343" s="23" t="s">
        <v>2895</v>
      </c>
      <c r="B343" s="15" t="str">
        <f>image("https://imgur.com/frMlVhh.png")</f>
        <v/>
      </c>
      <c r="C343" s="15">
        <v>1000.0</v>
      </c>
      <c r="D343" s="15">
        <v>250.0</v>
      </c>
      <c r="E343" s="13" t="s">
        <v>2360</v>
      </c>
      <c r="F343" s="15">
        <v>10658.0</v>
      </c>
      <c r="G343" s="15" t="s">
        <v>369</v>
      </c>
      <c r="H343" s="15" t="s">
        <v>94</v>
      </c>
    </row>
    <row r="344" ht="56.25" customHeight="1">
      <c r="A344" s="23" t="s">
        <v>2897</v>
      </c>
      <c r="B344" s="15" t="str">
        <f>image("https://imgur.com/uGiUbme.png")</f>
        <v/>
      </c>
      <c r="C344" s="15">
        <v>1000.0</v>
      </c>
      <c r="D344" s="15">
        <v>250.0</v>
      </c>
      <c r="E344" s="13" t="s">
        <v>2360</v>
      </c>
      <c r="F344" s="15">
        <v>10629.0</v>
      </c>
      <c r="G344" s="15" t="s">
        <v>99</v>
      </c>
      <c r="H344" s="15" t="s">
        <v>211</v>
      </c>
    </row>
    <row r="345" ht="56.25" customHeight="1">
      <c r="A345" s="23" t="s">
        <v>2898</v>
      </c>
      <c r="B345" s="15" t="str">
        <f>image("https://imgur.com/WIiIFzF.png")</f>
        <v/>
      </c>
      <c r="C345" s="15">
        <v>1000.0</v>
      </c>
      <c r="D345" s="15">
        <v>250.0</v>
      </c>
      <c r="E345" s="13" t="s">
        <v>2360</v>
      </c>
      <c r="F345" s="15">
        <v>10625.0</v>
      </c>
      <c r="G345" s="15" t="s">
        <v>208</v>
      </c>
      <c r="H345" s="15" t="s">
        <v>112</v>
      </c>
    </row>
    <row r="346" ht="56.25" customHeight="1">
      <c r="A346" s="23" t="s">
        <v>2900</v>
      </c>
      <c r="B346" s="15" t="str">
        <f>image("https://imgur.com/Xzz0mIC.png")</f>
        <v/>
      </c>
      <c r="C346" s="15">
        <v>1000.0</v>
      </c>
      <c r="D346" s="15">
        <v>250.0</v>
      </c>
      <c r="E346" s="13" t="s">
        <v>2360</v>
      </c>
      <c r="F346" s="15">
        <v>10861.0</v>
      </c>
      <c r="G346" s="15" t="s">
        <v>94</v>
      </c>
      <c r="H346" s="15" t="s">
        <v>1608</v>
      </c>
    </row>
    <row r="347" ht="56.25" customHeight="1">
      <c r="A347" s="23" t="s">
        <v>2901</v>
      </c>
      <c r="B347" s="15" t="str">
        <f>image("https://imgur.com/BoAZQL6.png")</f>
        <v/>
      </c>
      <c r="C347" s="15">
        <v>1000.0</v>
      </c>
      <c r="D347" s="15">
        <v>250.0</v>
      </c>
      <c r="E347" s="13" t="s">
        <v>2360</v>
      </c>
      <c r="F347" s="15">
        <v>10471.0</v>
      </c>
      <c r="G347" s="15" t="s">
        <v>521</v>
      </c>
      <c r="H347" s="15" t="s">
        <v>369</v>
      </c>
    </row>
    <row r="348" ht="56.25" customHeight="1">
      <c r="A348" s="23" t="s">
        <v>2902</v>
      </c>
      <c r="B348" s="15" t="str">
        <f>image("https://imgur.com/p2wkwdW.png")</f>
        <v/>
      </c>
      <c r="C348" s="15">
        <v>1000.0</v>
      </c>
      <c r="D348" s="15">
        <v>250.0</v>
      </c>
      <c r="E348" s="13" t="s">
        <v>2360</v>
      </c>
      <c r="F348" s="15">
        <v>10772.0</v>
      </c>
      <c r="G348" s="15" t="s">
        <v>107</v>
      </c>
      <c r="H348" s="15" t="s">
        <v>208</v>
      </c>
    </row>
    <row r="349" ht="56.25" customHeight="1">
      <c r="A349" s="23" t="s">
        <v>2904</v>
      </c>
      <c r="B349" s="15" t="str">
        <f>image("https://imgur.com/zjezOot.png")</f>
        <v/>
      </c>
      <c r="C349" s="15">
        <v>1000.0</v>
      </c>
      <c r="D349" s="15">
        <v>250.0</v>
      </c>
      <c r="E349" s="13" t="s">
        <v>2360</v>
      </c>
      <c r="F349" s="15">
        <v>10599.0</v>
      </c>
      <c r="G349" s="15" t="s">
        <v>107</v>
      </c>
      <c r="H349" s="15" t="s">
        <v>82</v>
      </c>
    </row>
    <row r="350" ht="56.25" customHeight="1">
      <c r="A350" s="23" t="s">
        <v>2905</v>
      </c>
      <c r="B350" s="15" t="str">
        <f>image("https://imgur.com/aNAUa8e.png")</f>
        <v/>
      </c>
      <c r="C350" s="15">
        <v>1000.0</v>
      </c>
      <c r="D350" s="15">
        <v>250.0</v>
      </c>
      <c r="E350" s="13" t="s">
        <v>2360</v>
      </c>
      <c r="F350" s="15">
        <v>10857.0</v>
      </c>
      <c r="G350" s="15" t="s">
        <v>99</v>
      </c>
      <c r="H350" s="15" t="s">
        <v>112</v>
      </c>
    </row>
    <row r="351" ht="56.25" customHeight="1">
      <c r="A351" s="23" t="s">
        <v>2907</v>
      </c>
      <c r="B351" s="15" t="str">
        <f>image("https://imgur.com/qjhJHdI.png")</f>
        <v/>
      </c>
      <c r="C351" s="15">
        <v>1000.0</v>
      </c>
      <c r="D351" s="15">
        <v>250.0</v>
      </c>
      <c r="E351" s="13" t="s">
        <v>2360</v>
      </c>
      <c r="F351" s="15">
        <v>10313.0</v>
      </c>
      <c r="G351" s="15" t="s">
        <v>118</v>
      </c>
      <c r="H351" s="15" t="s">
        <v>1614</v>
      </c>
    </row>
    <row r="352" ht="56.25" customHeight="1">
      <c r="A352" s="23" t="s">
        <v>2908</v>
      </c>
      <c r="B352" s="15" t="str">
        <f>image("https://imgur.com/L70WmgI.png")</f>
        <v/>
      </c>
      <c r="C352" s="15">
        <v>1000.0</v>
      </c>
      <c r="D352" s="15">
        <v>250.0</v>
      </c>
      <c r="E352" s="13" t="s">
        <v>2360</v>
      </c>
      <c r="F352" s="15">
        <v>10618.0</v>
      </c>
      <c r="G352" s="15" t="s">
        <v>118</v>
      </c>
      <c r="H352" s="15" t="s">
        <v>1614</v>
      </c>
    </row>
    <row r="353" ht="56.25" customHeight="1">
      <c r="A353" s="23" t="s">
        <v>2910</v>
      </c>
      <c r="B353" s="15" t="str">
        <f>image("https://imgur.com/3XO1Cir.png")</f>
        <v/>
      </c>
      <c r="C353" s="15">
        <v>1000.0</v>
      </c>
      <c r="D353" s="15">
        <v>250.0</v>
      </c>
      <c r="E353" s="13" t="s">
        <v>2360</v>
      </c>
      <c r="F353" s="15">
        <v>10383.0</v>
      </c>
      <c r="G353" s="15" t="s">
        <v>82</v>
      </c>
      <c r="H353" s="15" t="s">
        <v>464</v>
      </c>
    </row>
    <row r="354" ht="56.25" customHeight="1">
      <c r="A354" s="23" t="s">
        <v>2911</v>
      </c>
      <c r="B354" s="15" t="str">
        <f>image("https://imgur.com/1T36ZEq.png")</f>
        <v/>
      </c>
      <c r="C354" s="15">
        <v>1000.0</v>
      </c>
      <c r="D354" s="15">
        <v>250.0</v>
      </c>
      <c r="E354" s="13" t="s">
        <v>2360</v>
      </c>
      <c r="F354" s="15">
        <v>10572.0</v>
      </c>
      <c r="G354" s="15" t="s">
        <v>94</v>
      </c>
      <c r="H354" s="15" t="s">
        <v>211</v>
      </c>
    </row>
    <row r="355" ht="56.25" customHeight="1">
      <c r="A355" s="23" t="s">
        <v>2912</v>
      </c>
      <c r="B355" s="15" t="str">
        <f>image("https://imgur.com/Jc2cJSX.png")</f>
        <v/>
      </c>
      <c r="C355" s="15">
        <v>1000.0</v>
      </c>
      <c r="D355" s="15">
        <v>250.0</v>
      </c>
      <c r="E355" s="13" t="s">
        <v>2360</v>
      </c>
      <c r="F355" s="15">
        <v>10458.0</v>
      </c>
      <c r="G355" s="15" t="s">
        <v>521</v>
      </c>
      <c r="H355" s="15" t="s">
        <v>112</v>
      </c>
    </row>
    <row r="356" ht="56.25" customHeight="1">
      <c r="A356" s="23" t="s">
        <v>2914</v>
      </c>
      <c r="B356" s="15" t="str">
        <f>image("https://imgur.com/xHeuWRZ.png")</f>
        <v/>
      </c>
      <c r="C356" s="15">
        <v>1000.0</v>
      </c>
      <c r="D356" s="15">
        <v>250.0</v>
      </c>
      <c r="E356" s="13" t="s">
        <v>2360</v>
      </c>
      <c r="F356" s="15">
        <v>10581.0</v>
      </c>
      <c r="G356" s="15" t="s">
        <v>464</v>
      </c>
      <c r="H356" s="15" t="s">
        <v>112</v>
      </c>
    </row>
    <row r="357" ht="56.25" customHeight="1">
      <c r="A357" s="23" t="s">
        <v>2916</v>
      </c>
      <c r="B357" s="15" t="str">
        <f>image("https://imgur.com/pmw32dO.png")</f>
        <v/>
      </c>
      <c r="C357" s="15">
        <v>1000.0</v>
      </c>
      <c r="D357" s="15">
        <v>250.0</v>
      </c>
      <c r="E357" s="13" t="s">
        <v>2360</v>
      </c>
      <c r="F357" s="15">
        <v>10328.0</v>
      </c>
      <c r="G357" s="15" t="s">
        <v>112</v>
      </c>
      <c r="H357" s="15" t="s">
        <v>208</v>
      </c>
    </row>
    <row r="358" ht="56.25" customHeight="1">
      <c r="A358" s="23" t="s">
        <v>2917</v>
      </c>
      <c r="B358" s="15" t="str">
        <f>image("https://imgur.com/Ns3sREJ.png")</f>
        <v/>
      </c>
      <c r="C358" s="15">
        <v>1000.0</v>
      </c>
      <c r="D358" s="15">
        <v>250.0</v>
      </c>
      <c r="E358" s="13" t="s">
        <v>2360</v>
      </c>
      <c r="F358" s="15">
        <v>10809.0</v>
      </c>
      <c r="G358" s="15" t="s">
        <v>112</v>
      </c>
      <c r="H358" s="15" t="s">
        <v>211</v>
      </c>
    </row>
    <row r="359" ht="56.25" customHeight="1">
      <c r="A359" s="23" t="s">
        <v>2918</v>
      </c>
      <c r="B359" s="15" t="str">
        <f>image("https://imgur.com/GEKruP3.png")</f>
        <v/>
      </c>
      <c r="C359" s="15">
        <v>1000.0</v>
      </c>
      <c r="D359" s="15">
        <v>250.0</v>
      </c>
      <c r="E359" s="13" t="s">
        <v>2360</v>
      </c>
      <c r="F359" s="15">
        <v>10527.0</v>
      </c>
      <c r="G359" s="15" t="s">
        <v>369</v>
      </c>
      <c r="H359" s="15" t="s">
        <v>99</v>
      </c>
    </row>
    <row r="360" ht="56.25" customHeight="1">
      <c r="A360" s="23" t="s">
        <v>2920</v>
      </c>
      <c r="B360" s="15" t="str">
        <f>image("https://imgur.com/PDaA9QI.png")</f>
        <v/>
      </c>
      <c r="C360" s="15">
        <v>1000.0</v>
      </c>
      <c r="D360" s="15">
        <v>250.0</v>
      </c>
      <c r="E360" s="13" t="s">
        <v>2360</v>
      </c>
      <c r="F360" s="15">
        <v>10427.0</v>
      </c>
      <c r="G360" s="15" t="s">
        <v>107</v>
      </c>
      <c r="H360" s="15" t="s">
        <v>1614</v>
      </c>
    </row>
    <row r="361" ht="56.25" customHeight="1">
      <c r="A361" s="23" t="s">
        <v>2921</v>
      </c>
      <c r="B361" s="15" t="str">
        <f>image("https://imgur.com/BAAjahT.png")</f>
        <v/>
      </c>
      <c r="C361" s="15">
        <v>1000.0</v>
      </c>
      <c r="D361" s="15">
        <v>250.0</v>
      </c>
      <c r="E361" s="13" t="s">
        <v>2360</v>
      </c>
      <c r="F361" s="15">
        <v>10566.0</v>
      </c>
      <c r="G361" s="15" t="s">
        <v>464</v>
      </c>
      <c r="H361" s="15" t="s">
        <v>1614</v>
      </c>
    </row>
    <row r="362" ht="56.25" customHeight="1">
      <c r="A362" s="23" t="s">
        <v>2924</v>
      </c>
      <c r="B362" s="15" t="str">
        <f>image("https://imgur.com/lq9SMqs.png")</f>
        <v/>
      </c>
      <c r="C362" s="15">
        <v>1000.0</v>
      </c>
      <c r="D362" s="15">
        <v>250.0</v>
      </c>
      <c r="E362" s="13" t="s">
        <v>2360</v>
      </c>
      <c r="F362" s="15">
        <v>10446.0</v>
      </c>
      <c r="G362" s="15" t="s">
        <v>94</v>
      </c>
      <c r="H362" s="15" t="s">
        <v>99</v>
      </c>
    </row>
    <row r="363" ht="56.25" customHeight="1">
      <c r="A363" s="23" t="s">
        <v>2925</v>
      </c>
      <c r="B363" s="15" t="str">
        <f>image("https://imgur.com/KIdILCq.png")</f>
        <v/>
      </c>
      <c r="C363" s="15">
        <v>1000.0</v>
      </c>
      <c r="D363" s="15">
        <v>250.0</v>
      </c>
      <c r="E363" s="13" t="s">
        <v>2360</v>
      </c>
      <c r="F363" s="15">
        <v>10375.0</v>
      </c>
      <c r="G363" s="15" t="s">
        <v>1614</v>
      </c>
      <c r="H363" s="15" t="s">
        <v>1608</v>
      </c>
    </row>
    <row r="364" ht="56.25" customHeight="1">
      <c r="A364" s="23" t="s">
        <v>2926</v>
      </c>
      <c r="B364" s="15" t="str">
        <f>image("https://imgur.com/VSq6T0j.png")</f>
        <v/>
      </c>
      <c r="C364" s="15">
        <v>1000.0</v>
      </c>
      <c r="D364" s="15">
        <v>250.0</v>
      </c>
      <c r="E364" s="13" t="s">
        <v>2360</v>
      </c>
      <c r="F364" s="15">
        <v>10509.0</v>
      </c>
      <c r="G364" s="15" t="s">
        <v>82</v>
      </c>
      <c r="H364" s="15" t="s">
        <v>112</v>
      </c>
    </row>
    <row r="365" ht="56.25" customHeight="1">
      <c r="A365" s="23" t="s">
        <v>2928</v>
      </c>
      <c r="B365" s="15" t="str">
        <f>image("https://imgur.com/Uc9jdau.png")</f>
        <v/>
      </c>
      <c r="C365" s="15">
        <v>1000.0</v>
      </c>
      <c r="D365" s="15">
        <v>250.0</v>
      </c>
      <c r="E365" s="13" t="s">
        <v>2360</v>
      </c>
      <c r="F365" s="15">
        <v>10487.0</v>
      </c>
      <c r="G365" s="15" t="s">
        <v>1614</v>
      </c>
      <c r="H365" s="15" t="s">
        <v>99</v>
      </c>
    </row>
    <row r="366" ht="56.25" customHeight="1">
      <c r="A366" s="23" t="s">
        <v>2929</v>
      </c>
      <c r="B366" s="15" t="str">
        <f>image("https://imgur.com/QvAPdsz.png")</f>
        <v/>
      </c>
      <c r="C366" s="15">
        <v>1000.0</v>
      </c>
      <c r="D366" s="15">
        <v>250.0</v>
      </c>
      <c r="E366" s="13" t="s">
        <v>2360</v>
      </c>
      <c r="F366" s="15">
        <v>10557.0</v>
      </c>
      <c r="G366" s="15" t="s">
        <v>521</v>
      </c>
      <c r="H366" s="15" t="s">
        <v>1614</v>
      </c>
    </row>
    <row r="367" ht="56.25" customHeight="1">
      <c r="A367" s="23" t="s">
        <v>2931</v>
      </c>
      <c r="B367" s="15" t="str">
        <f>image("https://imgur.com/gsPg2om.png")</f>
        <v/>
      </c>
      <c r="C367" s="15">
        <v>1000.0</v>
      </c>
      <c r="D367" s="15">
        <v>250.0</v>
      </c>
      <c r="E367" s="13" t="s">
        <v>2360</v>
      </c>
      <c r="F367" s="15">
        <v>10690.0</v>
      </c>
      <c r="G367" s="15" t="s">
        <v>99</v>
      </c>
      <c r="H367" s="15" t="s">
        <v>94</v>
      </c>
    </row>
    <row r="368" ht="56.25" customHeight="1">
      <c r="A368" s="23" t="s">
        <v>2932</v>
      </c>
      <c r="B368" s="15" t="str">
        <f>image("https://imgur.com/m9qqnjC.png")</f>
        <v/>
      </c>
      <c r="C368" s="15">
        <v>1000.0</v>
      </c>
      <c r="D368" s="15">
        <v>250.0</v>
      </c>
      <c r="E368" s="13" t="s">
        <v>2360</v>
      </c>
      <c r="F368" s="15">
        <v>10805.0</v>
      </c>
      <c r="G368" s="15" t="s">
        <v>112</v>
      </c>
      <c r="H368" s="15" t="s">
        <v>107</v>
      </c>
    </row>
    <row r="369" ht="56.25" customHeight="1">
      <c r="A369" s="23" t="s">
        <v>2934</v>
      </c>
      <c r="B369" s="15" t="str">
        <f>image("https://imgur.com/nM9BOW1.png")</f>
        <v/>
      </c>
      <c r="C369" s="15">
        <v>1000.0</v>
      </c>
      <c r="D369" s="15">
        <v>250.0</v>
      </c>
      <c r="E369" s="13" t="s">
        <v>2360</v>
      </c>
      <c r="F369" s="15">
        <v>10428.0</v>
      </c>
      <c r="G369" s="15" t="s">
        <v>112</v>
      </c>
      <c r="H369" s="15" t="s">
        <v>208</v>
      </c>
    </row>
    <row r="370" ht="56.25" customHeight="1">
      <c r="A370" s="23" t="s">
        <v>2935</v>
      </c>
      <c r="B370" s="15" t="str">
        <f>image("https://imgur.com/mA2I62X.png")</f>
        <v/>
      </c>
      <c r="C370" s="15">
        <v>1000.0</v>
      </c>
      <c r="D370" s="15">
        <v>250.0</v>
      </c>
      <c r="E370" s="13" t="s">
        <v>2360</v>
      </c>
      <c r="F370" s="15">
        <v>10592.0</v>
      </c>
      <c r="G370" s="15" t="s">
        <v>521</v>
      </c>
      <c r="H370" s="15" t="s">
        <v>1614</v>
      </c>
    </row>
    <row r="371" ht="56.25" customHeight="1">
      <c r="A371" s="23" t="s">
        <v>2937</v>
      </c>
      <c r="B371" s="15" t="str">
        <f>image("https://imgur.com/ox4l7ek.png")</f>
        <v/>
      </c>
      <c r="C371" s="15">
        <v>1000.0</v>
      </c>
      <c r="D371" s="15">
        <v>250.0</v>
      </c>
      <c r="E371" s="13" t="s">
        <v>2360</v>
      </c>
      <c r="F371" s="15">
        <v>10399.0</v>
      </c>
      <c r="G371" s="15" t="s">
        <v>82</v>
      </c>
      <c r="H371" s="15" t="s">
        <v>112</v>
      </c>
    </row>
    <row r="372" ht="56.25" customHeight="1">
      <c r="A372" s="23" t="s">
        <v>2938</v>
      </c>
      <c r="B372" s="15" t="str">
        <f>image("https://imgur.com/zve15FA.png")</f>
        <v/>
      </c>
      <c r="C372" s="15">
        <v>1000.0</v>
      </c>
      <c r="D372" s="15">
        <v>250.0</v>
      </c>
      <c r="E372" s="13" t="s">
        <v>2360</v>
      </c>
      <c r="F372" s="15">
        <v>10549.0</v>
      </c>
      <c r="G372" s="15" t="s">
        <v>118</v>
      </c>
      <c r="H372" s="15" t="s">
        <v>258</v>
      </c>
    </row>
    <row r="373" ht="56.25" customHeight="1">
      <c r="A373" s="23" t="s">
        <v>2940</v>
      </c>
      <c r="B373" s="15" t="str">
        <f>image("https://imgur.com/KnsgbwL.png")</f>
        <v/>
      </c>
      <c r="C373" s="15">
        <v>1000.0</v>
      </c>
      <c r="D373" s="15">
        <v>250.0</v>
      </c>
      <c r="E373" s="13" t="s">
        <v>2360</v>
      </c>
      <c r="F373" s="15">
        <v>10777.0</v>
      </c>
      <c r="G373" s="15" t="s">
        <v>118</v>
      </c>
      <c r="H373" s="15" t="s">
        <v>369</v>
      </c>
    </row>
    <row r="374" ht="56.25" customHeight="1">
      <c r="A374" s="23" t="s">
        <v>2942</v>
      </c>
      <c r="B374" s="15" t="str">
        <f>image("https://imgur.com/SRMl9zz.png")</f>
        <v/>
      </c>
      <c r="C374" s="15">
        <v>1000.0</v>
      </c>
      <c r="D374" s="15">
        <v>250.0</v>
      </c>
      <c r="E374" s="13" t="s">
        <v>2360</v>
      </c>
      <c r="F374" s="15">
        <v>10481.0</v>
      </c>
      <c r="G374" s="15" t="s">
        <v>1608</v>
      </c>
      <c r="H374" s="15" t="s">
        <v>1614</v>
      </c>
    </row>
    <row r="375" ht="56.25" customHeight="1">
      <c r="A375" s="23" t="s">
        <v>2943</v>
      </c>
      <c r="B375" s="15" t="str">
        <f>image("https://imgur.com/MnVTGWr.png")</f>
        <v/>
      </c>
      <c r="C375" s="15">
        <v>1000.0</v>
      </c>
      <c r="D375" s="15">
        <v>250.0</v>
      </c>
      <c r="E375" s="13" t="s">
        <v>2360</v>
      </c>
      <c r="F375" s="15">
        <v>10575.0</v>
      </c>
      <c r="G375" s="15" t="s">
        <v>521</v>
      </c>
      <c r="H375" s="15" t="s">
        <v>369</v>
      </c>
    </row>
    <row r="376" ht="56.25" customHeight="1">
      <c r="A376" s="23" t="s">
        <v>2945</v>
      </c>
      <c r="B376" s="15" t="str">
        <f>image("https://imgur.com/YWHHSjv.png")</f>
        <v/>
      </c>
      <c r="C376" s="15">
        <v>1000.0</v>
      </c>
      <c r="D376" s="15">
        <v>250.0</v>
      </c>
      <c r="E376" s="13" t="s">
        <v>2360</v>
      </c>
      <c r="F376" s="15">
        <v>10674.0</v>
      </c>
      <c r="G376" s="15" t="s">
        <v>94</v>
      </c>
      <c r="H376" s="15" t="s">
        <v>369</v>
      </c>
    </row>
    <row r="377" ht="56.25" customHeight="1">
      <c r="A377" s="23" t="s">
        <v>2946</v>
      </c>
      <c r="B377" s="15" t="str">
        <f>image("https://imgur.com/rSKCYL4.png")</f>
        <v/>
      </c>
      <c r="C377" s="15">
        <v>1000.0</v>
      </c>
      <c r="D377" s="15">
        <v>250.0</v>
      </c>
      <c r="E377" s="13" t="s">
        <v>2360</v>
      </c>
      <c r="F377" s="15">
        <v>10627.0</v>
      </c>
      <c r="G377" s="15" t="s">
        <v>521</v>
      </c>
      <c r="H377" s="15" t="s">
        <v>112</v>
      </c>
    </row>
    <row r="378" ht="56.25" customHeight="1">
      <c r="A378" s="23" t="s">
        <v>2948</v>
      </c>
      <c r="B378" s="15" t="str">
        <f>image("https://imgur.com/8ajFYWa.png")</f>
        <v/>
      </c>
      <c r="C378" s="15">
        <v>1000.0</v>
      </c>
      <c r="D378" s="15">
        <v>250.0</v>
      </c>
      <c r="E378" s="13" t="s">
        <v>2360</v>
      </c>
      <c r="F378" s="15">
        <v>10363.0</v>
      </c>
      <c r="G378" s="15" t="s">
        <v>82</v>
      </c>
      <c r="H378" s="15" t="s">
        <v>208</v>
      </c>
    </row>
    <row r="379" ht="56.25" customHeight="1">
      <c r="A379" s="23" t="s">
        <v>2950</v>
      </c>
      <c r="B379" s="15" t="str">
        <f>image("https://imgur.com/rqJLmGC.png")</f>
        <v/>
      </c>
      <c r="C379" s="15">
        <v>1000.0</v>
      </c>
      <c r="D379" s="15">
        <v>250.0</v>
      </c>
      <c r="E379" s="13" t="s">
        <v>2360</v>
      </c>
      <c r="F379" s="15">
        <v>10376.0</v>
      </c>
      <c r="G379" s="15" t="s">
        <v>369</v>
      </c>
      <c r="H379" s="15" t="s">
        <v>112</v>
      </c>
    </row>
    <row r="380" ht="56.25" customHeight="1">
      <c r="A380" s="23" t="s">
        <v>2951</v>
      </c>
      <c r="B380" s="15" t="str">
        <f>image("https://imgur.com/efYtjUt.png")</f>
        <v/>
      </c>
      <c r="C380" s="15">
        <v>1000.0</v>
      </c>
      <c r="D380" s="15">
        <v>250.0</v>
      </c>
      <c r="E380" s="13" t="s">
        <v>2360</v>
      </c>
      <c r="F380" s="15">
        <v>10661.0</v>
      </c>
      <c r="G380" s="15" t="s">
        <v>94</v>
      </c>
      <c r="H380" s="15" t="s">
        <v>369</v>
      </c>
    </row>
    <row r="381" ht="56.25" customHeight="1">
      <c r="A381" s="23" t="s">
        <v>2953</v>
      </c>
      <c r="B381" s="15" t="str">
        <f>image("https://imgur.com/GLWuVI7.png")</f>
        <v/>
      </c>
      <c r="C381" s="15">
        <v>1000.0</v>
      </c>
      <c r="D381" s="15">
        <v>250.0</v>
      </c>
      <c r="E381" s="13" t="s">
        <v>2360</v>
      </c>
      <c r="F381" s="15">
        <v>10645.0</v>
      </c>
      <c r="G381" s="15" t="s">
        <v>211</v>
      </c>
      <c r="H381" s="15" t="s">
        <v>208</v>
      </c>
    </row>
    <row r="382" ht="56.25" customHeight="1">
      <c r="A382" s="23" t="s">
        <v>2954</v>
      </c>
      <c r="B382" s="15" t="str">
        <f>image("https://imgur.com/Pp6rvbv.png")</f>
        <v/>
      </c>
      <c r="C382" s="15">
        <v>1000.0</v>
      </c>
      <c r="D382" s="15">
        <v>250.0</v>
      </c>
      <c r="E382" s="13" t="s">
        <v>2360</v>
      </c>
      <c r="F382" s="15">
        <v>10538.0</v>
      </c>
      <c r="G382" s="15" t="s">
        <v>118</v>
      </c>
      <c r="H382" s="15" t="s">
        <v>1608</v>
      </c>
    </row>
    <row r="383" ht="56.25" customHeight="1">
      <c r="A383" s="23" t="s">
        <v>2956</v>
      </c>
      <c r="B383" s="15" t="str">
        <f>image("https://imgur.com/s9CvkLf.png")</f>
        <v/>
      </c>
      <c r="C383" s="15">
        <v>1000.0</v>
      </c>
      <c r="D383" s="15">
        <v>250.0</v>
      </c>
      <c r="E383" s="13" t="s">
        <v>2360</v>
      </c>
      <c r="F383" s="15">
        <v>10863.0</v>
      </c>
      <c r="G383" s="15" t="s">
        <v>1614</v>
      </c>
      <c r="H383" s="15" t="s">
        <v>107</v>
      </c>
    </row>
    <row r="384" ht="56.25" customHeight="1">
      <c r="A384" s="23" t="s">
        <v>2958</v>
      </c>
      <c r="B384" s="15" t="str">
        <f>image("https://imgur.com/TvtyXqf.png")</f>
        <v/>
      </c>
      <c r="C384" s="15">
        <v>1000.0</v>
      </c>
      <c r="D384" s="15">
        <v>250.0</v>
      </c>
      <c r="E384" s="13" t="s">
        <v>2360</v>
      </c>
      <c r="F384" s="15">
        <v>10341.0</v>
      </c>
      <c r="G384" s="15" t="s">
        <v>208</v>
      </c>
      <c r="H384" s="15" t="s">
        <v>258</v>
      </c>
    </row>
    <row r="385" ht="56.25" customHeight="1">
      <c r="A385" s="23" t="s">
        <v>2959</v>
      </c>
      <c r="B385" s="15" t="str">
        <f>image("https://imgur.com/U9FzUOx.png")</f>
        <v/>
      </c>
      <c r="C385" s="15">
        <v>1000.0</v>
      </c>
      <c r="D385" s="15">
        <v>250.0</v>
      </c>
      <c r="E385" s="13" t="s">
        <v>2360</v>
      </c>
      <c r="F385" s="15">
        <v>10601.0</v>
      </c>
      <c r="G385" s="15" t="s">
        <v>211</v>
      </c>
      <c r="H385" s="15" t="s">
        <v>208</v>
      </c>
    </row>
    <row r="386" ht="56.25" customHeight="1">
      <c r="A386" s="23" t="s">
        <v>2961</v>
      </c>
      <c r="B386" s="15" t="str">
        <f>image("https://imgur.com/Wb0sIJo.png")</f>
        <v/>
      </c>
      <c r="C386" s="15">
        <v>1000.0</v>
      </c>
      <c r="D386" s="15">
        <v>250.0</v>
      </c>
      <c r="E386" s="13" t="s">
        <v>2360</v>
      </c>
      <c r="F386" s="15">
        <v>10489.0</v>
      </c>
      <c r="G386" s="15" t="s">
        <v>1614</v>
      </c>
      <c r="H386" s="15" t="s">
        <v>208</v>
      </c>
    </row>
    <row r="387" ht="56.25" customHeight="1">
      <c r="A387" s="23" t="s">
        <v>2963</v>
      </c>
      <c r="B387" s="15" t="str">
        <f>image("https://imgur.com/0RhSImc.png")</f>
        <v/>
      </c>
      <c r="C387" s="15">
        <v>1000.0</v>
      </c>
      <c r="D387" s="15">
        <v>250.0</v>
      </c>
      <c r="E387" s="13" t="s">
        <v>2360</v>
      </c>
      <c r="F387" s="15">
        <v>10368.0</v>
      </c>
      <c r="G387" s="15" t="s">
        <v>521</v>
      </c>
      <c r="H387" s="15" t="s">
        <v>118</v>
      </c>
    </row>
    <row r="388" ht="56.25" customHeight="1">
      <c r="A388" s="23" t="s">
        <v>2964</v>
      </c>
      <c r="B388" s="15" t="str">
        <f>image("https://imgur.com/WtUV387.png")</f>
        <v/>
      </c>
      <c r="C388" s="15">
        <v>1000.0</v>
      </c>
      <c r="D388" s="15">
        <v>250.0</v>
      </c>
      <c r="E388" s="13" t="s">
        <v>2360</v>
      </c>
      <c r="F388" s="15">
        <v>10671.0</v>
      </c>
      <c r="G388" s="15" t="s">
        <v>107</v>
      </c>
      <c r="H388" s="15" t="s">
        <v>112</v>
      </c>
    </row>
    <row r="389" ht="56.25" customHeight="1">
      <c r="A389" s="23" t="s">
        <v>2966</v>
      </c>
      <c r="B389" s="15" t="str">
        <f>image("https://imgur.com/3cd1TVA.png")</f>
        <v/>
      </c>
      <c r="C389" s="15">
        <v>1000.0</v>
      </c>
      <c r="D389" s="15">
        <v>250.0</v>
      </c>
      <c r="E389" s="13" t="s">
        <v>2360</v>
      </c>
      <c r="F389" s="15">
        <v>10815.0</v>
      </c>
      <c r="G389" s="15" t="s">
        <v>107</v>
      </c>
      <c r="H389" s="15" t="s">
        <v>369</v>
      </c>
    </row>
    <row r="390" ht="56.25" customHeight="1">
      <c r="A390" s="23" t="s">
        <v>2967</v>
      </c>
      <c r="B390" s="15" t="str">
        <f>image("https://imgur.com/vSualTz.png")</f>
        <v/>
      </c>
      <c r="C390" s="15">
        <v>1000.0</v>
      </c>
      <c r="D390" s="15">
        <v>250.0</v>
      </c>
      <c r="E390" s="13" t="s">
        <v>2360</v>
      </c>
      <c r="F390" s="15">
        <v>10511.0</v>
      </c>
      <c r="G390" s="15" t="s">
        <v>521</v>
      </c>
      <c r="H390" s="15" t="s">
        <v>1614</v>
      </c>
    </row>
    <row r="391" ht="56.25" customHeight="1">
      <c r="A391" s="23" t="s">
        <v>2969</v>
      </c>
      <c r="B391" s="15" t="str">
        <f>image("https://imgur.com/KmgoyKO.png")</f>
        <v/>
      </c>
      <c r="C391" s="15">
        <v>1000.0</v>
      </c>
      <c r="D391" s="15">
        <v>250.0</v>
      </c>
      <c r="E391" s="13" t="s">
        <v>2360</v>
      </c>
      <c r="F391" s="15">
        <v>10793.0</v>
      </c>
      <c r="G391" s="15" t="s">
        <v>118</v>
      </c>
      <c r="H391" s="15" t="s">
        <v>112</v>
      </c>
    </row>
    <row r="392" ht="56.25" customHeight="1">
      <c r="A392" s="23" t="s">
        <v>2970</v>
      </c>
      <c r="B392" s="15" t="str">
        <f>image("https://imgur.com/Sv5ZBaV.png")</f>
        <v/>
      </c>
      <c r="C392" s="15">
        <v>1000.0</v>
      </c>
      <c r="D392" s="15">
        <v>250.0</v>
      </c>
      <c r="E392" s="13" t="s">
        <v>2360</v>
      </c>
      <c r="F392" s="15">
        <v>10639.0</v>
      </c>
      <c r="G392" s="15" t="s">
        <v>521</v>
      </c>
      <c r="H392" s="15" t="s">
        <v>99</v>
      </c>
    </row>
    <row r="393" ht="56.25" customHeight="1">
      <c r="A393" s="23" t="s">
        <v>2971</v>
      </c>
      <c r="B393" s="15" t="str">
        <f>image("https://imgur.com/u3ZaZYs.png")</f>
        <v/>
      </c>
      <c r="C393" s="15">
        <v>1000.0</v>
      </c>
      <c r="D393" s="15">
        <v>250.0</v>
      </c>
      <c r="E393" s="13" t="s">
        <v>2360</v>
      </c>
      <c r="F393" s="15">
        <v>10405.0</v>
      </c>
      <c r="G393" s="15" t="s">
        <v>82</v>
      </c>
      <c r="H393" s="15" t="s">
        <v>107</v>
      </c>
    </row>
    <row r="394" ht="56.25" customHeight="1">
      <c r="A394" s="37" t="s">
        <v>2973</v>
      </c>
      <c r="B394" s="15" t="str">
        <f>image("https://imgur.com/hLg5Zxr.png")</f>
        <v/>
      </c>
      <c r="C394" s="25">
        <v>1000.0</v>
      </c>
      <c r="D394" s="25">
        <v>250.0</v>
      </c>
      <c r="E394" s="13" t="s">
        <v>2360</v>
      </c>
      <c r="F394" s="15">
        <v>10644.0</v>
      </c>
      <c r="G394" s="15" t="s">
        <v>369</v>
      </c>
      <c r="H394" s="15" t="s">
        <v>99</v>
      </c>
    </row>
    <row r="395" ht="56.25" customHeight="1">
      <c r="A395" s="23" t="s">
        <v>2975</v>
      </c>
      <c r="B395" s="15" t="str">
        <f>image("https://imgur.com/pRa9pvC.png")</f>
        <v/>
      </c>
      <c r="C395" s="15">
        <v>1000.0</v>
      </c>
      <c r="D395" s="15">
        <v>250.0</v>
      </c>
      <c r="E395" s="13" t="s">
        <v>2360</v>
      </c>
      <c r="F395" s="15">
        <v>10567.0</v>
      </c>
      <c r="G395" s="15" t="s">
        <v>464</v>
      </c>
      <c r="H395" s="15" t="s">
        <v>118</v>
      </c>
    </row>
    <row r="396" ht="56.25" customHeight="1">
      <c r="A396" s="23" t="s">
        <v>2976</v>
      </c>
      <c r="B396" s="15" t="str">
        <f>image("https://imgur.com/kKMDxAH.png")</f>
        <v/>
      </c>
      <c r="C396" s="15">
        <v>1000.0</v>
      </c>
      <c r="D396" s="15">
        <v>250.0</v>
      </c>
      <c r="E396" s="13" t="s">
        <v>2360</v>
      </c>
      <c r="F396" s="15">
        <v>10609.0</v>
      </c>
      <c r="G396" s="15" t="s">
        <v>107</v>
      </c>
      <c r="H396" s="15" t="s">
        <v>1614</v>
      </c>
    </row>
    <row r="397" ht="56.25" customHeight="1">
      <c r="A397" s="23" t="s">
        <v>2977</v>
      </c>
      <c r="B397" s="15" t="str">
        <f>image("https://imgur.com/r3WmvQX.png")</f>
        <v/>
      </c>
      <c r="C397" s="15">
        <v>1000.0</v>
      </c>
      <c r="D397" s="15">
        <v>250.0</v>
      </c>
      <c r="E397" s="13" t="s">
        <v>2360</v>
      </c>
      <c r="F397" s="15">
        <v>10665.0</v>
      </c>
      <c r="G397" s="15" t="s">
        <v>94</v>
      </c>
      <c r="H397" s="15" t="s">
        <v>112</v>
      </c>
    </row>
    <row r="398" ht="56.25" customHeight="1">
      <c r="A398" s="23" t="s">
        <v>2979</v>
      </c>
      <c r="B398" s="15" t="str">
        <f>image("https://imgur.com/zk7JvUl.png")</f>
        <v/>
      </c>
      <c r="C398" s="15">
        <v>1000.0</v>
      </c>
      <c r="D398" s="15">
        <v>250.0</v>
      </c>
      <c r="E398" s="13" t="s">
        <v>2360</v>
      </c>
      <c r="F398" s="15">
        <v>10475.0</v>
      </c>
      <c r="G398" s="15" t="s">
        <v>208</v>
      </c>
      <c r="H398" s="15" t="s">
        <v>94</v>
      </c>
    </row>
    <row r="399" ht="56.25" customHeight="1">
      <c r="A399" s="23" t="s">
        <v>2980</v>
      </c>
      <c r="B399" s="15" t="str">
        <f>image("https://imgur.com/LnC50fO.png")</f>
        <v/>
      </c>
      <c r="C399" s="15">
        <v>1000.0</v>
      </c>
      <c r="D399" s="15">
        <v>250.0</v>
      </c>
      <c r="E399" s="13" t="s">
        <v>2360</v>
      </c>
      <c r="F399" s="15">
        <v>10524.0</v>
      </c>
      <c r="G399" s="15" t="s">
        <v>258</v>
      </c>
      <c r="H399" s="15" t="s">
        <v>1614</v>
      </c>
    </row>
    <row r="400" ht="56.25" customHeight="1">
      <c r="A400" s="23" t="s">
        <v>2981</v>
      </c>
      <c r="B400" s="15" t="str">
        <f>image("https://imgur.com/GP6S4ip.png")</f>
        <v/>
      </c>
      <c r="C400" s="15">
        <v>1000.0</v>
      </c>
      <c r="D400" s="15">
        <v>250.0</v>
      </c>
      <c r="E400" s="13" t="s">
        <v>2360</v>
      </c>
      <c r="F400" s="15">
        <v>10811.0</v>
      </c>
      <c r="G400" s="15" t="s">
        <v>112</v>
      </c>
      <c r="H400" s="15" t="s">
        <v>112</v>
      </c>
    </row>
    <row r="401" ht="56.25" customHeight="1">
      <c r="A401" s="23" t="s">
        <v>2982</v>
      </c>
      <c r="B401" s="15" t="str">
        <f>image("https://imgur.com/kcE1sCT.png")</f>
        <v/>
      </c>
      <c r="C401" s="15">
        <v>1000.0</v>
      </c>
      <c r="D401" s="15">
        <v>250.0</v>
      </c>
      <c r="E401" s="13" t="s">
        <v>2360</v>
      </c>
      <c r="F401" s="15">
        <v>10582.0</v>
      </c>
      <c r="G401" s="15" t="s">
        <v>464</v>
      </c>
      <c r="H401" s="15" t="s">
        <v>211</v>
      </c>
    </row>
    <row r="402" ht="56.25" customHeight="1">
      <c r="A402" s="23" t="s">
        <v>2984</v>
      </c>
      <c r="B402" s="15" t="str">
        <f>image("https://imgur.com/TZLXEh4.png")</f>
        <v/>
      </c>
      <c r="C402" s="15">
        <v>1000.0</v>
      </c>
      <c r="D402" s="15">
        <v>250.0</v>
      </c>
      <c r="E402" s="13" t="s">
        <v>2360</v>
      </c>
      <c r="F402" s="15">
        <v>10612.0</v>
      </c>
      <c r="G402" s="15" t="s">
        <v>118</v>
      </c>
      <c r="H402" s="15" t="s">
        <v>464</v>
      </c>
    </row>
    <row r="403" ht="56.25" customHeight="1">
      <c r="A403" s="23" t="s">
        <v>2985</v>
      </c>
      <c r="B403" s="15" t="str">
        <f>image("https://imgur.com/MNIOzxO.png")</f>
        <v/>
      </c>
      <c r="C403" s="15">
        <v>1000.0</v>
      </c>
      <c r="D403" s="15">
        <v>250.0</v>
      </c>
      <c r="E403" s="13" t="s">
        <v>2360</v>
      </c>
      <c r="F403" s="15">
        <v>10574.0</v>
      </c>
      <c r="G403" s="15" t="s">
        <v>464</v>
      </c>
      <c r="H403" s="15" t="s">
        <v>521</v>
      </c>
    </row>
    <row r="404" ht="56.25" customHeight="1">
      <c r="A404" s="23" t="s">
        <v>2986</v>
      </c>
      <c r="B404" s="15" t="str">
        <f>image("https://imgur.com/Yvp9Aj1.png")</f>
        <v/>
      </c>
      <c r="C404" s="15">
        <v>1000.0</v>
      </c>
      <c r="D404" s="15">
        <v>250.0</v>
      </c>
      <c r="E404" s="13" t="s">
        <v>2360</v>
      </c>
      <c r="F404" s="15">
        <v>10823.0</v>
      </c>
      <c r="G404" s="15" t="s">
        <v>94</v>
      </c>
      <c r="H404" s="15" t="s">
        <v>112</v>
      </c>
    </row>
    <row r="405" ht="56.25" customHeight="1">
      <c r="A405" s="23" t="s">
        <v>2988</v>
      </c>
      <c r="B405" s="15" t="str">
        <f>image("https://imgur.com/4a2nb17.png")</f>
        <v/>
      </c>
      <c r="C405" s="15">
        <v>1000.0</v>
      </c>
      <c r="D405" s="15">
        <v>250.0</v>
      </c>
      <c r="E405" s="13" t="s">
        <v>2360</v>
      </c>
      <c r="F405" s="15">
        <v>10441.0</v>
      </c>
      <c r="G405" s="15" t="s">
        <v>521</v>
      </c>
      <c r="H405" s="15" t="s">
        <v>99</v>
      </c>
    </row>
    <row r="406" ht="56.25" customHeight="1">
      <c r="A406" s="23" t="s">
        <v>2990</v>
      </c>
      <c r="B406" s="15" t="str">
        <f>image("https://imgur.com/UWBdHd6.png")</f>
        <v/>
      </c>
      <c r="C406" s="15">
        <v>1000.0</v>
      </c>
      <c r="D406" s="15">
        <v>250.0</v>
      </c>
      <c r="E406" s="13" t="s">
        <v>2360</v>
      </c>
      <c r="F406" s="15">
        <v>10641.0</v>
      </c>
      <c r="G406" s="15" t="s">
        <v>369</v>
      </c>
      <c r="H406" s="15" t="s">
        <v>112</v>
      </c>
    </row>
    <row r="407" ht="56.25" customHeight="1">
      <c r="A407" s="23" t="s">
        <v>2992</v>
      </c>
      <c r="B407" s="15" t="str">
        <f>image("https://imgur.com/EJ9VEwM.png")</f>
        <v/>
      </c>
      <c r="C407" s="15">
        <v>1000.0</v>
      </c>
      <c r="D407" s="15">
        <v>250.0</v>
      </c>
      <c r="E407" s="13" t="s">
        <v>2360</v>
      </c>
      <c r="F407" s="15">
        <v>10476.0</v>
      </c>
      <c r="G407" s="15" t="s">
        <v>211</v>
      </c>
      <c r="H407" s="15" t="s">
        <v>464</v>
      </c>
    </row>
    <row r="408" ht="56.25" customHeight="1">
      <c r="A408" s="23" t="s">
        <v>2993</v>
      </c>
      <c r="B408" s="15" t="str">
        <f>image("https://imgur.com/xtySCjg.png")</f>
        <v/>
      </c>
      <c r="C408" s="15">
        <v>1000.0</v>
      </c>
      <c r="D408" s="15">
        <v>250.0</v>
      </c>
      <c r="E408" s="13" t="s">
        <v>2360</v>
      </c>
      <c r="F408" s="15">
        <v>10553.0</v>
      </c>
      <c r="G408" s="15" t="s">
        <v>211</v>
      </c>
      <c r="H408" s="15" t="s">
        <v>1614</v>
      </c>
    </row>
    <row r="409" ht="56.25" customHeight="1">
      <c r="A409" s="23" t="s">
        <v>2994</v>
      </c>
      <c r="B409" s="15" t="str">
        <f>image("https://imgur.com/VWgpABs.png")</f>
        <v/>
      </c>
      <c r="C409" s="15">
        <v>1000.0</v>
      </c>
      <c r="D409" s="15">
        <v>250.0</v>
      </c>
      <c r="E409" s="13" t="s">
        <v>2360</v>
      </c>
      <c r="F409" s="15">
        <v>10786.0</v>
      </c>
      <c r="G409" s="15" t="s">
        <v>521</v>
      </c>
      <c r="H409" s="15" t="s">
        <v>369</v>
      </c>
    </row>
    <row r="410" ht="56.25" customHeight="1">
      <c r="A410" s="23" t="s">
        <v>2996</v>
      </c>
      <c r="B410" s="15" t="str">
        <f>image("https://imgur.com/N7lvnTr.png")</f>
        <v/>
      </c>
      <c r="C410" s="15">
        <v>1000.0</v>
      </c>
      <c r="D410" s="15">
        <v>250.0</v>
      </c>
      <c r="E410" s="13" t="s">
        <v>2360</v>
      </c>
      <c r="F410" s="15">
        <v>10578.0</v>
      </c>
      <c r="G410" s="15" t="s">
        <v>94</v>
      </c>
      <c r="H410" s="15" t="s">
        <v>208</v>
      </c>
    </row>
    <row r="411" ht="56.25" customHeight="1">
      <c r="A411" s="23" t="s">
        <v>2997</v>
      </c>
      <c r="B411" s="15" t="str">
        <f>image("https://imgur.com/mkDZS2y.png")</f>
        <v/>
      </c>
      <c r="C411" s="15">
        <v>1000.0</v>
      </c>
      <c r="D411" s="15">
        <v>250.0</v>
      </c>
      <c r="E411" s="13" t="s">
        <v>2360</v>
      </c>
      <c r="F411" s="15">
        <v>10651.0</v>
      </c>
      <c r="G411" s="15" t="s">
        <v>99</v>
      </c>
      <c r="H411" s="15" t="s">
        <v>118</v>
      </c>
    </row>
    <row r="412" ht="56.25" customHeight="1">
      <c r="A412" s="23" t="s">
        <v>2998</v>
      </c>
      <c r="B412" s="15" t="str">
        <f>image("https://imgur.com/sxFHDKy.png")</f>
        <v/>
      </c>
      <c r="C412" s="15">
        <v>1000.0</v>
      </c>
      <c r="D412" s="15">
        <v>250.0</v>
      </c>
      <c r="E412" s="13" t="s">
        <v>2360</v>
      </c>
      <c r="F412" s="15">
        <v>10775.0</v>
      </c>
      <c r="G412" s="15" t="s">
        <v>521</v>
      </c>
      <c r="H412" s="15" t="s">
        <v>258</v>
      </c>
    </row>
    <row r="413" ht="56.25" customHeight="1">
      <c r="A413" s="23" t="s">
        <v>3000</v>
      </c>
      <c r="B413" s="15" t="str">
        <f>image("https://imgur.com/vcYW8nl.png")</f>
        <v/>
      </c>
      <c r="C413" s="15">
        <v>1000.0</v>
      </c>
      <c r="D413" s="15">
        <v>250.0</v>
      </c>
      <c r="E413" s="13" t="s">
        <v>2360</v>
      </c>
      <c r="F413" s="15">
        <v>10546.0</v>
      </c>
      <c r="G413" s="15" t="s">
        <v>99</v>
      </c>
      <c r="H413" s="15" t="s">
        <v>94</v>
      </c>
    </row>
    <row r="414" ht="56.25" customHeight="1">
      <c r="A414" s="23" t="s">
        <v>3001</v>
      </c>
      <c r="B414" s="15" t="str">
        <f>image("https://imgur.com/GBwyVbM.png")</f>
        <v/>
      </c>
      <c r="C414" s="15">
        <v>1000.0</v>
      </c>
      <c r="D414" s="15">
        <v>250.0</v>
      </c>
      <c r="E414" s="13" t="s">
        <v>2360</v>
      </c>
      <c r="F414" s="15">
        <v>10350.0</v>
      </c>
      <c r="G414" s="15" t="s">
        <v>82</v>
      </c>
      <c r="H414" s="15" t="s">
        <v>1614</v>
      </c>
    </row>
    <row r="415" ht="56.25" customHeight="1">
      <c r="A415" s="23" t="s">
        <v>3002</v>
      </c>
      <c r="B415" s="15" t="str">
        <f>image("https://imgur.com/6ZwwQMi.png")</f>
        <v/>
      </c>
      <c r="C415" s="15">
        <v>1000.0</v>
      </c>
      <c r="D415" s="15">
        <v>250.0</v>
      </c>
      <c r="E415" s="13" t="s">
        <v>2360</v>
      </c>
      <c r="F415" s="15">
        <v>10635.0</v>
      </c>
      <c r="G415" s="15" t="s">
        <v>82</v>
      </c>
      <c r="H415" s="15" t="s">
        <v>99</v>
      </c>
    </row>
    <row r="416" ht="56.25" customHeight="1">
      <c r="A416" s="23" t="s">
        <v>3004</v>
      </c>
      <c r="B416" s="15" t="str">
        <f>image("https://imgur.com/QoxV32V.png")</f>
        <v/>
      </c>
      <c r="C416" s="15">
        <v>1000.0</v>
      </c>
      <c r="D416" s="15">
        <v>250.0</v>
      </c>
      <c r="E416" s="13" t="s">
        <v>2360</v>
      </c>
      <c r="F416" s="15">
        <v>10388.0</v>
      </c>
      <c r="G416" s="15" t="s">
        <v>118</v>
      </c>
      <c r="H416" s="15" t="s">
        <v>112</v>
      </c>
    </row>
    <row r="417" ht="56.25" customHeight="1">
      <c r="A417" s="23" t="s">
        <v>3005</v>
      </c>
      <c r="B417" s="15" t="str">
        <f>image("https://imgur.com/eEY82kI.png")</f>
        <v/>
      </c>
      <c r="C417" s="15">
        <v>1000.0</v>
      </c>
      <c r="D417" s="15">
        <v>250.0</v>
      </c>
      <c r="E417" s="13" t="s">
        <v>2360</v>
      </c>
      <c r="F417" s="15">
        <v>10437.0</v>
      </c>
      <c r="G417" s="15" t="s">
        <v>118</v>
      </c>
      <c r="H417" s="15" t="s">
        <v>369</v>
      </c>
    </row>
    <row r="418" ht="56.25" customHeight="1">
      <c r="A418" s="23" t="s">
        <v>3007</v>
      </c>
      <c r="B418" s="15" t="str">
        <f>image("https://imgur.com/lKO63Hw.png")</f>
        <v/>
      </c>
      <c r="C418" s="15">
        <v>1000.0</v>
      </c>
      <c r="D418" s="15">
        <v>250.0</v>
      </c>
      <c r="E418" s="13" t="s">
        <v>2360</v>
      </c>
      <c r="F418" s="15">
        <v>10359.0</v>
      </c>
      <c r="G418" s="15" t="s">
        <v>82</v>
      </c>
      <c r="H418" s="15" t="s">
        <v>107</v>
      </c>
    </row>
    <row r="419" ht="56.25" customHeight="1">
      <c r="A419" s="23" t="s">
        <v>3008</v>
      </c>
      <c r="B419" s="15" t="str">
        <f>image("https://imgur.com/MmWbzCR.png")</f>
        <v/>
      </c>
      <c r="C419" s="15">
        <v>1000.0</v>
      </c>
      <c r="D419" s="15">
        <v>250.0</v>
      </c>
      <c r="E419" s="13" t="s">
        <v>2360</v>
      </c>
      <c r="F419" s="15">
        <v>10384.0</v>
      </c>
      <c r="G419" s="15" t="s">
        <v>118</v>
      </c>
      <c r="H419" s="15" t="s">
        <v>369</v>
      </c>
    </row>
    <row r="420" ht="56.25" customHeight="1">
      <c r="A420" s="23" t="s">
        <v>3011</v>
      </c>
      <c r="B420" s="15" t="str">
        <f>image("https://imgur.com/EHSCMWX.png")</f>
        <v/>
      </c>
      <c r="C420" s="15">
        <v>1000.0</v>
      </c>
      <c r="D420" s="15">
        <v>250.0</v>
      </c>
      <c r="E420" s="13" t="s">
        <v>2360</v>
      </c>
      <c r="F420" s="15">
        <v>10358.0</v>
      </c>
      <c r="G420" s="15" t="s">
        <v>112</v>
      </c>
      <c r="H420" s="15" t="s">
        <v>99</v>
      </c>
    </row>
    <row r="421" ht="56.25" customHeight="1">
      <c r="A421" s="23" t="s">
        <v>3012</v>
      </c>
      <c r="B421" s="15" t="str">
        <f>image("https://imgur.com/HnxAsDn.png")</f>
        <v/>
      </c>
      <c r="C421" s="15">
        <v>1000.0</v>
      </c>
      <c r="D421" s="15">
        <v>250.0</v>
      </c>
      <c r="E421" s="13" t="s">
        <v>2360</v>
      </c>
      <c r="F421" s="15">
        <v>10338.0</v>
      </c>
      <c r="G421" s="15" t="s">
        <v>118</v>
      </c>
      <c r="H421" s="15" t="s">
        <v>369</v>
      </c>
    </row>
    <row r="422" ht="56.25" customHeight="1">
      <c r="A422" s="23" t="s">
        <v>3013</v>
      </c>
      <c r="B422" s="15" t="str">
        <f>image("https://imgur.com/T04dlJ0.png")</f>
        <v/>
      </c>
      <c r="C422" s="15">
        <v>1000.0</v>
      </c>
      <c r="D422" s="15">
        <v>250.0</v>
      </c>
      <c r="E422" s="13" t="s">
        <v>2360</v>
      </c>
      <c r="F422" s="15">
        <v>10792.0</v>
      </c>
      <c r="G422" s="15" t="s">
        <v>369</v>
      </c>
      <c r="H422" s="15" t="s">
        <v>112</v>
      </c>
    </row>
    <row r="423" ht="56.25" customHeight="1">
      <c r="A423" s="23" t="s">
        <v>3015</v>
      </c>
      <c r="B423" s="15" t="str">
        <f>image("https://imgur.com/uRwigPS.png")</f>
        <v/>
      </c>
      <c r="C423" s="15">
        <v>1000.0</v>
      </c>
      <c r="D423" s="15">
        <v>250.0</v>
      </c>
      <c r="E423" s="13" t="s">
        <v>2360</v>
      </c>
      <c r="F423" s="15">
        <v>10691.0</v>
      </c>
      <c r="G423" s="15" t="s">
        <v>107</v>
      </c>
      <c r="H423" s="15" t="s">
        <v>521</v>
      </c>
    </row>
    <row r="424" ht="56.25" customHeight="1">
      <c r="A424" s="23" t="s">
        <v>3016</v>
      </c>
      <c r="B424" s="15" t="str">
        <f>image("https://imgur.com/H4XLZfp.png")</f>
        <v/>
      </c>
      <c r="C424" s="15">
        <v>1000.0</v>
      </c>
      <c r="D424" s="15">
        <v>250.0</v>
      </c>
      <c r="E424" s="13" t="s">
        <v>2360</v>
      </c>
      <c r="F424" s="15">
        <v>10477.0</v>
      </c>
      <c r="G424" s="15" t="s">
        <v>521</v>
      </c>
      <c r="H424" s="15" t="s">
        <v>211</v>
      </c>
    </row>
    <row r="425" ht="56.25" customHeight="1">
      <c r="A425" s="23" t="s">
        <v>3017</v>
      </c>
      <c r="B425" s="15" t="str">
        <f>image("https://imgur.com/VGkuswF.png")</f>
        <v/>
      </c>
      <c r="C425" s="15">
        <v>1000.0</v>
      </c>
      <c r="D425" s="15">
        <v>250.0</v>
      </c>
      <c r="E425" s="13" t="s">
        <v>2360</v>
      </c>
      <c r="F425" s="15">
        <v>10822.0</v>
      </c>
      <c r="G425" s="15" t="s">
        <v>82</v>
      </c>
      <c r="H425" s="15" t="s">
        <v>208</v>
      </c>
    </row>
    <row r="426" ht="56.25" customHeight="1">
      <c r="A426" s="23" t="s">
        <v>3019</v>
      </c>
      <c r="B426" s="15" t="str">
        <f>image("https://imgur.com/BQ5ZPfE.png")</f>
        <v/>
      </c>
      <c r="C426" s="15">
        <v>1000.0</v>
      </c>
      <c r="D426" s="15">
        <v>250.0</v>
      </c>
      <c r="E426" s="13" t="s">
        <v>2360</v>
      </c>
      <c r="F426" s="15">
        <v>10808.0</v>
      </c>
      <c r="G426" s="15" t="s">
        <v>211</v>
      </c>
      <c r="H426" s="15" t="s">
        <v>1614</v>
      </c>
    </row>
    <row r="427" ht="56.25" customHeight="1">
      <c r="A427" s="23" t="s">
        <v>3020</v>
      </c>
      <c r="B427" s="15" t="str">
        <f>image("https://imgur.com/kQh67h2.png")</f>
        <v/>
      </c>
      <c r="C427" s="15">
        <v>1000.0</v>
      </c>
      <c r="D427" s="15">
        <v>250.0</v>
      </c>
      <c r="E427" s="13" t="s">
        <v>2360</v>
      </c>
      <c r="F427" s="15">
        <v>10610.0</v>
      </c>
      <c r="G427" s="15" t="s">
        <v>521</v>
      </c>
      <c r="H427" s="15" t="s">
        <v>521</v>
      </c>
    </row>
    <row r="428" ht="56.25" customHeight="1">
      <c r="A428" s="23" t="s">
        <v>3021</v>
      </c>
      <c r="B428" s="15" t="str">
        <f>image("https://imgur.com/6hJEnEv.png")</f>
        <v/>
      </c>
      <c r="C428" s="15">
        <v>1000.0</v>
      </c>
      <c r="D428" s="15">
        <v>250.0</v>
      </c>
      <c r="E428" s="13" t="s">
        <v>2360</v>
      </c>
      <c r="F428" s="15">
        <v>10812.0</v>
      </c>
      <c r="G428" s="15" t="s">
        <v>107</v>
      </c>
      <c r="H428" s="15" t="s">
        <v>211</v>
      </c>
    </row>
    <row r="429" ht="56.25" customHeight="1">
      <c r="A429" s="23" t="s">
        <v>3022</v>
      </c>
      <c r="B429" s="15" t="str">
        <f>image("https://imgur.com/e3Bn8uK.png")</f>
        <v/>
      </c>
      <c r="C429" s="15">
        <v>1000.0</v>
      </c>
      <c r="D429" s="15">
        <v>250.0</v>
      </c>
      <c r="E429" s="13" t="s">
        <v>2360</v>
      </c>
      <c r="F429" s="15">
        <v>10449.0</v>
      </c>
      <c r="G429" s="15" t="s">
        <v>107</v>
      </c>
      <c r="H429" s="15" t="s">
        <v>118</v>
      </c>
    </row>
    <row r="430" ht="56.25" customHeight="1">
      <c r="A430" s="23" t="s">
        <v>3024</v>
      </c>
      <c r="B430" s="15" t="str">
        <f>image("https://imgur.com/aegMN0u.png")</f>
        <v/>
      </c>
      <c r="C430" s="15">
        <v>1000.0</v>
      </c>
      <c r="D430" s="15">
        <v>250.0</v>
      </c>
      <c r="E430" s="13" t="s">
        <v>2360</v>
      </c>
      <c r="F430" s="15">
        <v>10418.0</v>
      </c>
      <c r="G430" s="15" t="s">
        <v>82</v>
      </c>
      <c r="H430" s="15" t="s">
        <v>99</v>
      </c>
    </row>
    <row r="431" ht="56.25" customHeight="1">
      <c r="A431" s="23" t="s">
        <v>3027</v>
      </c>
      <c r="B431" s="15" t="str">
        <f>image("https://imgur.com/cHQWbQ8.png")</f>
        <v/>
      </c>
      <c r="C431" s="15">
        <v>1000.0</v>
      </c>
      <c r="D431" s="15">
        <v>250.0</v>
      </c>
      <c r="E431" s="13" t="s">
        <v>2360</v>
      </c>
      <c r="F431" s="15">
        <v>10415.0</v>
      </c>
      <c r="G431" s="15" t="s">
        <v>118</v>
      </c>
      <c r="H431" s="15" t="s">
        <v>99</v>
      </c>
    </row>
    <row r="432" ht="56.25" customHeight="1">
      <c r="A432" s="23" t="s">
        <v>3028</v>
      </c>
      <c r="B432" s="15" t="str">
        <f>image("https://imgur.com/EHpAXhK.png")</f>
        <v/>
      </c>
      <c r="C432" s="15">
        <v>1000.0</v>
      </c>
      <c r="D432" s="15">
        <v>250.0</v>
      </c>
      <c r="E432" s="13" t="s">
        <v>2360</v>
      </c>
      <c r="F432" s="15">
        <v>10497.0</v>
      </c>
      <c r="G432" s="15" t="s">
        <v>211</v>
      </c>
      <c r="H432" s="15" t="s">
        <v>369</v>
      </c>
    </row>
    <row r="433" ht="56.25" customHeight="1">
      <c r="A433" s="23" t="s">
        <v>3030</v>
      </c>
      <c r="B433" s="15" t="str">
        <f>image("https://imgur.com/5SyMEzB.png")</f>
        <v/>
      </c>
      <c r="C433" s="15">
        <v>1000.0</v>
      </c>
      <c r="D433" s="15">
        <v>250.0</v>
      </c>
      <c r="E433" s="13" t="s">
        <v>2360</v>
      </c>
      <c r="F433" s="15">
        <v>10741.0</v>
      </c>
      <c r="G433" s="15" t="s">
        <v>208</v>
      </c>
      <c r="H433" s="15" t="s">
        <v>211</v>
      </c>
    </row>
    <row r="434" ht="56.25" customHeight="1">
      <c r="A434" s="23" t="s">
        <v>3032</v>
      </c>
      <c r="B434" s="15" t="str">
        <f>image("https://imgur.com/vlV44M8.png")</f>
        <v/>
      </c>
      <c r="C434" s="15">
        <v>1000.0</v>
      </c>
      <c r="D434" s="15">
        <v>250.0</v>
      </c>
      <c r="E434" s="13" t="s">
        <v>2360</v>
      </c>
      <c r="F434" s="15">
        <v>10499.0</v>
      </c>
      <c r="G434" s="15" t="s">
        <v>107</v>
      </c>
      <c r="H434" s="15" t="s">
        <v>369</v>
      </c>
    </row>
    <row r="435" ht="56.25" customHeight="1">
      <c r="A435" s="23" t="s">
        <v>3034</v>
      </c>
      <c r="B435" s="15" t="str">
        <f>image("https://imgur.com/h6vr7dp.png")</f>
        <v/>
      </c>
      <c r="C435" s="15">
        <v>1000.0</v>
      </c>
      <c r="D435" s="15">
        <v>250.0</v>
      </c>
      <c r="E435" s="13" t="s">
        <v>2360</v>
      </c>
      <c r="F435" s="15">
        <v>10603.0</v>
      </c>
      <c r="G435" s="15" t="s">
        <v>118</v>
      </c>
      <c r="H435" s="15" t="s">
        <v>1608</v>
      </c>
    </row>
    <row r="436" ht="56.25" customHeight="1">
      <c r="A436" s="23" t="s">
        <v>3035</v>
      </c>
      <c r="B436" s="15" t="str">
        <f>image("https://imgur.com/g48SLZy.png")</f>
        <v/>
      </c>
      <c r="C436" s="15">
        <v>1000.0</v>
      </c>
      <c r="D436" s="15">
        <v>250.0</v>
      </c>
      <c r="E436" s="13" t="s">
        <v>2360</v>
      </c>
      <c r="F436" s="15">
        <v>10362.0</v>
      </c>
      <c r="G436" s="15" t="s">
        <v>107</v>
      </c>
      <c r="H436" s="15" t="s">
        <v>94</v>
      </c>
    </row>
    <row r="437" ht="56.25" customHeight="1">
      <c r="A437" s="23" t="s">
        <v>3037</v>
      </c>
      <c r="B437" s="15" t="str">
        <f>image("https://imgur.com/xr7RXx1.png")</f>
        <v/>
      </c>
      <c r="C437" s="15">
        <v>1000.0</v>
      </c>
      <c r="D437" s="15">
        <v>250.0</v>
      </c>
      <c r="E437" s="13" t="s">
        <v>2360</v>
      </c>
      <c r="F437" s="15">
        <v>10614.0</v>
      </c>
      <c r="G437" s="15" t="s">
        <v>99</v>
      </c>
      <c r="H437" s="15" t="s">
        <v>112</v>
      </c>
    </row>
    <row r="438" ht="56.25" customHeight="1">
      <c r="A438" s="23" t="s">
        <v>3039</v>
      </c>
      <c r="B438" s="15" t="str">
        <f>image("https://imgur.com/foJRX9U.png")</f>
        <v/>
      </c>
      <c r="C438" s="15">
        <v>1000.0</v>
      </c>
      <c r="D438" s="15">
        <v>250.0</v>
      </c>
      <c r="E438" s="13" t="s">
        <v>2360</v>
      </c>
      <c r="F438" s="15">
        <v>10330.0</v>
      </c>
      <c r="G438" s="15" t="s">
        <v>94</v>
      </c>
      <c r="H438" s="15" t="s">
        <v>369</v>
      </c>
    </row>
    <row r="439" ht="56.25" customHeight="1">
      <c r="A439" s="23" t="s">
        <v>3040</v>
      </c>
      <c r="B439" s="15" t="str">
        <f>image("https://imgur.com/G3gMytK.png")</f>
        <v/>
      </c>
      <c r="C439" s="15">
        <v>1000.0</v>
      </c>
      <c r="D439" s="15">
        <v>250.0</v>
      </c>
      <c r="E439" s="13" t="s">
        <v>2360</v>
      </c>
      <c r="F439" s="15">
        <v>10559.0</v>
      </c>
      <c r="G439" s="15" t="s">
        <v>94</v>
      </c>
      <c r="H439" s="15" t="s">
        <v>118</v>
      </c>
    </row>
    <row r="440" ht="56.25" customHeight="1">
      <c r="A440" s="23" t="s">
        <v>3043</v>
      </c>
      <c r="B440" s="15" t="str">
        <f>image("https://imgur.com/73ZyN1F.png")</f>
        <v/>
      </c>
      <c r="C440" s="15">
        <v>1000.0</v>
      </c>
      <c r="D440" s="15">
        <v>250.0</v>
      </c>
      <c r="E440" s="13" t="s">
        <v>2360</v>
      </c>
      <c r="F440" s="15">
        <v>10465.0</v>
      </c>
      <c r="G440" s="15" t="s">
        <v>521</v>
      </c>
      <c r="H440" s="15" t="s">
        <v>369</v>
      </c>
    </row>
    <row r="441" ht="56.25" customHeight="1">
      <c r="A441" s="23" t="s">
        <v>3045</v>
      </c>
      <c r="B441" s="15" t="str">
        <f>image("https://imgur.com/BIxf06C.png")</f>
        <v/>
      </c>
      <c r="C441" s="15">
        <v>1000.0</v>
      </c>
      <c r="D441" s="15">
        <v>250.0</v>
      </c>
      <c r="E441" s="13" t="s">
        <v>2360</v>
      </c>
      <c r="F441" s="15">
        <v>10636.0</v>
      </c>
      <c r="G441" s="15" t="s">
        <v>107</v>
      </c>
      <c r="H441" s="15" t="s">
        <v>1608</v>
      </c>
    </row>
    <row r="442" ht="56.25" customHeight="1">
      <c r="A442" s="23" t="s">
        <v>3046</v>
      </c>
      <c r="B442" s="15" t="str">
        <f>image("https://imgur.com/TjtRKcp.png")</f>
        <v/>
      </c>
      <c r="C442" s="15">
        <v>1000.0</v>
      </c>
      <c r="D442" s="15">
        <v>250.0</v>
      </c>
      <c r="E442" s="13" t="s">
        <v>2360</v>
      </c>
      <c r="F442" s="15">
        <v>10434.0</v>
      </c>
      <c r="G442" s="15" t="s">
        <v>1614</v>
      </c>
      <c r="H442" s="15" t="s">
        <v>1608</v>
      </c>
    </row>
    <row r="443" ht="56.25" customHeight="1">
      <c r="A443" s="23" t="s">
        <v>3048</v>
      </c>
      <c r="B443" s="15" t="str">
        <f>image("https://imgur.com/oj71R37.png")</f>
        <v/>
      </c>
      <c r="C443" s="15">
        <v>1000.0</v>
      </c>
      <c r="D443" s="15">
        <v>250.0</v>
      </c>
      <c r="E443" s="13" t="s">
        <v>2360</v>
      </c>
      <c r="F443" s="15">
        <v>10381.0</v>
      </c>
      <c r="G443" s="15" t="s">
        <v>208</v>
      </c>
      <c r="H443" s="15" t="s">
        <v>1614</v>
      </c>
    </row>
    <row r="444" ht="56.25" customHeight="1">
      <c r="A444" s="23" t="s">
        <v>3049</v>
      </c>
      <c r="B444" s="15" t="str">
        <f>image("https://imgur.com/OVUIBuh.png")</f>
        <v/>
      </c>
      <c r="C444" s="15">
        <v>1000.0</v>
      </c>
      <c r="D444" s="15">
        <v>250.0</v>
      </c>
      <c r="E444" s="13" t="s">
        <v>2360</v>
      </c>
      <c r="F444" s="15">
        <v>10377.0</v>
      </c>
      <c r="G444" s="15" t="s">
        <v>1614</v>
      </c>
      <c r="H444" s="15" t="s">
        <v>118</v>
      </c>
    </row>
    <row r="445" ht="56.25" customHeight="1">
      <c r="A445" s="23" t="s">
        <v>3050</v>
      </c>
      <c r="B445" s="15" t="str">
        <f>image("https://imgur.com/tFB49Gb.png")</f>
        <v/>
      </c>
      <c r="C445" s="15">
        <v>1000.0</v>
      </c>
      <c r="D445" s="15">
        <v>250.0</v>
      </c>
      <c r="E445" s="13" t="s">
        <v>2360</v>
      </c>
      <c r="F445" s="15">
        <v>10327.0</v>
      </c>
      <c r="G445" s="15" t="s">
        <v>211</v>
      </c>
      <c r="H445" s="15" t="s">
        <v>107</v>
      </c>
    </row>
    <row r="446" ht="56.25" customHeight="1">
      <c r="A446" s="23" t="s">
        <v>3052</v>
      </c>
      <c r="B446" s="15" t="str">
        <f>image("https://imgur.com/yomQnzK.png")</f>
        <v/>
      </c>
      <c r="C446" s="15">
        <v>1000.0</v>
      </c>
      <c r="D446" s="15">
        <v>250.0</v>
      </c>
      <c r="E446" s="13" t="s">
        <v>2360</v>
      </c>
      <c r="F446" s="15">
        <v>10663.0</v>
      </c>
      <c r="G446" s="15" t="s">
        <v>1608</v>
      </c>
      <c r="H446" s="15" t="s">
        <v>1614</v>
      </c>
    </row>
    <row r="447" ht="56.25" customHeight="1">
      <c r="A447" s="23" t="s">
        <v>3053</v>
      </c>
      <c r="B447" s="15" t="str">
        <f>image("https://imgur.com/rsfIavK.png")</f>
        <v/>
      </c>
      <c r="C447" s="15">
        <v>1000.0</v>
      </c>
      <c r="D447" s="15">
        <v>250.0</v>
      </c>
      <c r="E447" s="13" t="s">
        <v>2360</v>
      </c>
      <c r="F447" s="15">
        <v>10472.0</v>
      </c>
      <c r="G447" s="15" t="s">
        <v>112</v>
      </c>
      <c r="H447" s="15" t="s">
        <v>118</v>
      </c>
    </row>
    <row r="448" ht="56.25" customHeight="1">
      <c r="A448" s="23" t="s">
        <v>3055</v>
      </c>
      <c r="B448" s="15" t="str">
        <f>image("https://imgur.com/plcrcm6.png")</f>
        <v/>
      </c>
      <c r="C448" s="15">
        <v>1000.0</v>
      </c>
      <c r="D448" s="15">
        <v>250.0</v>
      </c>
      <c r="E448" s="13" t="s">
        <v>2360</v>
      </c>
      <c r="F448" s="15">
        <v>10683.0</v>
      </c>
      <c r="G448" s="15" t="s">
        <v>112</v>
      </c>
      <c r="H448" s="15" t="s">
        <v>369</v>
      </c>
    </row>
    <row r="449" ht="56.25" customHeight="1">
      <c r="A449" s="23" t="s">
        <v>3056</v>
      </c>
      <c r="B449" s="15" t="str">
        <f>image("https://imgur.com/MdzJJel.png")</f>
        <v/>
      </c>
      <c r="C449" s="15">
        <v>1000.0</v>
      </c>
      <c r="D449" s="15">
        <v>250.0</v>
      </c>
      <c r="E449" s="13" t="s">
        <v>2360</v>
      </c>
      <c r="F449" s="15">
        <v>10389.0</v>
      </c>
      <c r="G449" s="15" t="s">
        <v>99</v>
      </c>
      <c r="H449" s="15" t="s">
        <v>82</v>
      </c>
    </row>
    <row r="450" ht="56.25" customHeight="1">
      <c r="A450" s="23" t="s">
        <v>3058</v>
      </c>
      <c r="B450" s="15" t="str">
        <f>image("https://imgur.com/g4cG5uW.png")</f>
        <v/>
      </c>
      <c r="C450" s="15">
        <v>1000.0</v>
      </c>
      <c r="D450" s="15">
        <v>250.0</v>
      </c>
      <c r="E450" s="13" t="s">
        <v>2360</v>
      </c>
      <c r="F450" s="15">
        <v>10522.0</v>
      </c>
      <c r="G450" s="15" t="s">
        <v>211</v>
      </c>
      <c r="H450" s="15" t="s">
        <v>107</v>
      </c>
    </row>
    <row r="451" ht="56.25" customHeight="1">
      <c r="A451" s="23" t="s">
        <v>3060</v>
      </c>
      <c r="B451" s="15" t="str">
        <f>image("https://imgur.com/BQC1BrE.png")</f>
        <v/>
      </c>
      <c r="C451" s="15">
        <v>1000.0</v>
      </c>
      <c r="D451" s="15">
        <v>250.0</v>
      </c>
      <c r="E451" s="13" t="s">
        <v>2360</v>
      </c>
      <c r="F451" s="15">
        <v>10569.0</v>
      </c>
      <c r="G451" s="15" t="s">
        <v>1608</v>
      </c>
      <c r="H451" s="15" t="s">
        <v>112</v>
      </c>
    </row>
    <row r="452" ht="56.25" customHeight="1">
      <c r="A452" s="23" t="s">
        <v>3062</v>
      </c>
      <c r="B452" s="15" t="str">
        <f>image("https://imgur.com/13ArqzX.png")</f>
        <v/>
      </c>
      <c r="C452" s="15">
        <v>1000.0</v>
      </c>
      <c r="D452" s="15">
        <v>250.0</v>
      </c>
      <c r="E452" s="13" t="s">
        <v>2360</v>
      </c>
      <c r="F452" s="15"/>
      <c r="G452" s="15"/>
      <c r="H452" s="15"/>
    </row>
    <row r="453" ht="56.25" customHeight="1">
      <c r="A453" s="23" t="s">
        <v>3063</v>
      </c>
      <c r="B453" s="15" t="str">
        <f>image("https://imgur.com/zCkcebw.png")</f>
        <v/>
      </c>
      <c r="C453" s="15">
        <v>1000.0</v>
      </c>
      <c r="D453" s="15">
        <v>250.0</v>
      </c>
      <c r="E453" s="13" t="s">
        <v>2360</v>
      </c>
      <c r="F453" s="15"/>
      <c r="G453" s="15"/>
      <c r="H453" s="15"/>
    </row>
  </sheetData>
  <drawing r:id="rId1"/>
</worksheet>
</file>