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Copy of Sheet6" sheetId="3" r:id="rId6"/>
    <sheet state="visible" name="Pivot Table 3" sheetId="4" r:id="rId7"/>
    <sheet state="visible" name="Sheet5" sheetId="5" r:id="rId8"/>
    <sheet state="visible" name="Sheet4" sheetId="6" r:id="rId9"/>
    <sheet state="visible" name="Sheet2" sheetId="7" r:id="rId10"/>
  </sheets>
  <definedNames>
    <definedName hidden="1" localSheetId="0" name="_xlnm._FilterDatabase">Sheet1!$A$1:$AD$968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<sst xmlns="http://schemas.openxmlformats.org/spreadsheetml/2006/main" count="587" uniqueCount="79">
  <si>
    <t>Congress Number</t>
  </si>
  <si>
    <t>Date Convened</t>
  </si>
  <si>
    <t>Date Ended</t>
  </si>
  <si>
    <t>Days in Session</t>
  </si>
  <si>
    <t>% of Days in Session</t>
  </si>
  <si>
    <t>Speaker</t>
  </si>
  <si>
    <t>President</t>
  </si>
  <si>
    <t>Presidential Party</t>
  </si>
  <si>
    <t>House Control</t>
  </si>
  <si>
    <t>Senate Control</t>
  </si>
  <si>
    <t>Overall Control</t>
  </si>
  <si>
    <t>Bills Introduced</t>
  </si>
  <si>
    <t>Bills Passed</t>
  </si>
  <si>
    <t>Bill Passage Rate</t>
  </si>
  <si>
    <t>Sam Rayburn</t>
  </si>
  <si>
    <t>Harry S. Truman</t>
  </si>
  <si>
    <t>Democrat</t>
  </si>
  <si>
    <t>Joseph W. Martin Jr.</t>
  </si>
  <si>
    <t>Dwight D. Eisenhower</t>
  </si>
  <si>
    <t>Republican</t>
  </si>
  <si>
    <t>John F. Kennedy</t>
  </si>
  <si>
    <t>John W. McCormack</t>
  </si>
  <si>
    <t>Lyndon B. Johnson</t>
  </si>
  <si>
    <t>Richard Nixon</t>
  </si>
  <si>
    <t>Carl Albert</t>
  </si>
  <si>
    <t>Gerald Ford</t>
  </si>
  <si>
    <t>Tip O'Neill</t>
  </si>
  <si>
    <t>Jimmy Carter</t>
  </si>
  <si>
    <t>Ronald Reagan</t>
  </si>
  <si>
    <t>Jim Wright</t>
  </si>
  <si>
    <t>George H.W. Bush</t>
  </si>
  <si>
    <t>Tom Foley</t>
  </si>
  <si>
    <t>Bill Clinton</t>
  </si>
  <si>
    <t>Newt Gingrich</t>
  </si>
  <si>
    <t>Dennis Hastert</t>
  </si>
  <si>
    <t>George W. Bush</t>
  </si>
  <si>
    <t>Nancy Pelosi</t>
  </si>
  <si>
    <t>Barack Obama</t>
  </si>
  <si>
    <t>John Boehner</t>
  </si>
  <si>
    <t>Paul Ryan</t>
  </si>
  <si>
    <t>Donald Trump</t>
  </si>
  <si>
    <t>Joe Biden</t>
  </si>
  <si>
    <t>SUM of Bills Introduced</t>
  </si>
  <si>
    <t>SUM of Bills Passed</t>
  </si>
  <si>
    <t>Democrat Total</t>
  </si>
  <si>
    <t>Gerald Ford Total</t>
  </si>
  <si>
    <t>Richard Nixon Total</t>
  </si>
  <si>
    <t>Carl Albert Total</t>
  </si>
  <si>
    <t>Republican Total</t>
  </si>
  <si>
    <t>Bill Clinton Total</t>
  </si>
  <si>
    <t>Split</t>
  </si>
  <si>
    <t>Split Total</t>
  </si>
  <si>
    <t>George W. Bush Total</t>
  </si>
  <si>
    <t>Dennis Hastert Total</t>
  </si>
  <si>
    <t>George H.W. Bush Total</t>
  </si>
  <si>
    <t>Ronald Reagan Total</t>
  </si>
  <si>
    <t>Jim Wright Total</t>
  </si>
  <si>
    <t>Barack Obama Total</t>
  </si>
  <si>
    <t>John Boehner Total</t>
  </si>
  <si>
    <t>John F. Kennedy Total</t>
  </si>
  <si>
    <t>Lyndon B. Johnson Total</t>
  </si>
  <si>
    <t>John W. McCormack Total</t>
  </si>
  <si>
    <t>Dwight D. Eisenhower Total</t>
  </si>
  <si>
    <t>Joseph W. Martin Jr. Total</t>
  </si>
  <si>
    <t>Donald Trump Total</t>
  </si>
  <si>
    <t>Joe Biden Total</t>
  </si>
  <si>
    <t>Nancy Pelosi Total</t>
  </si>
  <si>
    <t>Newt Gingrich Total</t>
  </si>
  <si>
    <t>Paul Ryan Total</t>
  </si>
  <si>
    <t>Harry S. Truman Total</t>
  </si>
  <si>
    <t>Sam Rayburn Total</t>
  </si>
  <si>
    <t>Jimmy Carter Total</t>
  </si>
  <si>
    <t>Tip O'Neill Total</t>
  </si>
  <si>
    <t>Tom Foley Total</t>
  </si>
  <si>
    <t>Grand Total</t>
  </si>
  <si>
    <t>% of Bills Passed</t>
  </si>
  <si>
    <t>Bill Passage</t>
  </si>
  <si>
    <t>Three Months Later</t>
  </si>
  <si>
    <t>Kevin McCarthy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</si>
</sst>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4" numFmtId="0" xfId="0" applyAlignment="1" applyFill="1" applyFont="1">
      <alignment horizontal="left" readingOrder="0"/>
    </xf>
    <xf borderId="0" fillId="0" fontId="1" numFmtId="0" xfId="0" applyFont="1"/>
    <xf borderId="0" fillId="0" fontId="2" numFmtId="3" xfId="0" applyFont="1" applyNumberFormat="1"/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1" sheet="Sheet1"/>
  </cacheSource>
  <cacheFields>
    <cacheField name="Congress Number" numFmtId="0">
      <sharedItems containsSemiMixedTypes="0" containsString="0" containsNumber="1" containsInteger="1"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</sharedItems>
    </cacheField>
    <cacheField name="Date Convened" numFmtId="164">
      <sharedItems containsSemiMixedTypes="0" containsDate="1" containsString="0">
        <d v="1951-01-03T00:00:00Z"/>
        <d v="1953-01-03T00:00:00Z"/>
        <d v="1955-01-03T00:00:00Z"/>
        <d v="1957-01-03T00:00:00Z"/>
        <d v="1959-01-03T00:00:00Z"/>
        <d v="1961-01-03T00:00:00Z"/>
        <d v="1963-01-03T00:00:00Z"/>
        <d v="1963-11-22T00:00:00Z"/>
        <d v="1965-01-03T00:00:00Z"/>
        <d v="1967-01-03T00:00:00Z"/>
        <d v="1969-01-03T00:00:00Z"/>
        <d v="1971-01-03T00:00:00Z"/>
        <d v="1973-01-03T00:00:00Z"/>
        <d v="1974-08-09T00:00:00Z"/>
        <d v="1975-01-03T00:00:00Z"/>
        <d v="1977-01-03T00:00:00Z"/>
        <d v="1979-01-03T00:00:00Z"/>
        <d v="1981-01-03T00:00:00Z"/>
        <d v="1983-01-03T00:00:00Z"/>
        <d v="1985-01-03T00:00:00Z"/>
        <d v="1987-01-03T00:00:00Z"/>
        <d v="1989-01-03T00:00:00Z"/>
        <d v="1989-06-06T00:00:00Z"/>
        <d v="1991-01-03T00:00:00Z"/>
        <d v="1993-01-03T00:00:00Z"/>
        <d v="1995-01-03T00:00:00Z"/>
        <d v="1997-01-03T00:00:00Z"/>
        <d v="1999-01-03T00:00:00Z"/>
        <d v="2001-01-03T00:00:00Z"/>
        <d v="2003-01-03T00:00:00Z"/>
        <d v="2005-01-03T00:00:00Z"/>
        <d v="2007-01-03T00:00:00Z"/>
        <d v="2009-01-03T00:00:00Z"/>
        <d v="2011-01-03T00:00:00Z"/>
        <d v="2013-01-03T00:00:00Z"/>
        <d v="2015-01-03T00:00:00Z"/>
        <d v="2015-10-29T00:00:00Z"/>
        <d v="2017-01-03T00:00:00Z"/>
        <d v="2019-01-03T00:00:00Z"/>
        <d v="2021-01-03T00:00:00Z"/>
      </sharedItems>
    </cacheField>
    <cacheField name="Date Ended" numFmtId="164">
      <sharedItems containsSemiMixedTypes="0" containsDate="1" containsString="0">
        <d v="1953-01-03T00:00:00Z"/>
        <d v="1955-01-03T00:00:00Z"/>
        <d v="1957-01-03T00:00:00Z"/>
        <d v="1959-01-03T00:00:00Z"/>
        <d v="1961-01-03T00:00:00Z"/>
        <d v="1963-01-03T00:00:00Z"/>
        <d v="1963-11-22T00:00:00Z"/>
        <d v="1965-01-03T00:00:00Z"/>
        <d v="1967-01-03T00:00:00Z"/>
        <d v="1969-01-03T00:00:00Z"/>
        <d v="1971-01-03T00:00:00Z"/>
        <d v="1973-01-03T00:00:00Z"/>
        <d v="1974-08-09T00:00:00Z"/>
        <d v="1975-01-03T00:00:00Z"/>
        <d v="1977-01-03T00:00:00Z"/>
        <d v="1979-01-03T00:00:00Z"/>
        <d v="1981-01-03T00:00:00Z"/>
        <d v="1983-01-03T00:00:00Z"/>
        <d v="1985-01-03T00:00:00Z"/>
        <d v="1987-01-03T00:00:00Z"/>
        <d v="1989-01-03T00:00:00Z"/>
        <d v="1989-06-06T00:00:00Z"/>
        <d v="1991-01-03T00:00:00Z"/>
        <d v="1993-01-03T00:00:00Z"/>
        <d v="1995-01-03T00:00:00Z"/>
        <d v="1997-01-03T00:00:00Z"/>
        <d v="1999-01-03T00:00:00Z"/>
        <d v="2001-01-03T00:00:00Z"/>
        <d v="2003-01-03T00:00:00Z"/>
        <d v="2005-01-03T00:00:00Z"/>
        <d v="2007-01-03T00:00:00Z"/>
        <d v="2009-01-03T00:00:00Z"/>
        <d v="2011-01-03T00:00:00Z"/>
        <d v="2013-01-03T00:00:00Z"/>
        <d v="2015-01-03T00:00:00Z"/>
        <d v="2015-10-29T00:00:00Z"/>
        <d v="2017-01-03T00:00:00Z"/>
        <d v="2019-01-03T00:00:00Z"/>
        <d v="2021-01-03T00:00:00Z"/>
        <d v="2023-01-03T00:00:00Z"/>
      </sharedItems>
    </cacheField>
    <cacheField name="Days in Session" numFmtId="0">
      <sharedItems containsSemiMixedTypes="0" containsString="0" containsNumber="1" containsInteger="1">
        <n v="471.0"/>
        <n v="542.0"/>
        <n v="415.0"/>
        <n v="468.0"/>
        <n v="490.0"/>
        <n v="543.0"/>
        <n v="317.0"/>
        <n v="308.0"/>
        <n v="577.0"/>
        <n v="612.0"/>
        <n v="702.0"/>
        <n v="604.0"/>
        <n v="553.0"/>
        <n v="133.0"/>
        <n v="595.0"/>
        <n v="614.0"/>
        <n v="701.0"/>
        <n v="677.0"/>
        <n v="582.0"/>
        <n v="621.0"/>
        <n v="154.0"/>
        <n v="447.0"/>
        <n v="645.0"/>
        <n v="635.0"/>
        <n v="639.0"/>
        <n v="636.0"/>
        <n v="646.0"/>
        <n v="654.0"/>
        <n v="659.0"/>
        <n v="691.0"/>
        <n v="715.0"/>
        <n v="703.0"/>
        <n v="729.0"/>
        <n v="704.0"/>
        <n v="296.0"/>
        <n v="730.0"/>
        <n v="731.0"/>
      </sharedItems>
    </cacheField>
    <cacheField name="% of Days in Session" numFmtId="10">
      <sharedItems containsSemiMixedTypes="0" containsString="0" containsNumber="1">
        <n v="0.6443228454172366"/>
        <n v="0.7424657534246575"/>
        <n v="0.5677154582763337"/>
        <n v="0.6410958904109589"/>
        <n v="0.6703146374829001"/>
        <n v="0.7438356164383562"/>
        <n v="0.9814241486068112"/>
        <n v="0.7549019607843137"/>
        <n v="0.7904109589041096"/>
        <n v="0.8372093023255814"/>
        <n v="0.9616438356164384"/>
        <n v="0.826265389876881"/>
        <n v="0.9485420240137221"/>
        <n v="0.9047619047619048"/>
        <n v="0.813953488372093"/>
        <n v="0.8410958904109589"/>
        <n v="0.9589603283173734"/>
        <n v="0.9273972602739726"/>
        <n v="0.7961696306429549"/>
        <n v="0.8506849315068493"/>
        <n v="0.8495212038303693"/>
        <n v="1.0"/>
        <n v="0.7760416666666666"/>
        <n v="0.8823529411764706"/>
        <n v="0.8698630136986302"/>
        <n v="0.8741450068399452"/>
        <n v="0.8712328767123287"/>
        <n v="0.8837209302325582"/>
        <n v="0.8958904109589041"/>
        <n v="0.9015047879616963"/>
        <n v="0.9465753424657535"/>
        <n v="0.9781121751025992"/>
        <n v="0.963013698630137"/>
        <n v="0.9972640218878249"/>
        <n v="0.9643835616438357"/>
        <n v="0.9899665551839465"/>
        <n v="0.9606481481481481"/>
      </sharedItems>
    </cacheField>
    <cacheField name="Speaker" numFmtId="0">
      <sharedItems>
        <s v="Sam Rayburn"/>
        <s v="Joseph W. Martin Jr."/>
        <s v="John W. McCormack"/>
        <s v="Carl Albert"/>
        <s v="Tip O'Neill"/>
        <s v="Jim Wright"/>
        <s v="Tom Foley"/>
        <s v="Newt Gingrich"/>
        <s v="Dennis Hastert"/>
        <s v="Nancy Pelosi"/>
        <s v="John Boehner"/>
        <s v="Paul Ryan"/>
      </sharedItems>
    </cacheField>
    <cacheField name="President" numFmtId="0">
      <sharedItems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W. Bush"/>
        <s v="Bill Clinton"/>
        <s v="George W. Bush"/>
        <s v="Barack Obama"/>
        <s v="Donald Trump"/>
        <s v="Joe Biden"/>
      </sharedItems>
    </cacheField>
    <cacheField name="Presidential Party" numFmtId="0">
      <sharedItems>
        <s v="Democrat"/>
        <s v="Republican"/>
      </sharedItems>
    </cacheField>
    <cacheField name="House Control" numFmtId="0">
      <sharedItems>
        <s v="Democrat"/>
        <s v="Republican"/>
      </sharedItems>
    </cacheField>
    <cacheField name="Senate Control" numFmtId="0">
      <sharedItems>
        <s v="Democrat"/>
        <s v="Republican"/>
      </sharedItems>
    </cacheField>
    <cacheField name="Overall Control" numFmtId="0">
      <sharedItems>
        <s v="Democrat"/>
        <s v="Republican"/>
        <s v="Split"/>
      </sharedItems>
    </cacheField>
    <cacheField name="Bills Introduced" numFmtId="0">
      <sharedItems containsSemiMixedTypes="0" containsString="0" containsNumber="1" containsInteger="1">
        <n v="530.0"/>
        <n v="708.0"/>
        <n v="946.0"/>
        <n v="862.0"/>
        <n v="733.0"/>
        <n v="797.0"/>
        <n v="307.0"/>
        <n v="299.0"/>
        <n v="741.0"/>
        <n v="561.0"/>
        <n v="601.0"/>
        <n v="514.0"/>
        <n v="20427.0"/>
        <n v="1523.0"/>
        <n v="19762.0"/>
        <n v="18044.0"/>
        <n v="11721.0"/>
        <n v="10581.0"/>
        <n v="9538.0"/>
        <n v="8697.0"/>
        <n v="8509.0"/>
        <n v="3703.0"/>
        <n v="5545.0"/>
        <n v="9602.0"/>
        <n v="7879.0"/>
        <n v="6543.0"/>
        <n v="7529.0"/>
        <n v="8968.0"/>
        <n v="8946.0"/>
        <n v="8464.0"/>
        <n v="10554.0"/>
        <n v="11077.0"/>
        <n v="10621.0"/>
        <n v="10439.0"/>
        <n v="8905.0"/>
        <n v="6053.0"/>
        <n v="4021.0"/>
        <n v="11199.0"/>
        <n v="14148.0"/>
        <n v="15055.0"/>
      </sharedItems>
    </cacheField>
    <cacheField name="Bills Passed" numFmtId="0">
      <sharedItems containsSemiMixedTypes="0" containsString="0" containsNumber="1" containsInteger="1">
        <n v="1549.0"/>
        <n v="1706.0"/>
        <n v="1796.0"/>
        <n v="1587.0"/>
        <n v="1214.0"/>
        <n v="1481.0"/>
        <n v="269.0"/>
        <n v="668.0"/>
        <n v="1212.0"/>
        <n v="932.0"/>
        <n v="847.0"/>
        <n v="676.0"/>
        <n v="400.0"/>
        <n v="290.0"/>
        <n v="734.0"/>
        <n v="652.0"/>
        <n v="413.0"/>
        <n v="479.0"/>
        <n v="594.0"/>
        <n v="516.0"/>
        <n v="9.0"/>
        <n v="426.0"/>
        <n v="527.0"/>
        <n v="370.0"/>
        <n v="311.0"/>
        <n v="371.0"/>
        <n v="558.0"/>
        <n v="350.0"/>
        <n v="476.0"/>
        <n v="465.0"/>
        <n v="442.0"/>
        <n v="366.0"/>
        <n v="272.0"/>
        <n v="282.0"/>
        <n v="72.0"/>
        <n v="254.0"/>
        <n v="417.0"/>
        <n v="333.0"/>
        <n v="358.0"/>
      </sharedItems>
    </cacheField>
    <cacheField name="Bill Passage Rate" numFmtId="10">
      <sharedItems containsSemiMixedTypes="0" containsString="0" containsNumber="1">
        <n v="2.922641509433962"/>
        <n v="2.4096045197740112"/>
        <n v="1.8985200845665962"/>
        <n v="1.8410672853828307"/>
        <n v="1.6562073669849933"/>
        <n v="1.8582183186951067"/>
        <n v="0.8762214983713354"/>
        <n v="2.234113712374582"/>
        <n v="1.6356275303643724"/>
        <n v="1.661319073083779"/>
        <n v="1.4093178036605658"/>
        <n v="1.3151750972762646"/>
        <n v="0.019581925882410534"/>
        <n v="0.19041365725541695"/>
        <n v="0.03380224673616031"/>
        <n v="0.04067834183107958"/>
        <n v="0.05562665301595427"/>
        <n v="0.039032227577733676"/>
        <n v="0.05022017194380373"/>
        <n v="0.0682994135908934"/>
        <n v="0.060641673522153015"/>
        <n v="0.0024304617877396704"/>
        <n v="0.07682596934174932"/>
        <n v="0.054884399083524264"/>
        <n v="0.04696027414646529"/>
        <n v="0.0475317132813694"/>
        <n v="0.04927613228848453"/>
        <n v="0.062221231043710974"/>
        <n v="0.03912363067292645"/>
        <n v="0.05623818525519849"/>
        <n v="0.04405912450255827"/>
        <n v="0.03990250067707863"/>
        <n v="0.0344600320120516"/>
        <n v="0.02605613564517674"/>
        <n v="0.03166760247052218"/>
        <n v="0.011894928134809185"/>
        <n v="0.06316836607809002"/>
        <n v="0.03723546745245111"/>
        <n v="0.023536895674300253"/>
        <n v="0.02377947525738957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F91" firstHeaderRow="0" firstDataRow="5" firstDataCol="0"/>
  <pivotFields>
    <pivotField name="Congress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ate Conven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ate End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ays in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% of Days in Sess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Speaker" axis="axisRow" compact="0" outline="0" multipleItemSelectionAllowed="1" showAll="0" sortType="ascending">
      <items>
        <item x="3"/>
        <item x="8"/>
        <item x="5"/>
        <item x="10"/>
        <item x="2"/>
        <item x="1"/>
        <item x="9"/>
        <item x="7"/>
        <item x="11"/>
        <item x="0"/>
        <item x="4"/>
        <item x="6"/>
        <item t="default"/>
      </items>
    </pivotField>
    <pivotField name="President" axis="axisRow" compact="0" outline="0" multipleItemSelectionAllowed="1" showAll="0" sortType="ascending">
      <items>
        <item x="11"/>
        <item x="9"/>
        <item x="12"/>
        <item x="1"/>
        <item x="8"/>
        <item x="10"/>
        <item x="5"/>
        <item x="0"/>
        <item x="6"/>
        <item x="13"/>
        <item x="2"/>
        <item x="3"/>
        <item x="4"/>
        <item x="7"/>
        <item t="default"/>
      </items>
    </pivotField>
    <pivotField name="Presidential Party" axis="axisRow" compact="0" outline="0" multipleItemSelectionAllowed="1" showAll="0" sortType="ascending">
      <items>
        <item x="0"/>
        <item x="1"/>
        <item t="default"/>
      </items>
    </pivotField>
    <pivotField name="House Control" compact="0" outline="0" multipleItemSelectionAllowed="1" showAll="0">
      <items>
        <item x="0"/>
        <item x="1"/>
        <item t="default"/>
      </items>
    </pivotField>
    <pivotField name="Senate Control" compact="0" outline="0" multipleItemSelectionAllowed="1" showAll="0">
      <items>
        <item x="0"/>
        <item x="1"/>
        <item t="default"/>
      </items>
    </pivotField>
    <pivotField name="Overall Control" axis="axisRow" compact="0" outline="0" multipleItemSelectionAllowed="1" showAll="0" sortType="ascending">
      <items>
        <item x="0"/>
        <item x="1"/>
        <item x="2"/>
        <item t="default"/>
      </items>
    </pivotField>
    <pivotField name="Bills Introduc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Bills Pas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Bill Passag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5"/>
    <field x="6"/>
    <field x="10"/>
    <field x="7"/>
  </rowFields>
  <colFields>
    <field x="-2"/>
  </colFields>
  <dataFields>
    <dataField name="SUM of Bills Introduced" fld="11" baseField="0"/>
    <dataField name="SUM of Bills Passed" fld="12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3.13"/>
    <col customWidth="1" min="3" max="3" width="12.63"/>
    <col customWidth="1" min="4" max="4" width="16.25"/>
    <col customWidth="1" min="5" max="5" width="20.25"/>
    <col customWidth="1" min="6" max="6" width="16.38"/>
    <col customWidth="1" min="7" max="8" width="17.38"/>
    <col customWidth="1" min="9" max="9" width="15.0"/>
    <col customWidth="1" min="10" max="11" width="15.38"/>
    <col customWidth="1" min="12" max="12" width="13.63"/>
    <col customWidth="1" min="14" max="14" width="17.38"/>
    <col customWidth="1" min="15" max="15" width="14.75"/>
    <col customWidth="1" min="16" max="16" width="19.75"/>
    <col customWidth="1" min="17" max="17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82.0</v>
      </c>
      <c r="B2" s="4">
        <v>18631.0</v>
      </c>
      <c r="C2" s="4">
        <v>19362.0</v>
      </c>
      <c r="D2" s="5">
        <f>DAYS("10/20/1951","1/3/1951") + DAYS("7/7/1952", "1/8/1952")</f>
        <v>471</v>
      </c>
      <c r="E2" s="6">
        <f t="shared" ref="E2:E41" si="1">D2/(C2-B2)</f>
        <v>0.6443228454</v>
      </c>
      <c r="F2" s="7" t="s">
        <v>14</v>
      </c>
      <c r="G2" s="7" t="s">
        <v>15</v>
      </c>
      <c r="H2" s="7" t="s">
        <v>16</v>
      </c>
      <c r="I2" s="7" t="s">
        <v>16</v>
      </c>
      <c r="J2" s="7" t="s">
        <v>16</v>
      </c>
      <c r="K2" s="7" t="str">
        <f t="shared" ref="K2:K41" si="2">IF(AND(I2="Democrat",J2="Democrat"),"Democrat", IF(AND(I2="Republican",J2="Republican"),"Republican", "Split")
)</f>
        <v>Democrat</v>
      </c>
      <c r="L2" s="7">
        <v>530.0</v>
      </c>
      <c r="M2" s="7">
        <v>1549.0</v>
      </c>
      <c r="N2" s="6">
        <f t="shared" ref="N2:N41" si="3">M2/L2</f>
        <v>2.922641509</v>
      </c>
    </row>
    <row r="3">
      <c r="A3" s="3">
        <v>83.0</v>
      </c>
      <c r="B3" s="8">
        <f t="shared" ref="B3:B8" si="4">C2</f>
        <v>19362</v>
      </c>
      <c r="C3" s="4">
        <v>20092.0</v>
      </c>
      <c r="D3" s="5">
        <f>DAYS("8/3/1953","1/3/1953") + DAYS("12/2/1954", "1/6/1954")</f>
        <v>542</v>
      </c>
      <c r="E3" s="6">
        <f t="shared" si="1"/>
        <v>0.7424657534</v>
      </c>
      <c r="F3" s="7" t="s">
        <v>17</v>
      </c>
      <c r="G3" s="7" t="s">
        <v>18</v>
      </c>
      <c r="H3" s="7" t="s">
        <v>19</v>
      </c>
      <c r="I3" s="7" t="s">
        <v>19</v>
      </c>
      <c r="J3" s="7" t="s">
        <v>19</v>
      </c>
      <c r="K3" s="7" t="str">
        <f t="shared" si="2"/>
        <v>Republican</v>
      </c>
      <c r="L3" s="7">
        <v>708.0</v>
      </c>
      <c r="M3" s="7">
        <v>1706.0</v>
      </c>
      <c r="N3" s="6">
        <f t="shared" si="3"/>
        <v>2.40960452</v>
      </c>
    </row>
    <row r="4">
      <c r="A4" s="3">
        <v>84.0</v>
      </c>
      <c r="B4" s="8">
        <f t="shared" si="4"/>
        <v>20092</v>
      </c>
      <c r="C4" s="4">
        <v>20823.0</v>
      </c>
      <c r="D4" s="5">
        <f>DAYS("8/2/1955","1/5/1955") + DAYS("7/27/1956", "1/3/1956")</f>
        <v>415</v>
      </c>
      <c r="E4" s="6">
        <f t="shared" si="1"/>
        <v>0.5677154583</v>
      </c>
      <c r="F4" s="7" t="s">
        <v>14</v>
      </c>
      <c r="G4" s="7" t="s">
        <v>18</v>
      </c>
      <c r="H4" s="7" t="s">
        <v>19</v>
      </c>
      <c r="I4" s="7" t="s">
        <v>16</v>
      </c>
      <c r="J4" s="7" t="s">
        <v>16</v>
      </c>
      <c r="K4" s="7" t="str">
        <f t="shared" si="2"/>
        <v>Democrat</v>
      </c>
      <c r="L4" s="7">
        <v>946.0</v>
      </c>
      <c r="M4" s="7">
        <v>1796.0</v>
      </c>
      <c r="N4" s="6">
        <f t="shared" si="3"/>
        <v>1.898520085</v>
      </c>
    </row>
    <row r="5">
      <c r="A5" s="3">
        <v>85.0</v>
      </c>
      <c r="B5" s="8">
        <f t="shared" si="4"/>
        <v>20823</v>
      </c>
      <c r="C5" s="4">
        <v>21553.0</v>
      </c>
      <c r="D5" s="5">
        <f>DAYS("8/30/1957","1/3/1957") + DAYS("8/24/1958", "1/7/1958")</f>
        <v>468</v>
      </c>
      <c r="E5" s="6">
        <f t="shared" si="1"/>
        <v>0.6410958904</v>
      </c>
      <c r="F5" s="7" t="s">
        <v>14</v>
      </c>
      <c r="G5" s="7" t="s">
        <v>18</v>
      </c>
      <c r="H5" s="7" t="s">
        <v>19</v>
      </c>
      <c r="I5" s="7" t="s">
        <v>16</v>
      </c>
      <c r="J5" s="7" t="s">
        <v>16</v>
      </c>
      <c r="K5" s="7" t="str">
        <f t="shared" si="2"/>
        <v>Democrat</v>
      </c>
      <c r="L5" s="7">
        <v>862.0</v>
      </c>
      <c r="M5" s="7">
        <v>1587.0</v>
      </c>
      <c r="N5" s="6">
        <f t="shared" si="3"/>
        <v>1.841067285</v>
      </c>
    </row>
    <row r="6">
      <c r="A6" s="3">
        <v>86.0</v>
      </c>
      <c r="B6" s="8">
        <f t="shared" si="4"/>
        <v>21553</v>
      </c>
      <c r="C6" s="4">
        <v>22284.0</v>
      </c>
      <c r="D6" s="5">
        <f>DAYS("9/15/1959","1/7/1959") + DAYS("9/1/1960", "1/6/1960")</f>
        <v>490</v>
      </c>
      <c r="E6" s="6">
        <f t="shared" si="1"/>
        <v>0.6703146375</v>
      </c>
      <c r="F6" s="7" t="s">
        <v>14</v>
      </c>
      <c r="G6" s="7" t="s">
        <v>18</v>
      </c>
      <c r="H6" s="7" t="s">
        <v>19</v>
      </c>
      <c r="I6" s="7" t="s">
        <v>16</v>
      </c>
      <c r="J6" s="7" t="s">
        <v>16</v>
      </c>
      <c r="K6" s="7" t="str">
        <f t="shared" si="2"/>
        <v>Democrat</v>
      </c>
      <c r="L6" s="7">
        <v>733.0</v>
      </c>
      <c r="M6" s="7">
        <v>1214.0</v>
      </c>
      <c r="N6" s="6">
        <f t="shared" si="3"/>
        <v>1.656207367</v>
      </c>
    </row>
    <row r="7">
      <c r="A7" s="3">
        <v>87.0</v>
      </c>
      <c r="B7" s="8">
        <f t="shared" si="4"/>
        <v>22284</v>
      </c>
      <c r="C7" s="4">
        <v>23014.0</v>
      </c>
      <c r="D7" s="5">
        <f>DAYS("9/27/1961","1/3/1961") + DAYS("10/13/1962", "1/10/1962")</f>
        <v>543</v>
      </c>
      <c r="E7" s="6">
        <f t="shared" si="1"/>
        <v>0.7438356164</v>
      </c>
      <c r="F7" s="7" t="s">
        <v>14</v>
      </c>
      <c r="G7" s="7" t="s">
        <v>20</v>
      </c>
      <c r="H7" s="7" t="s">
        <v>16</v>
      </c>
      <c r="I7" s="7" t="s">
        <v>16</v>
      </c>
      <c r="J7" s="7" t="s">
        <v>16</v>
      </c>
      <c r="K7" s="7" t="str">
        <f t="shared" si="2"/>
        <v>Democrat</v>
      </c>
      <c r="L7" s="7">
        <v>797.0</v>
      </c>
      <c r="M7" s="7">
        <v>1481.0</v>
      </c>
      <c r="N7" s="6">
        <f t="shared" si="3"/>
        <v>1.858218319</v>
      </c>
    </row>
    <row r="8">
      <c r="A8" s="7">
        <v>88.0</v>
      </c>
      <c r="B8" s="8">
        <f t="shared" si="4"/>
        <v>23014</v>
      </c>
      <c r="C8" s="4">
        <v>23337.0</v>
      </c>
      <c r="D8" s="5">
        <f>DAYS("11/22/1963","1/9/1963")</f>
        <v>317</v>
      </c>
      <c r="E8" s="6">
        <f t="shared" si="1"/>
        <v>0.9814241486</v>
      </c>
      <c r="F8" s="9" t="s">
        <v>21</v>
      </c>
      <c r="G8" s="7" t="s">
        <v>20</v>
      </c>
      <c r="H8" s="7" t="s">
        <v>16</v>
      </c>
      <c r="I8" s="7" t="s">
        <v>16</v>
      </c>
      <c r="J8" s="7" t="s">
        <v>16</v>
      </c>
      <c r="K8" s="7" t="str">
        <f t="shared" si="2"/>
        <v>Democrat</v>
      </c>
      <c r="L8" s="7">
        <v>307.0</v>
      </c>
      <c r="M8" s="7">
        <v>269.0</v>
      </c>
      <c r="N8" s="6">
        <f t="shared" si="3"/>
        <v>0.8762214984</v>
      </c>
    </row>
    <row r="9">
      <c r="A9" s="3">
        <v>88.0</v>
      </c>
      <c r="B9" s="4">
        <v>23337.0</v>
      </c>
      <c r="C9" s="4">
        <v>23745.0</v>
      </c>
      <c r="D9" s="5">
        <f>DAYS("12/30/1963","11/22/1963") + DAYS("10/3/1964", "1/7/1964")</f>
        <v>308</v>
      </c>
      <c r="E9" s="6">
        <f t="shared" si="1"/>
        <v>0.7549019608</v>
      </c>
      <c r="F9" s="7" t="s">
        <v>21</v>
      </c>
      <c r="G9" s="7" t="s">
        <v>22</v>
      </c>
      <c r="H9" s="7" t="s">
        <v>16</v>
      </c>
      <c r="I9" s="7" t="s">
        <v>16</v>
      </c>
      <c r="J9" s="7" t="s">
        <v>16</v>
      </c>
      <c r="K9" s="7" t="str">
        <f t="shared" si="2"/>
        <v>Democrat</v>
      </c>
      <c r="L9" s="3">
        <f>606-L8</f>
        <v>299</v>
      </c>
      <c r="M9" s="3">
        <f>937-M8</f>
        <v>668</v>
      </c>
      <c r="N9" s="6">
        <f t="shared" si="3"/>
        <v>2.234113712</v>
      </c>
    </row>
    <row r="10">
      <c r="A10" s="3">
        <v>89.0</v>
      </c>
      <c r="B10" s="8">
        <f t="shared" ref="B10:B41" si="5">C9</f>
        <v>23745</v>
      </c>
      <c r="C10" s="4">
        <v>24475.0</v>
      </c>
      <c r="D10" s="5">
        <f>DAYS("10/23/1965","1/4/1965") + DAYS("10/22/1966", "1/10/1966")</f>
        <v>577</v>
      </c>
      <c r="E10" s="6">
        <f t="shared" si="1"/>
        <v>0.7904109589</v>
      </c>
      <c r="F10" s="7" t="s">
        <v>21</v>
      </c>
      <c r="G10" s="7" t="s">
        <v>22</v>
      </c>
      <c r="H10" s="7" t="s">
        <v>16</v>
      </c>
      <c r="I10" s="7" t="s">
        <v>16</v>
      </c>
      <c r="J10" s="7" t="s">
        <v>16</v>
      </c>
      <c r="K10" s="7" t="str">
        <f t="shared" si="2"/>
        <v>Democrat</v>
      </c>
      <c r="L10" s="7">
        <v>741.0</v>
      </c>
      <c r="M10" s="7">
        <v>1212.0</v>
      </c>
      <c r="N10" s="6">
        <f t="shared" si="3"/>
        <v>1.63562753</v>
      </c>
    </row>
    <row r="11">
      <c r="A11" s="3">
        <v>90.0</v>
      </c>
      <c r="B11" s="8">
        <f t="shared" si="5"/>
        <v>24475</v>
      </c>
      <c r="C11" s="4">
        <v>25206.0</v>
      </c>
      <c r="D11" s="5">
        <f>DAYS("12/15/1967","1/10/1967") + DAYS("10/14/1968", "1/15/1968")</f>
        <v>612</v>
      </c>
      <c r="E11" s="6">
        <f t="shared" si="1"/>
        <v>0.8372093023</v>
      </c>
      <c r="F11" s="7" t="s">
        <v>21</v>
      </c>
      <c r="G11" s="7" t="s">
        <v>22</v>
      </c>
      <c r="H11" s="7" t="s">
        <v>16</v>
      </c>
      <c r="I11" s="7" t="s">
        <v>16</v>
      </c>
      <c r="J11" s="7" t="s">
        <v>16</v>
      </c>
      <c r="K11" s="7" t="str">
        <f t="shared" si="2"/>
        <v>Democrat</v>
      </c>
      <c r="L11" s="7">
        <v>561.0</v>
      </c>
      <c r="M11" s="7">
        <v>932.0</v>
      </c>
      <c r="N11" s="6">
        <f t="shared" si="3"/>
        <v>1.661319073</v>
      </c>
    </row>
    <row r="12">
      <c r="A12" s="3">
        <v>91.0</v>
      </c>
      <c r="B12" s="8">
        <f t="shared" si="5"/>
        <v>25206</v>
      </c>
      <c r="C12" s="4">
        <v>25936.0</v>
      </c>
      <c r="D12" s="5">
        <f>DAYS("12/23/1969","1/3/1969") + DAYS("1/2/1971", "1/19/1970")</f>
        <v>702</v>
      </c>
      <c r="E12" s="6">
        <f t="shared" si="1"/>
        <v>0.9616438356</v>
      </c>
      <c r="F12" s="7" t="s">
        <v>21</v>
      </c>
      <c r="G12" s="7" t="s">
        <v>23</v>
      </c>
      <c r="H12" s="7" t="s">
        <v>19</v>
      </c>
      <c r="I12" s="7" t="s">
        <v>16</v>
      </c>
      <c r="J12" s="7" t="s">
        <v>16</v>
      </c>
      <c r="K12" s="7" t="str">
        <f t="shared" si="2"/>
        <v>Democrat</v>
      </c>
      <c r="L12" s="7">
        <v>601.0</v>
      </c>
      <c r="M12" s="7">
        <v>847.0</v>
      </c>
      <c r="N12" s="6">
        <f t="shared" si="3"/>
        <v>1.409317804</v>
      </c>
    </row>
    <row r="13">
      <c r="A13" s="3">
        <v>92.0</v>
      </c>
      <c r="B13" s="8">
        <f t="shared" si="5"/>
        <v>25936</v>
      </c>
      <c r="C13" s="4">
        <v>26667.0</v>
      </c>
      <c r="D13" s="5">
        <f>DAYS("12/17/1971","1/21/1971") + DAYS("10/18/1972", "1/18/1972")</f>
        <v>604</v>
      </c>
      <c r="E13" s="6">
        <f t="shared" si="1"/>
        <v>0.8262653899</v>
      </c>
      <c r="F13" s="7" t="s">
        <v>24</v>
      </c>
      <c r="G13" s="7" t="s">
        <v>23</v>
      </c>
      <c r="H13" s="7" t="s">
        <v>19</v>
      </c>
      <c r="I13" s="7" t="s">
        <v>16</v>
      </c>
      <c r="J13" s="7" t="s">
        <v>16</v>
      </c>
      <c r="K13" s="7" t="str">
        <f t="shared" si="2"/>
        <v>Democrat</v>
      </c>
      <c r="L13" s="7">
        <v>514.0</v>
      </c>
      <c r="M13" s="7">
        <v>676.0</v>
      </c>
      <c r="N13" s="6">
        <f t="shared" si="3"/>
        <v>1.315175097</v>
      </c>
    </row>
    <row r="14">
      <c r="A14" s="7">
        <v>93.0</v>
      </c>
      <c r="B14" s="4">
        <f t="shared" si="5"/>
        <v>26667</v>
      </c>
      <c r="C14" s="4">
        <v>27250.0</v>
      </c>
      <c r="D14" s="5">
        <f>DAYS("12/22/1973","1/3/1973") + DAYS("8/9/1974", "1/21/1974")</f>
        <v>553</v>
      </c>
      <c r="E14" s="6">
        <f t="shared" si="1"/>
        <v>0.948542024</v>
      </c>
      <c r="F14" s="7" t="s">
        <v>24</v>
      </c>
      <c r="G14" s="7" t="s">
        <v>23</v>
      </c>
      <c r="H14" s="7" t="s">
        <v>19</v>
      </c>
      <c r="I14" s="7" t="s">
        <v>16</v>
      </c>
      <c r="J14" s="7" t="s">
        <v>16</v>
      </c>
      <c r="K14" s="7" t="str">
        <f t="shared" si="2"/>
        <v>Democrat</v>
      </c>
      <c r="L14" s="7">
        <v>20427.0</v>
      </c>
      <c r="M14" s="7">
        <v>400.0</v>
      </c>
      <c r="N14" s="6">
        <f t="shared" si="3"/>
        <v>0.01958192588</v>
      </c>
    </row>
    <row r="15">
      <c r="A15" s="3">
        <v>93.0</v>
      </c>
      <c r="B15" s="8">
        <f t="shared" si="5"/>
        <v>27250</v>
      </c>
      <c r="C15" s="4">
        <v>27397.0</v>
      </c>
      <c r="D15" s="5">
        <f>DAYS("12/20/1974", "8/9/1974")</f>
        <v>133</v>
      </c>
      <c r="E15" s="6">
        <f t="shared" si="1"/>
        <v>0.9047619048</v>
      </c>
      <c r="F15" s="7" t="s">
        <v>24</v>
      </c>
      <c r="G15" s="7" t="s">
        <v>25</v>
      </c>
      <c r="H15" s="7" t="s">
        <v>19</v>
      </c>
      <c r="I15" s="7" t="s">
        <v>16</v>
      </c>
      <c r="J15" s="7" t="s">
        <v>16</v>
      </c>
      <c r="K15" s="7" t="str">
        <f t="shared" si="2"/>
        <v>Democrat</v>
      </c>
      <c r="L15" s="3">
        <f>21950-L14</f>
        <v>1523</v>
      </c>
      <c r="M15" s="3">
        <f>690-M14</f>
        <v>290</v>
      </c>
      <c r="N15" s="6">
        <f t="shared" si="3"/>
        <v>0.1904136573</v>
      </c>
    </row>
    <row r="16">
      <c r="A16" s="3">
        <v>94.0</v>
      </c>
      <c r="B16" s="8">
        <f t="shared" si="5"/>
        <v>27397</v>
      </c>
      <c r="C16" s="4">
        <v>28128.0</v>
      </c>
      <c r="D16" s="5">
        <f>DAYS("12/19/1975","1/14/1975") + DAYS("10/1/1976", "1/19/1976")</f>
        <v>595</v>
      </c>
      <c r="E16" s="6">
        <f t="shared" si="1"/>
        <v>0.8139534884</v>
      </c>
      <c r="F16" s="7" t="s">
        <v>24</v>
      </c>
      <c r="G16" s="7" t="s">
        <v>25</v>
      </c>
      <c r="H16" s="7" t="s">
        <v>19</v>
      </c>
      <c r="I16" s="7" t="s">
        <v>16</v>
      </c>
      <c r="J16" s="7" t="s">
        <v>16</v>
      </c>
      <c r="K16" s="7" t="str">
        <f t="shared" si="2"/>
        <v>Democrat</v>
      </c>
      <c r="L16" s="7">
        <v>19762.0</v>
      </c>
      <c r="M16" s="7">
        <v>668.0</v>
      </c>
      <c r="N16" s="6">
        <f t="shared" si="3"/>
        <v>0.03380224674</v>
      </c>
    </row>
    <row r="17">
      <c r="A17" s="3">
        <v>95.0</v>
      </c>
      <c r="B17" s="4">
        <f t="shared" si="5"/>
        <v>28128</v>
      </c>
      <c r="C17" s="4">
        <v>28858.0</v>
      </c>
      <c r="D17" s="5">
        <f>DAYS("12/15/1977","1/4/1977") + DAYS("10/15/1978", "1/19/1978")</f>
        <v>614</v>
      </c>
      <c r="E17" s="6">
        <f t="shared" si="1"/>
        <v>0.8410958904</v>
      </c>
      <c r="F17" s="7" t="s">
        <v>26</v>
      </c>
      <c r="G17" s="7" t="s">
        <v>27</v>
      </c>
      <c r="H17" s="7" t="s">
        <v>16</v>
      </c>
      <c r="I17" s="7" t="s">
        <v>16</v>
      </c>
      <c r="J17" s="7" t="s">
        <v>16</v>
      </c>
      <c r="K17" s="7" t="str">
        <f t="shared" si="2"/>
        <v>Democrat</v>
      </c>
      <c r="L17" s="7">
        <v>18044.0</v>
      </c>
      <c r="M17" s="7">
        <v>734.0</v>
      </c>
      <c r="N17" s="6">
        <f t="shared" si="3"/>
        <v>0.04067834183</v>
      </c>
    </row>
    <row r="18">
      <c r="A18" s="3">
        <v>96.0</v>
      </c>
      <c r="B18" s="4">
        <f t="shared" si="5"/>
        <v>28858</v>
      </c>
      <c r="C18" s="4">
        <v>29589.0</v>
      </c>
      <c r="D18" s="5">
        <f>DAYS("1/3/1980","1/15/1979") + DAYS("12/16/1980", "1/3/1980")</f>
        <v>701</v>
      </c>
      <c r="E18" s="6">
        <f t="shared" si="1"/>
        <v>0.9589603283</v>
      </c>
      <c r="F18" s="7" t="s">
        <v>26</v>
      </c>
      <c r="G18" s="7" t="s">
        <v>27</v>
      </c>
      <c r="H18" s="7" t="s">
        <v>16</v>
      </c>
      <c r="I18" s="7" t="s">
        <v>16</v>
      </c>
      <c r="J18" s="7" t="s">
        <v>16</v>
      </c>
      <c r="K18" s="7" t="str">
        <f t="shared" si="2"/>
        <v>Democrat</v>
      </c>
      <c r="L18" s="7">
        <v>11721.0</v>
      </c>
      <c r="M18" s="7">
        <v>652.0</v>
      </c>
      <c r="N18" s="6">
        <f t="shared" si="3"/>
        <v>0.05562665302</v>
      </c>
    </row>
    <row r="19">
      <c r="A19" s="3">
        <v>97.0</v>
      </c>
      <c r="B19" s="4">
        <f t="shared" si="5"/>
        <v>29589</v>
      </c>
      <c r="C19" s="4">
        <v>30319.0</v>
      </c>
      <c r="D19" s="5">
        <f>DAYS("12/16/1981","1/5/1981") + DAYS("12/23/1982", "1/25/1982")</f>
        <v>677</v>
      </c>
      <c r="E19" s="6">
        <f t="shared" si="1"/>
        <v>0.9273972603</v>
      </c>
      <c r="F19" s="7" t="s">
        <v>26</v>
      </c>
      <c r="G19" s="7" t="s">
        <v>28</v>
      </c>
      <c r="H19" s="7" t="s">
        <v>19</v>
      </c>
      <c r="I19" s="7" t="s">
        <v>16</v>
      </c>
      <c r="J19" s="7" t="s">
        <v>19</v>
      </c>
      <c r="K19" s="7" t="str">
        <f t="shared" si="2"/>
        <v>Split</v>
      </c>
      <c r="L19" s="7">
        <v>10581.0</v>
      </c>
      <c r="M19" s="7">
        <v>413.0</v>
      </c>
      <c r="N19" s="6">
        <f t="shared" si="3"/>
        <v>0.03903222758</v>
      </c>
    </row>
    <row r="20">
      <c r="A20" s="3">
        <v>98.0</v>
      </c>
      <c r="B20" s="4">
        <f t="shared" si="5"/>
        <v>30319</v>
      </c>
      <c r="C20" s="4">
        <v>31050.0</v>
      </c>
      <c r="D20" s="5">
        <f>DAYS("11/18/1983","1/3/1983") + DAYS("10/12/1984", "1/23/1984")</f>
        <v>582</v>
      </c>
      <c r="E20" s="6">
        <f t="shared" si="1"/>
        <v>0.7961696306</v>
      </c>
      <c r="F20" s="7" t="s">
        <v>26</v>
      </c>
      <c r="G20" s="7" t="s">
        <v>28</v>
      </c>
      <c r="H20" s="7" t="s">
        <v>19</v>
      </c>
      <c r="I20" s="7" t="s">
        <v>16</v>
      </c>
      <c r="J20" s="7" t="s">
        <v>19</v>
      </c>
      <c r="K20" s="7" t="str">
        <f t="shared" si="2"/>
        <v>Split</v>
      </c>
      <c r="L20" s="7">
        <v>9538.0</v>
      </c>
      <c r="M20" s="7">
        <v>479.0</v>
      </c>
      <c r="N20" s="6">
        <f t="shared" si="3"/>
        <v>0.05022017194</v>
      </c>
    </row>
    <row r="21">
      <c r="A21" s="3">
        <v>99.0</v>
      </c>
      <c r="B21" s="4">
        <f t="shared" si="5"/>
        <v>31050</v>
      </c>
      <c r="C21" s="4">
        <v>31780.0</v>
      </c>
      <c r="D21" s="5">
        <f>DAYS("12/20/1985","1/3/1985") + DAYS("10/18/1986", "1/21/1986")</f>
        <v>621</v>
      </c>
      <c r="E21" s="6">
        <f t="shared" si="1"/>
        <v>0.8506849315</v>
      </c>
      <c r="F21" s="7" t="s">
        <v>26</v>
      </c>
      <c r="G21" s="7" t="s">
        <v>28</v>
      </c>
      <c r="H21" s="7" t="s">
        <v>19</v>
      </c>
      <c r="I21" s="7" t="s">
        <v>16</v>
      </c>
      <c r="J21" s="7" t="s">
        <v>19</v>
      </c>
      <c r="K21" s="7" t="str">
        <f t="shared" si="2"/>
        <v>Split</v>
      </c>
      <c r="L21" s="7">
        <v>8697.0</v>
      </c>
      <c r="M21" s="7">
        <v>594.0</v>
      </c>
      <c r="N21" s="6">
        <f t="shared" si="3"/>
        <v>0.06829941359</v>
      </c>
    </row>
    <row r="22">
      <c r="A22" s="3">
        <v>100.0</v>
      </c>
      <c r="B22" s="4">
        <f t="shared" si="5"/>
        <v>31780</v>
      </c>
      <c r="C22" s="4">
        <v>32511.0</v>
      </c>
      <c r="D22" s="5">
        <f>DAYS("12/22/1987","1/6/1987") + DAYS("10/22/1988", "1/25/1988")</f>
        <v>621</v>
      </c>
      <c r="E22" s="6">
        <f t="shared" si="1"/>
        <v>0.8495212038</v>
      </c>
      <c r="F22" s="7" t="s">
        <v>29</v>
      </c>
      <c r="G22" s="7" t="s">
        <v>28</v>
      </c>
      <c r="H22" s="7" t="s">
        <v>19</v>
      </c>
      <c r="I22" s="7" t="s">
        <v>16</v>
      </c>
      <c r="J22" s="7" t="s">
        <v>16</v>
      </c>
      <c r="K22" s="7" t="str">
        <f t="shared" si="2"/>
        <v>Democrat</v>
      </c>
      <c r="L22" s="7">
        <v>8509.0</v>
      </c>
      <c r="M22" s="7">
        <v>516.0</v>
      </c>
      <c r="N22" s="6">
        <f t="shared" si="3"/>
        <v>0.06064167352</v>
      </c>
    </row>
    <row r="23">
      <c r="A23" s="3">
        <v>101.0</v>
      </c>
      <c r="B23" s="4">
        <f t="shared" si="5"/>
        <v>32511</v>
      </c>
      <c r="C23" s="4">
        <v>32665.0</v>
      </c>
      <c r="D23" s="5">
        <f>DAYS("6/6/1989","1/3/1989")</f>
        <v>154</v>
      </c>
      <c r="E23" s="6">
        <f t="shared" si="1"/>
        <v>1</v>
      </c>
      <c r="F23" s="7" t="s">
        <v>29</v>
      </c>
      <c r="G23" s="7" t="s">
        <v>30</v>
      </c>
      <c r="H23" s="7" t="s">
        <v>19</v>
      </c>
      <c r="I23" s="7" t="s">
        <v>16</v>
      </c>
      <c r="J23" s="7" t="s">
        <v>16</v>
      </c>
      <c r="K23" s="7" t="str">
        <f t="shared" si="2"/>
        <v>Democrat</v>
      </c>
      <c r="L23" s="7">
        <v>3703.0</v>
      </c>
      <c r="M23" s="7">
        <v>9.0</v>
      </c>
      <c r="N23" s="6">
        <f t="shared" si="3"/>
        <v>0.002430461788</v>
      </c>
    </row>
    <row r="24">
      <c r="A24" s="3">
        <v>101.0</v>
      </c>
      <c r="B24" s="4">
        <f t="shared" si="5"/>
        <v>32665</v>
      </c>
      <c r="C24" s="4">
        <v>33241.0</v>
      </c>
      <c r="D24" s="5">
        <f>DAYS("11/22/1989","6/6/1989") + DAYS("10/28/1990", "1/23/1990")</f>
        <v>447</v>
      </c>
      <c r="E24" s="6">
        <f t="shared" si="1"/>
        <v>0.7760416667</v>
      </c>
      <c r="F24" s="7" t="s">
        <v>31</v>
      </c>
      <c r="G24" s="7" t="s">
        <v>30</v>
      </c>
      <c r="H24" s="7" t="s">
        <v>19</v>
      </c>
      <c r="I24" s="7" t="s">
        <v>16</v>
      </c>
      <c r="J24" s="7" t="s">
        <v>16</v>
      </c>
      <c r="K24" s="7" t="str">
        <f t="shared" si="2"/>
        <v>Democrat</v>
      </c>
      <c r="L24" s="3">
        <f>9248-L23</f>
        <v>5545</v>
      </c>
      <c r="M24" s="3">
        <f>435-M23</f>
        <v>426</v>
      </c>
      <c r="N24" s="6">
        <f t="shared" si="3"/>
        <v>0.07682596934</v>
      </c>
    </row>
    <row r="25">
      <c r="A25" s="3">
        <v>102.0</v>
      </c>
      <c r="B25" s="4">
        <f t="shared" si="5"/>
        <v>33241</v>
      </c>
      <c r="C25" s="4">
        <v>33972.0</v>
      </c>
      <c r="D25" s="5">
        <f>DAYS("1/3/1992","1/3/1991") + DAYS("10/9/1992", "1/3/1992")</f>
        <v>645</v>
      </c>
      <c r="E25" s="6">
        <f t="shared" si="1"/>
        <v>0.8823529412</v>
      </c>
      <c r="F25" s="7" t="s">
        <v>31</v>
      </c>
      <c r="G25" s="7" t="s">
        <v>30</v>
      </c>
      <c r="H25" s="7" t="s">
        <v>19</v>
      </c>
      <c r="I25" s="7" t="s">
        <v>16</v>
      </c>
      <c r="J25" s="7" t="s">
        <v>16</v>
      </c>
      <c r="K25" s="7" t="str">
        <f t="shared" si="2"/>
        <v>Democrat</v>
      </c>
      <c r="L25" s="7">
        <v>9602.0</v>
      </c>
      <c r="M25" s="7">
        <v>527.0</v>
      </c>
      <c r="N25" s="6">
        <f t="shared" si="3"/>
        <v>0.05488439908</v>
      </c>
    </row>
    <row r="26">
      <c r="A26" s="3">
        <v>103.0</v>
      </c>
      <c r="B26" s="4">
        <f t="shared" si="5"/>
        <v>33972</v>
      </c>
      <c r="C26" s="4">
        <v>34702.0</v>
      </c>
      <c r="D26" s="5">
        <f>DAYS("11/26/1993","1/5/1993") + DAYS("12/1/1994", "1/25/1994")</f>
        <v>635</v>
      </c>
      <c r="E26" s="6">
        <f t="shared" si="1"/>
        <v>0.8698630137</v>
      </c>
      <c r="F26" s="7" t="s">
        <v>31</v>
      </c>
      <c r="G26" s="7" t="s">
        <v>32</v>
      </c>
      <c r="H26" s="7" t="s">
        <v>16</v>
      </c>
      <c r="I26" s="7" t="s">
        <v>16</v>
      </c>
      <c r="J26" s="7" t="s">
        <v>16</v>
      </c>
      <c r="K26" s="7" t="str">
        <f t="shared" si="2"/>
        <v>Democrat</v>
      </c>
      <c r="L26" s="7">
        <v>7879.0</v>
      </c>
      <c r="M26" s="7">
        <v>370.0</v>
      </c>
      <c r="N26" s="6">
        <f t="shared" si="3"/>
        <v>0.04696027415</v>
      </c>
    </row>
    <row r="27">
      <c r="A27" s="3">
        <v>104.0</v>
      </c>
      <c r="B27" s="4">
        <f t="shared" si="5"/>
        <v>34702</v>
      </c>
      <c r="C27" s="4">
        <v>35433.0</v>
      </c>
      <c r="D27" s="5">
        <f>DAYS("1/3/1996","1/4/1995") + DAYS("10/4/1996", "1/3/1996")</f>
        <v>639</v>
      </c>
      <c r="E27" s="6">
        <f t="shared" si="1"/>
        <v>0.8741450068</v>
      </c>
      <c r="F27" s="7" t="s">
        <v>33</v>
      </c>
      <c r="G27" s="7" t="s">
        <v>32</v>
      </c>
      <c r="H27" s="7" t="s">
        <v>16</v>
      </c>
      <c r="I27" s="7" t="s">
        <v>19</v>
      </c>
      <c r="J27" s="7" t="s">
        <v>19</v>
      </c>
      <c r="K27" s="7" t="str">
        <f t="shared" si="2"/>
        <v>Republican</v>
      </c>
      <c r="L27" s="7">
        <v>6543.0</v>
      </c>
      <c r="M27" s="7">
        <v>311.0</v>
      </c>
      <c r="N27" s="6">
        <f t="shared" si="3"/>
        <v>0.04753171328</v>
      </c>
    </row>
    <row r="28">
      <c r="A28" s="3">
        <v>105.0</v>
      </c>
      <c r="B28" s="4">
        <f t="shared" si="5"/>
        <v>35433</v>
      </c>
      <c r="C28" s="4">
        <v>36163.0</v>
      </c>
      <c r="D28" s="5">
        <f>DAYS("11/13/1997","1/7/1997") + DAYS("12/19/1998", "1/27/1998")</f>
        <v>636</v>
      </c>
      <c r="E28" s="6">
        <f t="shared" si="1"/>
        <v>0.8712328767</v>
      </c>
      <c r="F28" s="7" t="s">
        <v>33</v>
      </c>
      <c r="G28" s="7" t="s">
        <v>32</v>
      </c>
      <c r="H28" s="7" t="s">
        <v>16</v>
      </c>
      <c r="I28" s="7" t="s">
        <v>19</v>
      </c>
      <c r="J28" s="7" t="s">
        <v>19</v>
      </c>
      <c r="K28" s="7" t="str">
        <f t="shared" si="2"/>
        <v>Republican</v>
      </c>
      <c r="L28" s="7">
        <v>7529.0</v>
      </c>
      <c r="M28" s="7">
        <v>371.0</v>
      </c>
      <c r="N28" s="6">
        <f t="shared" si="3"/>
        <v>0.04927613229</v>
      </c>
    </row>
    <row r="29">
      <c r="A29" s="3">
        <v>106.0</v>
      </c>
      <c r="B29" s="4">
        <f t="shared" si="5"/>
        <v>36163</v>
      </c>
      <c r="C29" s="4">
        <v>36894.0</v>
      </c>
      <c r="D29" s="5">
        <f>DAYS("11/22/1999","1/6/1999") + DAYS("12/15/2000", "1/24/2000")</f>
        <v>646</v>
      </c>
      <c r="E29" s="6">
        <f t="shared" si="1"/>
        <v>0.8837209302</v>
      </c>
      <c r="F29" s="7" t="s">
        <v>34</v>
      </c>
      <c r="G29" s="7" t="s">
        <v>32</v>
      </c>
      <c r="H29" s="7" t="s">
        <v>16</v>
      </c>
      <c r="I29" s="7" t="s">
        <v>19</v>
      </c>
      <c r="J29" s="7" t="s">
        <v>19</v>
      </c>
      <c r="K29" s="7" t="str">
        <f t="shared" si="2"/>
        <v>Republican</v>
      </c>
      <c r="L29" s="7">
        <v>8968.0</v>
      </c>
      <c r="M29" s="7">
        <v>558.0</v>
      </c>
      <c r="N29" s="6">
        <f t="shared" si="3"/>
        <v>0.06222123104</v>
      </c>
    </row>
    <row r="30">
      <c r="A30" s="3">
        <v>107.0</v>
      </c>
      <c r="B30" s="4">
        <f t="shared" si="5"/>
        <v>36894</v>
      </c>
      <c r="C30" s="4">
        <v>37624.0</v>
      </c>
      <c r="D30" s="5">
        <f>DAYS("12/20/2001","1/3/2001") + DAYS("11/22/2002", "1/23/2002")</f>
        <v>654</v>
      </c>
      <c r="E30" s="6">
        <f t="shared" si="1"/>
        <v>0.895890411</v>
      </c>
      <c r="F30" s="7" t="s">
        <v>34</v>
      </c>
      <c r="G30" s="7" t="s">
        <v>35</v>
      </c>
      <c r="H30" s="7" t="s">
        <v>19</v>
      </c>
      <c r="I30" s="7" t="s">
        <v>19</v>
      </c>
      <c r="J30" s="7" t="s">
        <v>16</v>
      </c>
      <c r="K30" s="7" t="str">
        <f t="shared" si="2"/>
        <v>Split</v>
      </c>
      <c r="L30" s="7">
        <v>8946.0</v>
      </c>
      <c r="M30" s="7">
        <v>350.0</v>
      </c>
      <c r="N30" s="6">
        <f t="shared" si="3"/>
        <v>0.03912363067</v>
      </c>
    </row>
    <row r="31">
      <c r="A31" s="3">
        <v>108.0</v>
      </c>
      <c r="B31" s="4">
        <f t="shared" si="5"/>
        <v>37624</v>
      </c>
      <c r="C31" s="4">
        <v>38355.0</v>
      </c>
      <c r="D31" s="5">
        <f>DAYS("12/8/2003","1/7/2003") + DAYS("12/9/2004", "1/20/2004")</f>
        <v>659</v>
      </c>
      <c r="E31" s="6">
        <f t="shared" si="1"/>
        <v>0.901504788</v>
      </c>
      <c r="F31" s="7" t="s">
        <v>34</v>
      </c>
      <c r="G31" s="7" t="s">
        <v>35</v>
      </c>
      <c r="H31" s="7" t="s">
        <v>19</v>
      </c>
      <c r="I31" s="7" t="s">
        <v>19</v>
      </c>
      <c r="J31" s="7" t="s">
        <v>19</v>
      </c>
      <c r="K31" s="7" t="str">
        <f t="shared" si="2"/>
        <v>Republican</v>
      </c>
      <c r="L31" s="7">
        <v>8464.0</v>
      </c>
      <c r="M31" s="7">
        <v>476.0</v>
      </c>
      <c r="N31" s="6">
        <f t="shared" si="3"/>
        <v>0.05623818526</v>
      </c>
    </row>
    <row r="32">
      <c r="A32" s="3">
        <v>109.0</v>
      </c>
      <c r="B32" s="4">
        <f t="shared" si="5"/>
        <v>38355</v>
      </c>
      <c r="C32" s="4">
        <v>39085.0</v>
      </c>
      <c r="D32" s="5">
        <f>DAYS("12/22/2005","1/4/2005") + DAYS("12/8/2006", "1/3/2006")</f>
        <v>691</v>
      </c>
      <c r="E32" s="6">
        <f t="shared" si="1"/>
        <v>0.9465753425</v>
      </c>
      <c r="F32" s="7" t="s">
        <v>34</v>
      </c>
      <c r="G32" s="7" t="s">
        <v>35</v>
      </c>
      <c r="H32" s="7" t="s">
        <v>19</v>
      </c>
      <c r="I32" s="7" t="s">
        <v>19</v>
      </c>
      <c r="J32" s="7" t="s">
        <v>19</v>
      </c>
      <c r="K32" s="7" t="str">
        <f t="shared" si="2"/>
        <v>Republican</v>
      </c>
      <c r="L32" s="7">
        <v>10554.0</v>
      </c>
      <c r="M32" s="7">
        <v>465.0</v>
      </c>
      <c r="N32" s="6">
        <f t="shared" si="3"/>
        <v>0.0440591245</v>
      </c>
    </row>
    <row r="33">
      <c r="A33" s="3">
        <v>110.0</v>
      </c>
      <c r="B33" s="4">
        <f t="shared" si="5"/>
        <v>39085</v>
      </c>
      <c r="C33" s="4">
        <v>39816.0</v>
      </c>
      <c r="D33" s="5">
        <f>DAYS("12/19/2007","1/4/2007") + DAYS("1/3/2009", "1/3/2008")</f>
        <v>715</v>
      </c>
      <c r="E33" s="6">
        <f t="shared" si="1"/>
        <v>0.9781121751</v>
      </c>
      <c r="F33" s="7" t="s">
        <v>36</v>
      </c>
      <c r="G33" s="7" t="s">
        <v>35</v>
      </c>
      <c r="H33" s="7" t="s">
        <v>19</v>
      </c>
      <c r="I33" s="7" t="s">
        <v>16</v>
      </c>
      <c r="J33" s="7" t="s">
        <v>16</v>
      </c>
      <c r="K33" s="7" t="str">
        <f t="shared" si="2"/>
        <v>Democrat</v>
      </c>
      <c r="L33" s="7">
        <v>11077.0</v>
      </c>
      <c r="M33" s="7">
        <v>442.0</v>
      </c>
      <c r="N33" s="6">
        <f t="shared" si="3"/>
        <v>0.03990250068</v>
      </c>
    </row>
    <row r="34">
      <c r="A34" s="3">
        <v>111.0</v>
      </c>
      <c r="B34" s="4">
        <f t="shared" si="5"/>
        <v>39816</v>
      </c>
      <c r="C34" s="4">
        <v>40546.0</v>
      </c>
      <c r="D34" s="5">
        <f>DAYS("12/24/2009","1/6/2009") + DAYS("12/22/2010", "1/5/2010")</f>
        <v>703</v>
      </c>
      <c r="E34" s="6">
        <f t="shared" si="1"/>
        <v>0.9630136986</v>
      </c>
      <c r="F34" s="7" t="s">
        <v>36</v>
      </c>
      <c r="G34" s="7" t="s">
        <v>37</v>
      </c>
      <c r="H34" s="7" t="s">
        <v>16</v>
      </c>
      <c r="I34" s="7" t="s">
        <v>16</v>
      </c>
      <c r="J34" s="7" t="s">
        <v>16</v>
      </c>
      <c r="K34" s="7" t="str">
        <f t="shared" si="2"/>
        <v>Democrat</v>
      </c>
      <c r="L34" s="7">
        <v>10621.0</v>
      </c>
      <c r="M34" s="7">
        <v>366.0</v>
      </c>
      <c r="N34" s="6">
        <f t="shared" si="3"/>
        <v>0.03446003201</v>
      </c>
    </row>
    <row r="35">
      <c r="A35" s="3">
        <v>112.0</v>
      </c>
      <c r="B35" s="4">
        <f t="shared" si="5"/>
        <v>40546</v>
      </c>
      <c r="C35" s="4">
        <v>41277.0</v>
      </c>
      <c r="D35" s="5">
        <f>DAYS("1/3/2012","1/5/2011") + DAYS("1/3/2013", "1/3/2012")</f>
        <v>729</v>
      </c>
      <c r="E35" s="6">
        <f t="shared" si="1"/>
        <v>0.9972640219</v>
      </c>
      <c r="F35" s="7" t="s">
        <v>38</v>
      </c>
      <c r="G35" s="7" t="s">
        <v>37</v>
      </c>
      <c r="H35" s="7" t="s">
        <v>16</v>
      </c>
      <c r="I35" s="7" t="s">
        <v>19</v>
      </c>
      <c r="J35" s="7" t="s">
        <v>16</v>
      </c>
      <c r="K35" s="7" t="str">
        <f t="shared" si="2"/>
        <v>Split</v>
      </c>
      <c r="L35" s="7">
        <v>10439.0</v>
      </c>
      <c r="M35" s="7">
        <v>272.0</v>
      </c>
      <c r="N35" s="6">
        <f t="shared" si="3"/>
        <v>0.02605613565</v>
      </c>
    </row>
    <row r="36">
      <c r="A36" s="3">
        <v>113.0</v>
      </c>
      <c r="B36" s="4">
        <f t="shared" si="5"/>
        <v>41277</v>
      </c>
      <c r="C36" s="4">
        <v>42007.0</v>
      </c>
      <c r="D36" s="5">
        <f>DAYS("12/26/2013","1/3/2013") + DAYS("12/16/2014", "1/3/2014")</f>
        <v>704</v>
      </c>
      <c r="E36" s="6">
        <f t="shared" si="1"/>
        <v>0.9643835616</v>
      </c>
      <c r="F36" s="7" t="s">
        <v>38</v>
      </c>
      <c r="G36" s="7" t="s">
        <v>37</v>
      </c>
      <c r="H36" s="7" t="s">
        <v>16</v>
      </c>
      <c r="I36" s="7" t="s">
        <v>19</v>
      </c>
      <c r="J36" s="7" t="s">
        <v>16</v>
      </c>
      <c r="K36" s="7" t="str">
        <f t="shared" si="2"/>
        <v>Split</v>
      </c>
      <c r="L36" s="7">
        <v>8905.0</v>
      </c>
      <c r="M36" s="7">
        <v>282.0</v>
      </c>
      <c r="N36" s="6">
        <f t="shared" si="3"/>
        <v>0.03166760247</v>
      </c>
    </row>
    <row r="37">
      <c r="A37" s="3">
        <v>114.0</v>
      </c>
      <c r="B37" s="4">
        <f t="shared" si="5"/>
        <v>42007</v>
      </c>
      <c r="C37" s="4">
        <v>42306.0</v>
      </c>
      <c r="D37" s="5">
        <f>DAYS("10/29/2015","1/6/2015")</f>
        <v>296</v>
      </c>
      <c r="E37" s="6">
        <f t="shared" si="1"/>
        <v>0.9899665552</v>
      </c>
      <c r="F37" s="7" t="s">
        <v>38</v>
      </c>
      <c r="G37" s="7" t="s">
        <v>37</v>
      </c>
      <c r="H37" s="7" t="s">
        <v>16</v>
      </c>
      <c r="I37" s="7" t="s">
        <v>19</v>
      </c>
      <c r="J37" s="7" t="s">
        <v>16</v>
      </c>
      <c r="K37" s="7" t="str">
        <f t="shared" si="2"/>
        <v>Split</v>
      </c>
      <c r="L37" s="7">
        <v>6053.0</v>
      </c>
      <c r="M37" s="7">
        <v>72.0</v>
      </c>
      <c r="N37" s="6">
        <f t="shared" si="3"/>
        <v>0.01189492813</v>
      </c>
    </row>
    <row r="38">
      <c r="A38" s="3">
        <v>114.0</v>
      </c>
      <c r="B38" s="4">
        <f t="shared" si="5"/>
        <v>42306</v>
      </c>
      <c r="C38" s="4">
        <v>42738.0</v>
      </c>
      <c r="D38" s="5">
        <f>DAYS("12/18/2015","10/29/2015") + DAYS("1/3/2017", "1/4/2016")</f>
        <v>415</v>
      </c>
      <c r="E38" s="6">
        <f t="shared" si="1"/>
        <v>0.9606481481</v>
      </c>
      <c r="F38" s="9" t="s">
        <v>39</v>
      </c>
      <c r="G38" s="7" t="s">
        <v>37</v>
      </c>
      <c r="H38" s="7" t="s">
        <v>16</v>
      </c>
      <c r="I38" s="7" t="s">
        <v>19</v>
      </c>
      <c r="J38" s="7" t="s">
        <v>16</v>
      </c>
      <c r="K38" s="7" t="str">
        <f t="shared" si="2"/>
        <v>Split</v>
      </c>
      <c r="L38" s="7">
        <v>4021.0</v>
      </c>
      <c r="M38" s="7">
        <v>254.0</v>
      </c>
      <c r="N38" s="6">
        <f t="shared" si="3"/>
        <v>0.06316836608</v>
      </c>
    </row>
    <row r="39">
      <c r="A39" s="3">
        <v>115.0</v>
      </c>
      <c r="B39" s="4">
        <f t="shared" si="5"/>
        <v>42738</v>
      </c>
      <c r="C39" s="4">
        <v>43468.0</v>
      </c>
      <c r="D39" s="5">
        <f>DAYS("1/3/2018","1/3/2017") + DAYS("1/3/2019", "1/3/2018")</f>
        <v>730</v>
      </c>
      <c r="E39" s="6">
        <f t="shared" si="1"/>
        <v>1</v>
      </c>
      <c r="F39" s="7" t="s">
        <v>39</v>
      </c>
      <c r="G39" s="7" t="s">
        <v>40</v>
      </c>
      <c r="H39" s="7" t="s">
        <v>19</v>
      </c>
      <c r="I39" s="7" t="s">
        <v>19</v>
      </c>
      <c r="J39" s="7" t="s">
        <v>19</v>
      </c>
      <c r="K39" s="7" t="str">
        <f t="shared" si="2"/>
        <v>Republican</v>
      </c>
      <c r="L39" s="7">
        <v>11199.0</v>
      </c>
      <c r="M39" s="7">
        <v>417.0</v>
      </c>
      <c r="N39" s="6">
        <f t="shared" si="3"/>
        <v>0.03723546745</v>
      </c>
    </row>
    <row r="40">
      <c r="A40" s="3">
        <v>116.0</v>
      </c>
      <c r="B40" s="4">
        <f t="shared" si="5"/>
        <v>43468</v>
      </c>
      <c r="C40" s="4">
        <v>44199.0</v>
      </c>
      <c r="D40" s="5">
        <f>DAYS("1/3/2020","1/3/2019") + DAYS("1/3/2021", "1/3/2020")</f>
        <v>731</v>
      </c>
      <c r="E40" s="6">
        <f t="shared" si="1"/>
        <v>1</v>
      </c>
      <c r="F40" s="7" t="s">
        <v>36</v>
      </c>
      <c r="G40" s="7" t="s">
        <v>40</v>
      </c>
      <c r="H40" s="7" t="s">
        <v>19</v>
      </c>
      <c r="I40" s="7" t="s">
        <v>16</v>
      </c>
      <c r="J40" s="7" t="s">
        <v>19</v>
      </c>
      <c r="K40" s="7" t="str">
        <f t="shared" si="2"/>
        <v>Split</v>
      </c>
      <c r="L40" s="7">
        <v>14148.0</v>
      </c>
      <c r="M40" s="7">
        <v>333.0</v>
      </c>
      <c r="N40" s="6">
        <f t="shared" si="3"/>
        <v>0.02353689567</v>
      </c>
    </row>
    <row r="41">
      <c r="A41" s="3">
        <v>117.0</v>
      </c>
      <c r="B41" s="4">
        <f t="shared" si="5"/>
        <v>44199</v>
      </c>
      <c r="C41" s="4">
        <v>44929.0</v>
      </c>
      <c r="D41" s="5">
        <f>DAYS("1/3/2022","1/3/2021") + DAYS("1/3/2023", "1/3/2022")</f>
        <v>730</v>
      </c>
      <c r="E41" s="6">
        <f t="shared" si="1"/>
        <v>1</v>
      </c>
      <c r="F41" s="7" t="s">
        <v>36</v>
      </c>
      <c r="G41" s="7" t="s">
        <v>41</v>
      </c>
      <c r="H41" s="7" t="s">
        <v>16</v>
      </c>
      <c r="I41" s="7" t="s">
        <v>16</v>
      </c>
      <c r="J41" s="7" t="s">
        <v>16</v>
      </c>
      <c r="K41" s="7" t="str">
        <f t="shared" si="2"/>
        <v>Democrat</v>
      </c>
      <c r="L41" s="7">
        <v>15055.0</v>
      </c>
      <c r="M41" s="7">
        <v>358.0</v>
      </c>
      <c r="N41" s="6">
        <f t="shared" si="3"/>
        <v>0.02377947526</v>
      </c>
    </row>
  </sheetData>
  <autoFilter ref="$A$1:$AD$968">
    <sortState ref="A1:AD968">
      <sortCondition ref="B1:B96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75"/>
    <col customWidth="1" min="3" max="3" width="14.88"/>
  </cols>
  <sheetData>
    <row r="1">
      <c r="A1" s="1" t="s">
        <v>0</v>
      </c>
      <c r="B1" s="1" t="s">
        <v>4</v>
      </c>
      <c r="C1" s="1" t="s">
        <v>13</v>
      </c>
    </row>
    <row r="2">
      <c r="A2" s="3">
        <f>Sheet2!A2</f>
        <v>82</v>
      </c>
      <c r="B2" s="6">
        <f>Sheet2!E2</f>
        <v>1</v>
      </c>
      <c r="C2" s="6">
        <f>Sheet2!N2</f>
        <v>0.1962616822</v>
      </c>
    </row>
    <row r="3">
      <c r="A3" s="3">
        <f>Sheet2!A3</f>
        <v>83</v>
      </c>
      <c r="B3" s="6">
        <f>Sheet2!E3</f>
        <v>1</v>
      </c>
      <c r="C3" s="6">
        <f>Sheet2!N3</f>
        <v>0.1208053691</v>
      </c>
    </row>
    <row r="4">
      <c r="A4" s="3">
        <f>Sheet2!A4</f>
        <v>88</v>
      </c>
      <c r="B4" s="6">
        <f>Sheet2!E4</f>
        <v>0.9333333333</v>
      </c>
      <c r="C4" s="6">
        <f>Sheet2!N4</f>
        <v>0.02469135802</v>
      </c>
    </row>
    <row r="5">
      <c r="A5" s="3">
        <f>Sheet2!A5</f>
        <v>92</v>
      </c>
      <c r="B5" s="6">
        <f>Sheet2!E5</f>
        <v>0.8</v>
      </c>
      <c r="C5" s="6">
        <f>Sheet2!N5</f>
        <v>0.02127659574</v>
      </c>
    </row>
    <row r="6">
      <c r="A6" s="3">
        <f>Sheet2!A6</f>
        <v>95</v>
      </c>
      <c r="B6" s="6">
        <f>Sheet2!E6</f>
        <v>0.9888888889</v>
      </c>
      <c r="C6" s="6">
        <f>Sheet2!N6</f>
        <v>0.001118724654</v>
      </c>
    </row>
    <row r="7">
      <c r="A7" s="3">
        <f>Sheet2!A7</f>
        <v>100</v>
      </c>
      <c r="B7" s="6">
        <f>Sheet2!E7</f>
        <v>0.9666666667</v>
      </c>
      <c r="C7" s="6">
        <f>Sheet2!N7</f>
        <v>0.001748251748</v>
      </c>
    </row>
    <row r="8">
      <c r="A8" s="3">
        <f>Sheet2!A8</f>
        <v>101</v>
      </c>
      <c r="B8" s="6">
        <f>Sheet2!E8</f>
        <v>1</v>
      </c>
      <c r="C8" s="6">
        <f>Sheet2!N8</f>
        <v>0.02517361111</v>
      </c>
    </row>
    <row r="9">
      <c r="A9" s="3">
        <f>Sheet2!A9</f>
        <v>104</v>
      </c>
      <c r="B9" s="6">
        <f>Sheet2!E9</f>
        <v>0.9888888889</v>
      </c>
      <c r="C9" s="6">
        <f>Sheet2!N9</f>
        <v>0.002428363283</v>
      </c>
    </row>
    <row r="10">
      <c r="A10" s="3">
        <f>Sheet2!A10</f>
        <v>106</v>
      </c>
      <c r="B10" s="6">
        <f>Sheet2!E10</f>
        <v>0.9666666667</v>
      </c>
      <c r="C10" s="6">
        <f>Sheet2!N10</f>
        <v>0.003766478343</v>
      </c>
    </row>
    <row r="11">
      <c r="A11" s="3">
        <f>Sheet2!A11</f>
        <v>110</v>
      </c>
      <c r="B11" s="6">
        <f>Sheet2!E11</f>
        <v>0.9888888889</v>
      </c>
      <c r="C11" s="6">
        <f>Sheet2!N11</f>
        <v>0.005156411138</v>
      </c>
    </row>
    <row r="12">
      <c r="A12" s="3">
        <f>Sheet2!A12</f>
        <v>112</v>
      </c>
      <c r="B12" s="6">
        <f>Sheet2!E12</f>
        <v>0.9777777778</v>
      </c>
      <c r="C12" s="6">
        <f>Sheet2!N12</f>
        <v>0.002450980392</v>
      </c>
    </row>
    <row r="13">
      <c r="A13" s="3">
        <f>Sheet2!A13</f>
        <v>114</v>
      </c>
      <c r="B13" s="6">
        <f>Sheet2!E13</f>
        <v>1</v>
      </c>
      <c r="C13" s="6">
        <f>Sheet2!N13</f>
        <v>0.05513784461</v>
      </c>
    </row>
    <row r="14">
      <c r="A14" s="3">
        <f>Sheet2!A14</f>
        <v>118</v>
      </c>
      <c r="B14" s="6">
        <f>Sheet2!E14</f>
        <v>1</v>
      </c>
      <c r="C14" s="6">
        <f>Sheet2!N14</f>
        <v>0.0002759381898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75"/>
    <col customWidth="1" min="3" max="3" width="14.88"/>
    <col customWidth="1" min="4" max="4" width="16.25"/>
  </cols>
  <sheetData>
    <row r="1">
      <c r="A1" s="1" t="s">
        <v>0</v>
      </c>
      <c r="B1" s="1" t="s">
        <v>4</v>
      </c>
      <c r="C1" s="1" t="s">
        <v>13</v>
      </c>
      <c r="D1" s="1"/>
    </row>
    <row r="2">
      <c r="A2" s="3">
        <v>82.0</v>
      </c>
      <c r="B2" s="6">
        <f>Sheet1!E2</f>
        <v>0.6443228454</v>
      </c>
      <c r="C2" s="6">
        <f>Sheet1!N2</f>
        <v>2.922641509</v>
      </c>
    </row>
    <row r="3">
      <c r="A3" s="3">
        <v>83.0</v>
      </c>
      <c r="B3" s="6">
        <f>Sheet1!E3</f>
        <v>0.7424657534</v>
      </c>
      <c r="C3" s="6">
        <f>Sheet1!N3</f>
        <v>2.40960452</v>
      </c>
    </row>
    <row r="4">
      <c r="A4" s="3">
        <v>84.0</v>
      </c>
      <c r="B4" s="6">
        <f>Sheet1!E4</f>
        <v>0.5677154583</v>
      </c>
      <c r="C4" s="6">
        <f>Sheet1!N4</f>
        <v>1.898520085</v>
      </c>
    </row>
    <row r="5">
      <c r="A5" s="3">
        <v>85.0</v>
      </c>
      <c r="B5" s="6">
        <f>Sheet1!E5</f>
        <v>0.6410958904</v>
      </c>
      <c r="C5" s="6">
        <f>Sheet1!N5</f>
        <v>1.841067285</v>
      </c>
    </row>
    <row r="6">
      <c r="A6" s="3">
        <v>86.0</v>
      </c>
      <c r="B6" s="6">
        <f>Sheet1!E6</f>
        <v>0.6703146375</v>
      </c>
      <c r="C6" s="6">
        <f>Sheet1!N6</f>
        <v>1.656207367</v>
      </c>
    </row>
    <row r="7">
      <c r="A7" s="3">
        <v>87.0</v>
      </c>
      <c r="B7" s="6">
        <f>Sheet1!E7</f>
        <v>0.7438356164</v>
      </c>
      <c r="C7" s="6">
        <f>Sheet1!N7</f>
        <v>1.858218319</v>
      </c>
    </row>
    <row r="8">
      <c r="A8" s="7">
        <v>88.0</v>
      </c>
      <c r="B8" s="6">
        <f>Sheet1!E8</f>
        <v>0.9814241486</v>
      </c>
      <c r="C8" s="6">
        <f>Sheet1!N8</f>
        <v>0.8762214984</v>
      </c>
    </row>
    <row r="9">
      <c r="A9" s="3">
        <v>88.0</v>
      </c>
      <c r="B9" s="6">
        <f>Sheet1!E9</f>
        <v>0.7549019608</v>
      </c>
      <c r="C9" s="6">
        <f>Sheet1!N9</f>
        <v>2.234113712</v>
      </c>
    </row>
    <row r="10">
      <c r="A10" s="3">
        <v>89.0</v>
      </c>
      <c r="B10" s="6">
        <f>Sheet1!E10</f>
        <v>0.7904109589</v>
      </c>
      <c r="C10" s="6">
        <f>Sheet1!N10</f>
        <v>1.63562753</v>
      </c>
    </row>
    <row r="11">
      <c r="A11" s="3">
        <v>90.0</v>
      </c>
      <c r="B11" s="6">
        <f>Sheet1!E11</f>
        <v>0.8372093023</v>
      </c>
      <c r="C11" s="6">
        <f>Sheet1!N11</f>
        <v>1.661319073</v>
      </c>
    </row>
    <row r="12">
      <c r="A12" s="3">
        <v>91.0</v>
      </c>
      <c r="B12" s="6">
        <f>Sheet1!E12</f>
        <v>0.9616438356</v>
      </c>
      <c r="C12" s="6">
        <f>Sheet1!N12</f>
        <v>1.409317804</v>
      </c>
    </row>
    <row r="13">
      <c r="A13" s="3">
        <v>92.0</v>
      </c>
      <c r="B13" s="6">
        <f>Sheet1!E13</f>
        <v>0.8262653899</v>
      </c>
      <c r="C13" s="6">
        <f>Sheet1!N13</f>
        <v>1.315175097</v>
      </c>
    </row>
    <row r="14">
      <c r="A14" s="7">
        <v>93.0</v>
      </c>
      <c r="B14" s="6">
        <f>Sheet1!E14</f>
        <v>0.948542024</v>
      </c>
      <c r="C14" s="6">
        <f>Sheet1!N14</f>
        <v>0.01958192588</v>
      </c>
    </row>
    <row r="15">
      <c r="A15" s="3">
        <v>93.0</v>
      </c>
      <c r="B15" s="6">
        <f>Sheet1!E15</f>
        <v>0.9047619048</v>
      </c>
      <c r="C15" s="6">
        <f>Sheet1!N15</f>
        <v>0.1904136573</v>
      </c>
    </row>
    <row r="16">
      <c r="A16" s="3">
        <v>94.0</v>
      </c>
      <c r="B16" s="6">
        <f>Sheet1!E16</f>
        <v>0.8139534884</v>
      </c>
      <c r="C16" s="6">
        <f>Sheet1!N16</f>
        <v>0.03380224674</v>
      </c>
    </row>
    <row r="17">
      <c r="A17" s="3">
        <v>95.0</v>
      </c>
      <c r="B17" s="6">
        <f>Sheet1!E17</f>
        <v>0.8410958904</v>
      </c>
      <c r="C17" s="6">
        <f>Sheet1!N17</f>
        <v>0.04067834183</v>
      </c>
    </row>
    <row r="18">
      <c r="A18" s="3">
        <v>96.0</v>
      </c>
      <c r="B18" s="6">
        <f>Sheet1!E18</f>
        <v>0.9589603283</v>
      </c>
      <c r="C18" s="6">
        <f>Sheet1!N18</f>
        <v>0.05562665302</v>
      </c>
    </row>
    <row r="19">
      <c r="A19" s="3">
        <v>97.0</v>
      </c>
      <c r="B19" s="6">
        <f>Sheet1!E19</f>
        <v>0.9273972603</v>
      </c>
      <c r="C19" s="6">
        <f>Sheet1!N19</f>
        <v>0.03903222758</v>
      </c>
    </row>
    <row r="20">
      <c r="A20" s="3">
        <v>98.0</v>
      </c>
      <c r="B20" s="6">
        <f>Sheet1!E20</f>
        <v>0.7961696306</v>
      </c>
      <c r="C20" s="6">
        <f>Sheet1!N20</f>
        <v>0.05022017194</v>
      </c>
    </row>
    <row r="21">
      <c r="A21" s="3">
        <v>99.0</v>
      </c>
      <c r="B21" s="6">
        <f>Sheet1!E21</f>
        <v>0.8506849315</v>
      </c>
      <c r="C21" s="6">
        <f>Sheet1!N21</f>
        <v>0.06829941359</v>
      </c>
    </row>
    <row r="22">
      <c r="A22" s="3">
        <v>100.0</v>
      </c>
      <c r="B22" s="6">
        <f>Sheet1!E22</f>
        <v>0.8495212038</v>
      </c>
      <c r="C22" s="6">
        <f>Sheet1!N22</f>
        <v>0.06064167352</v>
      </c>
    </row>
    <row r="23">
      <c r="A23" s="3">
        <v>101.0</v>
      </c>
      <c r="B23" s="6">
        <f>Sheet1!E23</f>
        <v>1</v>
      </c>
      <c r="C23" s="6">
        <f>Sheet1!N23</f>
        <v>0.002430461788</v>
      </c>
    </row>
    <row r="24">
      <c r="A24" s="3">
        <v>101.0</v>
      </c>
      <c r="B24" s="6">
        <f>Sheet1!E24</f>
        <v>0.7760416667</v>
      </c>
      <c r="C24" s="6">
        <f>Sheet1!N24</f>
        <v>0.07682596934</v>
      </c>
    </row>
    <row r="25">
      <c r="A25" s="3">
        <v>102.0</v>
      </c>
      <c r="B25" s="6">
        <f>Sheet1!E25</f>
        <v>0.8823529412</v>
      </c>
      <c r="C25" s="6">
        <f>Sheet1!N25</f>
        <v>0.05488439908</v>
      </c>
    </row>
    <row r="26">
      <c r="A26" s="3">
        <v>103.0</v>
      </c>
      <c r="B26" s="6">
        <f>Sheet1!E26</f>
        <v>0.8698630137</v>
      </c>
      <c r="C26" s="6">
        <f>Sheet1!N26</f>
        <v>0.04696027415</v>
      </c>
    </row>
    <row r="27">
      <c r="A27" s="3">
        <v>104.0</v>
      </c>
      <c r="B27" s="6">
        <f>Sheet1!E27</f>
        <v>0.8741450068</v>
      </c>
      <c r="C27" s="6">
        <f>Sheet1!N27</f>
        <v>0.04753171328</v>
      </c>
    </row>
    <row r="28">
      <c r="A28" s="3">
        <v>105.0</v>
      </c>
      <c r="B28" s="6">
        <f>Sheet1!E28</f>
        <v>0.8712328767</v>
      </c>
      <c r="C28" s="6">
        <f>Sheet1!N28</f>
        <v>0.04927613229</v>
      </c>
    </row>
    <row r="29">
      <c r="A29" s="3">
        <v>106.0</v>
      </c>
      <c r="B29" s="6">
        <f>Sheet1!E29</f>
        <v>0.8837209302</v>
      </c>
      <c r="C29" s="6">
        <f>Sheet1!N29</f>
        <v>0.06222123104</v>
      </c>
    </row>
    <row r="30">
      <c r="A30" s="3">
        <v>107.0</v>
      </c>
      <c r="B30" s="6">
        <f>Sheet1!E30</f>
        <v>0.895890411</v>
      </c>
      <c r="C30" s="6">
        <f>Sheet1!N30</f>
        <v>0.03912363067</v>
      </c>
    </row>
    <row r="31">
      <c r="A31" s="3">
        <v>108.0</v>
      </c>
      <c r="B31" s="6">
        <f>Sheet1!E31</f>
        <v>0.901504788</v>
      </c>
      <c r="C31" s="6">
        <f>Sheet1!N31</f>
        <v>0.05623818526</v>
      </c>
    </row>
    <row r="32">
      <c r="A32" s="3">
        <v>109.0</v>
      </c>
      <c r="B32" s="6">
        <f>Sheet1!E32</f>
        <v>0.9465753425</v>
      </c>
      <c r="C32" s="6">
        <f>Sheet1!N32</f>
        <v>0.0440591245</v>
      </c>
    </row>
    <row r="33">
      <c r="A33" s="3">
        <v>110.0</v>
      </c>
      <c r="B33" s="6">
        <f>Sheet1!E33</f>
        <v>0.9781121751</v>
      </c>
      <c r="C33" s="6">
        <f>Sheet1!N33</f>
        <v>0.03990250068</v>
      </c>
    </row>
    <row r="34">
      <c r="A34" s="3">
        <v>111.0</v>
      </c>
      <c r="B34" s="6">
        <f>Sheet1!E34</f>
        <v>0.9630136986</v>
      </c>
      <c r="C34" s="6">
        <f>Sheet1!N34</f>
        <v>0.03446003201</v>
      </c>
    </row>
    <row r="35">
      <c r="A35" s="3">
        <v>112.0</v>
      </c>
      <c r="B35" s="6">
        <f>Sheet1!E35</f>
        <v>0.9972640219</v>
      </c>
      <c r="C35" s="6">
        <f>Sheet1!N35</f>
        <v>0.02605613565</v>
      </c>
    </row>
    <row r="36">
      <c r="A36" s="3">
        <v>113.0</v>
      </c>
      <c r="B36" s="6">
        <f>Sheet1!E36</f>
        <v>0.9643835616</v>
      </c>
      <c r="C36" s="6">
        <f>Sheet1!N36</f>
        <v>0.03166760247</v>
      </c>
    </row>
    <row r="37">
      <c r="A37" s="3">
        <v>114.0</v>
      </c>
      <c r="B37" s="6">
        <f>Sheet1!E37</f>
        <v>0.9899665552</v>
      </c>
      <c r="C37" s="6">
        <f>Sheet1!N37</f>
        <v>0.01189492813</v>
      </c>
    </row>
    <row r="38">
      <c r="A38" s="3">
        <v>114.0</v>
      </c>
      <c r="B38" s="6">
        <f>Sheet1!E38</f>
        <v>0.9606481481</v>
      </c>
      <c r="C38" s="6">
        <f>Sheet1!N38</f>
        <v>0.06316836608</v>
      </c>
    </row>
    <row r="39">
      <c r="A39" s="3">
        <v>115.0</v>
      </c>
      <c r="B39" s="6">
        <f>Sheet1!E39</f>
        <v>1</v>
      </c>
      <c r="C39" s="6">
        <f>Sheet1!N39</f>
        <v>0.03723546745</v>
      </c>
    </row>
    <row r="40">
      <c r="A40" s="3">
        <v>116.0</v>
      </c>
      <c r="B40" s="6">
        <f>Sheet1!E40</f>
        <v>1</v>
      </c>
      <c r="C40" s="6">
        <f>Sheet1!N40</f>
        <v>0.02353689567</v>
      </c>
    </row>
    <row r="41">
      <c r="A41" s="3">
        <v>117.0</v>
      </c>
      <c r="B41" s="6">
        <f>Sheet1!E41</f>
        <v>1</v>
      </c>
      <c r="C41" s="6">
        <f>Sheet1!N41</f>
        <v>0.02377947526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2" max="5" width="18.38"/>
    <col customWidth="1" min="6" max="6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2" max="2" width="21.38"/>
    <col customWidth="1" min="3" max="4" width="15.13"/>
    <col customWidth="1" min="5" max="5" width="19.75"/>
    <col customWidth="1" min="6" max="6" width="17.0"/>
    <col customWidth="1" min="7" max="7" width="14.75"/>
    <col customWidth="1" min="8" max="8" width="14.0"/>
  </cols>
  <sheetData>
    <row r="1">
      <c r="A1" s="2" t="s">
        <v>5</v>
      </c>
      <c r="B1" s="2" t="s">
        <v>6</v>
      </c>
      <c r="C1" s="2" t="s">
        <v>10</v>
      </c>
      <c r="D1" s="2" t="s">
        <v>7</v>
      </c>
      <c r="E1" s="10" t="s">
        <v>42</v>
      </c>
      <c r="F1" s="2" t="s">
        <v>43</v>
      </c>
      <c r="G1" s="1" t="s">
        <v>75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24</v>
      </c>
      <c r="B2" s="3" t="s">
        <v>25</v>
      </c>
      <c r="C2" s="3" t="s">
        <v>16</v>
      </c>
      <c r="D2" s="3" t="s">
        <v>19</v>
      </c>
      <c r="E2" s="11">
        <v>21285.0</v>
      </c>
      <c r="F2" s="11">
        <v>958.0</v>
      </c>
      <c r="G2" s="6">
        <f t="shared" ref="G2:G3" si="1">F2/E2</f>
        <v>0.04500822175</v>
      </c>
    </row>
    <row r="3">
      <c r="A3" s="3" t="s">
        <v>24</v>
      </c>
      <c r="B3" s="3" t="s">
        <v>23</v>
      </c>
      <c r="C3" s="3" t="s">
        <v>16</v>
      </c>
      <c r="D3" s="3" t="s">
        <v>19</v>
      </c>
      <c r="E3" s="11">
        <v>20941.0</v>
      </c>
      <c r="F3" s="11">
        <v>1076.0</v>
      </c>
      <c r="G3" s="6">
        <f t="shared" si="1"/>
        <v>0.05138245547</v>
      </c>
    </row>
    <row r="4">
      <c r="E4" s="11"/>
      <c r="F4" s="11"/>
      <c r="G4" s="6"/>
    </row>
    <row r="5">
      <c r="A5" s="3" t="s">
        <v>34</v>
      </c>
      <c r="B5" s="3" t="s">
        <v>32</v>
      </c>
      <c r="C5" s="3" t="s">
        <v>19</v>
      </c>
      <c r="D5" s="3" t="s">
        <v>16</v>
      </c>
      <c r="E5" s="11">
        <v>8968.0</v>
      </c>
      <c r="F5" s="11">
        <v>558.0</v>
      </c>
      <c r="G5" s="6">
        <f t="shared" ref="G5:G7" si="2">F5/E5</f>
        <v>0.06222123104</v>
      </c>
    </row>
    <row r="6">
      <c r="A6" s="3" t="s">
        <v>34</v>
      </c>
      <c r="B6" s="3" t="s">
        <v>35</v>
      </c>
      <c r="C6" s="3" t="s">
        <v>19</v>
      </c>
      <c r="D6" s="3" t="s">
        <v>19</v>
      </c>
      <c r="E6" s="11">
        <v>19018.0</v>
      </c>
      <c r="F6" s="11">
        <v>941.0</v>
      </c>
      <c r="G6" s="6">
        <f t="shared" si="2"/>
        <v>0.04947944053</v>
      </c>
    </row>
    <row r="7">
      <c r="A7" s="3" t="s">
        <v>34</v>
      </c>
      <c r="B7" s="3" t="s">
        <v>35</v>
      </c>
      <c r="C7" s="3" t="s">
        <v>50</v>
      </c>
      <c r="D7" s="3" t="s">
        <v>19</v>
      </c>
      <c r="E7" s="11">
        <v>8946.0</v>
      </c>
      <c r="F7" s="11">
        <v>350.0</v>
      </c>
      <c r="G7" s="6">
        <f t="shared" si="2"/>
        <v>0.03912363067</v>
      </c>
    </row>
    <row r="8">
      <c r="E8" s="11"/>
      <c r="F8" s="11"/>
      <c r="G8" s="6"/>
    </row>
    <row r="9">
      <c r="A9" s="3" t="s">
        <v>29</v>
      </c>
      <c r="B9" s="3" t="s">
        <v>30</v>
      </c>
      <c r="C9" s="3" t="s">
        <v>16</v>
      </c>
      <c r="D9" s="3" t="s">
        <v>19</v>
      </c>
      <c r="E9" s="11">
        <v>3703.0</v>
      </c>
      <c r="F9" s="11">
        <v>9.0</v>
      </c>
      <c r="G9" s="6">
        <f t="shared" ref="G9:G10" si="3">F9/E9</f>
        <v>0.002430461788</v>
      </c>
    </row>
    <row r="10">
      <c r="A10" s="3" t="s">
        <v>29</v>
      </c>
      <c r="B10" s="3" t="s">
        <v>28</v>
      </c>
      <c r="C10" s="3" t="s">
        <v>16</v>
      </c>
      <c r="D10" s="3" t="s">
        <v>19</v>
      </c>
      <c r="E10" s="11">
        <v>8509.0</v>
      </c>
      <c r="F10" s="11">
        <v>516.0</v>
      </c>
      <c r="G10" s="6">
        <f t="shared" si="3"/>
        <v>0.06064167352</v>
      </c>
    </row>
    <row r="11">
      <c r="E11" s="11"/>
      <c r="F11" s="11"/>
      <c r="G11" s="6"/>
    </row>
    <row r="12">
      <c r="A12" s="3" t="s">
        <v>38</v>
      </c>
      <c r="B12" s="3" t="s">
        <v>37</v>
      </c>
      <c r="C12" s="3" t="s">
        <v>50</v>
      </c>
      <c r="D12" s="3" t="s">
        <v>16</v>
      </c>
      <c r="E12" s="11">
        <v>25397.0</v>
      </c>
      <c r="F12" s="11">
        <v>626.0</v>
      </c>
      <c r="G12" s="6">
        <f>F12/E12</f>
        <v>0.02464858054</v>
      </c>
    </row>
    <row r="13">
      <c r="E13" s="11"/>
      <c r="F13" s="11"/>
      <c r="G13" s="6"/>
    </row>
    <row r="14">
      <c r="A14" s="3" t="s">
        <v>21</v>
      </c>
      <c r="B14" s="3" t="s">
        <v>20</v>
      </c>
      <c r="C14" s="3" t="s">
        <v>16</v>
      </c>
      <c r="D14" s="3" t="s">
        <v>16</v>
      </c>
      <c r="E14" s="11">
        <v>307.0</v>
      </c>
      <c r="F14" s="11">
        <v>269.0</v>
      </c>
      <c r="G14" s="6">
        <f t="shared" ref="G14:G16" si="4">F14/E14</f>
        <v>0.8762214984</v>
      </c>
    </row>
    <row r="15">
      <c r="A15" s="3" t="s">
        <v>21</v>
      </c>
      <c r="B15" s="3" t="s">
        <v>22</v>
      </c>
      <c r="C15" s="3" t="s">
        <v>16</v>
      </c>
      <c r="D15" s="3" t="s">
        <v>16</v>
      </c>
      <c r="E15" s="11">
        <v>1601.0</v>
      </c>
      <c r="F15" s="11">
        <v>2812.0</v>
      </c>
      <c r="G15" s="6">
        <f t="shared" si="4"/>
        <v>1.756402249</v>
      </c>
    </row>
    <row r="16">
      <c r="A16" s="3" t="s">
        <v>21</v>
      </c>
      <c r="B16" s="3" t="s">
        <v>23</v>
      </c>
      <c r="C16" s="3" t="s">
        <v>16</v>
      </c>
      <c r="D16" s="3" t="s">
        <v>19</v>
      </c>
      <c r="E16" s="11">
        <v>601.0</v>
      </c>
      <c r="F16" s="11">
        <v>847.0</v>
      </c>
      <c r="G16" s="6">
        <f t="shared" si="4"/>
        <v>1.409317804</v>
      </c>
    </row>
    <row r="17">
      <c r="E17" s="11"/>
      <c r="F17" s="11"/>
      <c r="G17" s="6"/>
    </row>
    <row r="18">
      <c r="A18" s="3" t="s">
        <v>17</v>
      </c>
      <c r="B18" s="3" t="s">
        <v>18</v>
      </c>
      <c r="C18" s="3" t="s">
        <v>19</v>
      </c>
      <c r="D18" s="3" t="s">
        <v>19</v>
      </c>
      <c r="E18" s="11">
        <v>708.0</v>
      </c>
      <c r="F18" s="11">
        <v>1706.0</v>
      </c>
      <c r="G18" s="6">
        <f>F18/E18</f>
        <v>2.40960452</v>
      </c>
    </row>
    <row r="19">
      <c r="E19" s="11"/>
      <c r="F19" s="11"/>
      <c r="G19" s="6"/>
    </row>
    <row r="20">
      <c r="A20" s="3" t="s">
        <v>36</v>
      </c>
      <c r="B20" s="3" t="s">
        <v>37</v>
      </c>
      <c r="C20" s="3" t="s">
        <v>16</v>
      </c>
      <c r="D20" s="3" t="s">
        <v>16</v>
      </c>
      <c r="E20" s="11">
        <v>10621.0</v>
      </c>
      <c r="F20" s="11">
        <v>366.0</v>
      </c>
      <c r="G20" s="6">
        <f t="shared" ref="G20:G23" si="5">F20/E20</f>
        <v>0.03446003201</v>
      </c>
    </row>
    <row r="21">
      <c r="A21" s="3" t="s">
        <v>36</v>
      </c>
      <c r="B21" s="3" t="s">
        <v>40</v>
      </c>
      <c r="C21" s="3" t="s">
        <v>50</v>
      </c>
      <c r="D21" s="3" t="s">
        <v>19</v>
      </c>
      <c r="E21" s="11">
        <v>14148.0</v>
      </c>
      <c r="F21" s="11">
        <v>333.0</v>
      </c>
      <c r="G21" s="6">
        <f t="shared" si="5"/>
        <v>0.02353689567</v>
      </c>
    </row>
    <row r="22">
      <c r="A22" s="3" t="s">
        <v>36</v>
      </c>
      <c r="B22" s="3" t="s">
        <v>35</v>
      </c>
      <c r="C22" s="3" t="s">
        <v>16</v>
      </c>
      <c r="D22" s="3" t="s">
        <v>19</v>
      </c>
      <c r="E22" s="11">
        <v>11077.0</v>
      </c>
      <c r="F22" s="11">
        <v>442.0</v>
      </c>
      <c r="G22" s="6">
        <f t="shared" si="5"/>
        <v>0.03990250068</v>
      </c>
    </row>
    <row r="23">
      <c r="A23" s="3" t="s">
        <v>36</v>
      </c>
      <c r="B23" s="3" t="s">
        <v>41</v>
      </c>
      <c r="C23" s="3" t="s">
        <v>16</v>
      </c>
      <c r="D23" s="3" t="s">
        <v>16</v>
      </c>
      <c r="E23" s="11">
        <v>15055.0</v>
      </c>
      <c r="F23" s="11">
        <v>358.0</v>
      </c>
      <c r="G23" s="6">
        <f t="shared" si="5"/>
        <v>0.02377947526</v>
      </c>
    </row>
    <row r="24">
      <c r="E24" s="11"/>
      <c r="F24" s="11"/>
    </row>
    <row r="25">
      <c r="A25" s="3" t="s">
        <v>33</v>
      </c>
      <c r="B25" s="3" t="s">
        <v>32</v>
      </c>
      <c r="C25" s="3" t="s">
        <v>19</v>
      </c>
      <c r="D25" s="3" t="s">
        <v>16</v>
      </c>
      <c r="E25" s="11">
        <v>14072.0</v>
      </c>
      <c r="F25" s="11">
        <v>682.0</v>
      </c>
      <c r="G25" s="6">
        <f>F25/E25</f>
        <v>0.04846503695</v>
      </c>
    </row>
    <row r="27">
      <c r="A27" s="3" t="s">
        <v>39</v>
      </c>
      <c r="B27" s="3" t="s">
        <v>37</v>
      </c>
      <c r="C27" s="3" t="s">
        <v>50</v>
      </c>
      <c r="D27" s="3" t="s">
        <v>16</v>
      </c>
      <c r="E27" s="11">
        <v>4021.0</v>
      </c>
      <c r="F27" s="11">
        <v>254.0</v>
      </c>
      <c r="G27" s="6">
        <f t="shared" ref="G27:G28" si="6">F27/E27</f>
        <v>0.06316836608</v>
      </c>
    </row>
    <row r="28">
      <c r="A28" s="3" t="s">
        <v>39</v>
      </c>
      <c r="B28" s="3" t="s">
        <v>40</v>
      </c>
      <c r="C28" s="3" t="s">
        <v>19</v>
      </c>
      <c r="D28" s="3" t="s">
        <v>19</v>
      </c>
      <c r="E28" s="11">
        <v>11199.0</v>
      </c>
      <c r="F28" s="11">
        <v>417.0</v>
      </c>
      <c r="G28" s="6">
        <f t="shared" si="6"/>
        <v>0.03723546745</v>
      </c>
    </row>
    <row r="30">
      <c r="A30" s="3" t="s">
        <v>14</v>
      </c>
      <c r="B30" s="3" t="s">
        <v>18</v>
      </c>
      <c r="C30" s="3" t="s">
        <v>16</v>
      </c>
      <c r="D30" s="3" t="s">
        <v>19</v>
      </c>
      <c r="E30" s="11">
        <v>2541.0</v>
      </c>
      <c r="F30" s="11">
        <v>4597.0</v>
      </c>
      <c r="G30" s="6">
        <f t="shared" ref="G30:G32" si="7">F30/E30</f>
        <v>1.809130264</v>
      </c>
    </row>
    <row r="31">
      <c r="A31" s="3" t="s">
        <v>14</v>
      </c>
      <c r="B31" s="3" t="s">
        <v>15</v>
      </c>
      <c r="C31" s="3" t="s">
        <v>16</v>
      </c>
      <c r="D31" s="3" t="s">
        <v>16</v>
      </c>
      <c r="E31" s="11">
        <v>530.0</v>
      </c>
      <c r="F31" s="11">
        <v>1549.0</v>
      </c>
      <c r="G31" s="6">
        <f t="shared" si="7"/>
        <v>2.922641509</v>
      </c>
    </row>
    <row r="32">
      <c r="A32" s="3" t="s">
        <v>14</v>
      </c>
      <c r="B32" s="3" t="s">
        <v>20</v>
      </c>
      <c r="C32" s="3" t="s">
        <v>16</v>
      </c>
      <c r="D32" s="3" t="s">
        <v>16</v>
      </c>
      <c r="E32" s="11">
        <v>797.0</v>
      </c>
      <c r="F32" s="11">
        <v>1481.0</v>
      </c>
      <c r="G32" s="6">
        <f t="shared" si="7"/>
        <v>1.858218319</v>
      </c>
    </row>
    <row r="34">
      <c r="A34" s="3" t="s">
        <v>26</v>
      </c>
      <c r="B34" s="3" t="s">
        <v>27</v>
      </c>
      <c r="C34" s="3" t="s">
        <v>16</v>
      </c>
      <c r="D34" s="3" t="s">
        <v>16</v>
      </c>
      <c r="E34" s="11">
        <v>29765.0</v>
      </c>
      <c r="F34" s="11">
        <v>1386.0</v>
      </c>
      <c r="G34" s="6">
        <f t="shared" ref="G34:G35" si="8">F34/E34</f>
        <v>0.04656475727</v>
      </c>
    </row>
    <row r="35">
      <c r="A35" s="3" t="s">
        <v>26</v>
      </c>
      <c r="B35" s="3" t="s">
        <v>28</v>
      </c>
      <c r="C35" s="3" t="s">
        <v>50</v>
      </c>
      <c r="D35" s="3" t="s">
        <v>19</v>
      </c>
      <c r="E35" s="11">
        <v>28816.0</v>
      </c>
      <c r="F35" s="11">
        <v>1486.0</v>
      </c>
      <c r="G35" s="6">
        <f t="shared" si="8"/>
        <v>0.05156857301</v>
      </c>
    </row>
    <row r="37">
      <c r="A37" s="3" t="s">
        <v>31</v>
      </c>
      <c r="B37" s="3" t="s">
        <v>32</v>
      </c>
      <c r="C37" s="3" t="s">
        <v>16</v>
      </c>
      <c r="D37" s="3" t="s">
        <v>16</v>
      </c>
      <c r="E37" s="11">
        <v>7879.0</v>
      </c>
      <c r="F37" s="11">
        <v>370.0</v>
      </c>
      <c r="G37" s="6">
        <f t="shared" ref="G37:G38" si="9">F37/E37</f>
        <v>0.04696027415</v>
      </c>
    </row>
    <row r="38">
      <c r="A38" s="3" t="s">
        <v>31</v>
      </c>
      <c r="B38" s="3" t="s">
        <v>30</v>
      </c>
      <c r="C38" s="3" t="s">
        <v>16</v>
      </c>
      <c r="D38" s="3" t="s">
        <v>19</v>
      </c>
      <c r="E38" s="11">
        <v>15147.0</v>
      </c>
      <c r="F38" s="11">
        <v>953.0</v>
      </c>
      <c r="G38" s="6">
        <f t="shared" si="9"/>
        <v>0.06291674919</v>
      </c>
    </row>
    <row r="57">
      <c r="E57" s="11"/>
      <c r="F57" s="11"/>
    </row>
    <row r="58">
      <c r="E58" s="11"/>
      <c r="F58" s="11"/>
    </row>
    <row r="59">
      <c r="E59" s="11"/>
      <c r="F59" s="11"/>
    </row>
    <row r="62">
      <c r="E62" s="11"/>
      <c r="F62" s="11"/>
    </row>
    <row r="64">
      <c r="E64" s="11"/>
      <c r="F64" s="11"/>
    </row>
    <row r="65">
      <c r="E65" s="11"/>
      <c r="F65" s="11"/>
    </row>
    <row r="66">
      <c r="E66" s="11"/>
      <c r="F66" s="11"/>
    </row>
    <row r="71">
      <c r="E71" s="11"/>
      <c r="F71" s="11"/>
    </row>
    <row r="72">
      <c r="E72" s="11"/>
      <c r="F72" s="11"/>
    </row>
    <row r="74">
      <c r="E74" s="11"/>
      <c r="F74" s="11"/>
    </row>
    <row r="75">
      <c r="E75" s="11"/>
      <c r="F75" s="11"/>
    </row>
    <row r="76">
      <c r="E76" s="11"/>
      <c r="F76" s="11"/>
    </row>
    <row r="79">
      <c r="E79" s="11"/>
      <c r="F79" s="11"/>
    </row>
    <row r="81">
      <c r="E81" s="11"/>
      <c r="F81" s="11"/>
    </row>
    <row r="82">
      <c r="E82" s="11"/>
      <c r="F82" s="11"/>
    </row>
    <row r="83">
      <c r="E83" s="11"/>
      <c r="F83" s="11"/>
    </row>
    <row r="86">
      <c r="E86" s="11"/>
      <c r="F86" s="11"/>
    </row>
    <row r="88">
      <c r="E88" s="11"/>
      <c r="F88" s="11"/>
    </row>
    <row r="89">
      <c r="E89" s="11"/>
      <c r="F89" s="11"/>
    </row>
    <row r="90">
      <c r="E90" s="11"/>
      <c r="F9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18.38"/>
    <col customWidth="1" min="3" max="3" width="17.0"/>
  </cols>
  <sheetData>
    <row r="1">
      <c r="A1" s="2" t="s">
        <v>6</v>
      </c>
      <c r="B1" s="2" t="s">
        <v>42</v>
      </c>
      <c r="C1" s="2" t="s">
        <v>43</v>
      </c>
      <c r="D1" s="1" t="s">
        <v>76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37</v>
      </c>
      <c r="B2" s="3">
        <v>40039.0</v>
      </c>
      <c r="C2" s="3">
        <v>1246.0</v>
      </c>
      <c r="D2" s="6">
        <f t="shared" ref="D2:D15" si="1">C2/B2</f>
        <v>0.03111965833</v>
      </c>
    </row>
    <row r="3">
      <c r="A3" s="3" t="s">
        <v>32</v>
      </c>
      <c r="B3" s="3">
        <v>30919.0</v>
      </c>
      <c r="C3" s="3">
        <v>1610.0</v>
      </c>
      <c r="D3" s="6">
        <f t="shared" si="1"/>
        <v>0.05207154177</v>
      </c>
    </row>
    <row r="4">
      <c r="A4" s="3" t="s">
        <v>40</v>
      </c>
      <c r="B4" s="3">
        <v>25347.0</v>
      </c>
      <c r="C4" s="3">
        <v>750.0</v>
      </c>
      <c r="D4" s="6">
        <f t="shared" si="1"/>
        <v>0.02958930051</v>
      </c>
    </row>
    <row r="5">
      <c r="A5" s="3" t="s">
        <v>18</v>
      </c>
      <c r="B5" s="3">
        <v>3249.0</v>
      </c>
      <c r="C5" s="3">
        <v>6303.0</v>
      </c>
      <c r="D5" s="6">
        <f t="shared" si="1"/>
        <v>1.939981533</v>
      </c>
    </row>
    <row r="6">
      <c r="A6" s="3" t="s">
        <v>30</v>
      </c>
      <c r="B6" s="3">
        <v>18850.0</v>
      </c>
      <c r="C6" s="3">
        <v>962.0</v>
      </c>
      <c r="D6" s="6">
        <f t="shared" si="1"/>
        <v>0.05103448276</v>
      </c>
    </row>
    <row r="7">
      <c r="A7" s="3" t="s">
        <v>35</v>
      </c>
      <c r="B7" s="3">
        <v>39041.0</v>
      </c>
      <c r="C7" s="3">
        <v>1733.0</v>
      </c>
      <c r="D7" s="6">
        <f t="shared" si="1"/>
        <v>0.04438923183</v>
      </c>
    </row>
    <row r="8">
      <c r="A8" s="3" t="s">
        <v>25</v>
      </c>
      <c r="B8" s="3">
        <v>21285.0</v>
      </c>
      <c r="C8" s="3">
        <v>958.0</v>
      </c>
      <c r="D8" s="6">
        <f t="shared" si="1"/>
        <v>0.04500822175</v>
      </c>
    </row>
    <row r="9">
      <c r="A9" s="3" t="s">
        <v>15</v>
      </c>
      <c r="B9" s="3">
        <v>530.0</v>
      </c>
      <c r="C9" s="3">
        <v>1549.0</v>
      </c>
      <c r="D9" s="6">
        <f t="shared" si="1"/>
        <v>2.922641509</v>
      </c>
    </row>
    <row r="10">
      <c r="A10" s="3" t="s">
        <v>27</v>
      </c>
      <c r="B10" s="3">
        <v>29765.0</v>
      </c>
      <c r="C10" s="3">
        <v>1386.0</v>
      </c>
      <c r="D10" s="6">
        <f t="shared" si="1"/>
        <v>0.04656475727</v>
      </c>
    </row>
    <row r="11">
      <c r="A11" s="3" t="s">
        <v>41</v>
      </c>
      <c r="B11" s="3">
        <v>15055.0</v>
      </c>
      <c r="C11" s="3">
        <v>358.0</v>
      </c>
      <c r="D11" s="6">
        <f t="shared" si="1"/>
        <v>0.02377947526</v>
      </c>
    </row>
    <row r="12">
      <c r="A12" s="3" t="s">
        <v>20</v>
      </c>
      <c r="B12" s="3">
        <v>1104.0</v>
      </c>
      <c r="C12" s="3">
        <v>1750.0</v>
      </c>
      <c r="D12" s="6">
        <f t="shared" si="1"/>
        <v>1.585144928</v>
      </c>
    </row>
    <row r="13">
      <c r="A13" s="3" t="s">
        <v>22</v>
      </c>
      <c r="B13" s="3">
        <v>1601.0</v>
      </c>
      <c r="C13" s="3">
        <v>2812.0</v>
      </c>
      <c r="D13" s="6">
        <f t="shared" si="1"/>
        <v>1.756402249</v>
      </c>
    </row>
    <row r="14">
      <c r="A14" s="3" t="s">
        <v>23</v>
      </c>
      <c r="B14" s="3">
        <v>21542.0</v>
      </c>
      <c r="C14" s="3">
        <v>1923.0</v>
      </c>
      <c r="D14" s="6">
        <f t="shared" si="1"/>
        <v>0.08926747749</v>
      </c>
    </row>
    <row r="15">
      <c r="A15" s="3" t="s">
        <v>28</v>
      </c>
      <c r="B15" s="3">
        <v>37325.0</v>
      </c>
      <c r="C15" s="3">
        <v>2002.0</v>
      </c>
      <c r="D15" s="6">
        <f t="shared" si="1"/>
        <v>0.05363697254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16.5"/>
    <col customWidth="1" min="4" max="4" width="13.75"/>
    <col customWidth="1" min="5" max="5" width="17.75"/>
    <col customWidth="1" min="6" max="6" width="16.38"/>
    <col customWidth="1" min="7" max="7" width="17.38"/>
    <col customWidth="1" min="8" max="8" width="15.13"/>
    <col customWidth="1" min="9" max="9" width="12.5"/>
    <col customWidth="1" min="12" max="12" width="13.63"/>
    <col customWidth="1" min="13" max="13" width="10.88"/>
    <col customWidth="1" min="14" max="14" width="14.88"/>
  </cols>
  <sheetData>
    <row r="1">
      <c r="A1" s="1" t="s">
        <v>0</v>
      </c>
      <c r="B1" s="1" t="s">
        <v>1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82.0</v>
      </c>
      <c r="B2" s="4">
        <v>18631.0</v>
      </c>
      <c r="C2" s="4">
        <v>18721.0</v>
      </c>
      <c r="D2" s="3">
        <f>DAYS(C2,"1/3/1951")</f>
        <v>90</v>
      </c>
      <c r="E2" s="6">
        <f t="shared" ref="E2:E14" si="1">D2/(C2-B2)</f>
        <v>1</v>
      </c>
      <c r="F2" s="7" t="s">
        <v>14</v>
      </c>
      <c r="G2" s="7" t="s">
        <v>15</v>
      </c>
      <c r="H2" s="7" t="s">
        <v>16</v>
      </c>
      <c r="I2" s="7" t="s">
        <v>16</v>
      </c>
      <c r="J2" s="7" t="s">
        <v>16</v>
      </c>
      <c r="K2" s="7" t="str">
        <f t="shared" ref="K2:K14" si="2">IF(AND(I2="Democrat",J2="Democrat"),"Democrat", IF(AND(I2="Republican",J2="Republican"),"Republican", "Split")
)</f>
        <v>Democrat</v>
      </c>
      <c r="L2" s="7">
        <v>107.0</v>
      </c>
      <c r="M2" s="7">
        <v>21.0</v>
      </c>
      <c r="N2" s="6">
        <f t="shared" ref="N2:N14" si="3">M2/L2</f>
        <v>0.1962616822</v>
      </c>
    </row>
    <row r="3">
      <c r="A3" s="3">
        <v>83.0</v>
      </c>
      <c r="B3" s="4">
        <v>19362.0</v>
      </c>
      <c r="C3" s="4">
        <v>19452.0</v>
      </c>
      <c r="D3" s="3">
        <f>DAYS(C3,"1/3/1953")</f>
        <v>90</v>
      </c>
      <c r="E3" s="6">
        <f t="shared" si="1"/>
        <v>1</v>
      </c>
      <c r="F3" s="7" t="s">
        <v>17</v>
      </c>
      <c r="G3" s="7" t="s">
        <v>18</v>
      </c>
      <c r="H3" s="7" t="s">
        <v>19</v>
      </c>
      <c r="I3" s="7" t="s">
        <v>19</v>
      </c>
      <c r="J3" s="7" t="s">
        <v>19</v>
      </c>
      <c r="K3" s="7" t="str">
        <f t="shared" si="2"/>
        <v>Republican</v>
      </c>
      <c r="L3" s="7">
        <v>149.0</v>
      </c>
      <c r="M3" s="7">
        <v>18.0</v>
      </c>
      <c r="N3" s="6">
        <f t="shared" si="3"/>
        <v>0.1208053691</v>
      </c>
    </row>
    <row r="4">
      <c r="A4" s="7">
        <v>88.0</v>
      </c>
      <c r="B4" s="4">
        <v>23014.0</v>
      </c>
      <c r="C4" s="4">
        <v>23104.0</v>
      </c>
      <c r="D4" s="3">
        <f>DAYS(C4,"1/9/1963")</f>
        <v>84</v>
      </c>
      <c r="E4" s="6">
        <f t="shared" si="1"/>
        <v>0.9333333333</v>
      </c>
      <c r="F4" s="12" t="s">
        <v>21</v>
      </c>
      <c r="G4" s="7" t="s">
        <v>20</v>
      </c>
      <c r="H4" s="7" t="s">
        <v>16</v>
      </c>
      <c r="I4" s="7" t="s">
        <v>16</v>
      </c>
      <c r="J4" s="7" t="s">
        <v>16</v>
      </c>
      <c r="K4" s="7" t="str">
        <f t="shared" si="2"/>
        <v>Democrat</v>
      </c>
      <c r="L4" s="7">
        <v>162.0</v>
      </c>
      <c r="M4" s="7">
        <v>4.0</v>
      </c>
      <c r="N4" s="6">
        <f t="shared" si="3"/>
        <v>0.02469135802</v>
      </c>
    </row>
    <row r="5">
      <c r="A5" s="3">
        <v>92.0</v>
      </c>
      <c r="B5" s="4">
        <v>25936.0</v>
      </c>
      <c r="C5" s="4">
        <v>26026.0</v>
      </c>
      <c r="D5" s="3">
        <f>DAYS(C5,"1/21/1971")</f>
        <v>72</v>
      </c>
      <c r="E5" s="6">
        <f t="shared" si="1"/>
        <v>0.8</v>
      </c>
      <c r="F5" s="7" t="s">
        <v>24</v>
      </c>
      <c r="G5" s="7" t="s">
        <v>23</v>
      </c>
      <c r="H5" s="7" t="s">
        <v>19</v>
      </c>
      <c r="I5" s="7" t="s">
        <v>16</v>
      </c>
      <c r="J5" s="7" t="s">
        <v>16</v>
      </c>
      <c r="K5" s="7" t="str">
        <f t="shared" si="2"/>
        <v>Democrat</v>
      </c>
      <c r="L5" s="7">
        <v>94.0</v>
      </c>
      <c r="M5" s="7">
        <v>2.0</v>
      </c>
      <c r="N5" s="6">
        <f t="shared" si="3"/>
        <v>0.02127659574</v>
      </c>
    </row>
    <row r="6">
      <c r="A6" s="3">
        <v>95.0</v>
      </c>
      <c r="B6" s="4">
        <v>28128.0</v>
      </c>
      <c r="C6" s="4">
        <v>28218.0</v>
      </c>
      <c r="D6" s="3">
        <f>DAYS(C6,"1/4/1977")</f>
        <v>89</v>
      </c>
      <c r="E6" s="6">
        <f t="shared" si="1"/>
        <v>0.9888888889</v>
      </c>
      <c r="F6" s="7" t="s">
        <v>26</v>
      </c>
      <c r="G6" s="7" t="s">
        <v>27</v>
      </c>
      <c r="H6" s="7" t="s">
        <v>16</v>
      </c>
      <c r="I6" s="7" t="s">
        <v>16</v>
      </c>
      <c r="J6" s="7" t="s">
        <v>16</v>
      </c>
      <c r="K6" s="7" t="str">
        <f t="shared" si="2"/>
        <v>Democrat</v>
      </c>
      <c r="L6" s="7">
        <v>7151.0</v>
      </c>
      <c r="M6" s="7">
        <v>8.0</v>
      </c>
      <c r="N6" s="6">
        <f t="shared" si="3"/>
        <v>0.001118724654</v>
      </c>
    </row>
    <row r="7">
      <c r="A7" s="3">
        <v>100.0</v>
      </c>
      <c r="B7" s="4">
        <v>31780.0</v>
      </c>
      <c r="C7" s="4">
        <v>31870.0</v>
      </c>
      <c r="D7" s="3">
        <f>DAYS(C7,"1/6/1987")</f>
        <v>87</v>
      </c>
      <c r="E7" s="6">
        <f t="shared" si="1"/>
        <v>0.9666666667</v>
      </c>
      <c r="F7" s="7" t="s">
        <v>29</v>
      </c>
      <c r="G7" s="7" t="s">
        <v>28</v>
      </c>
      <c r="H7" s="7" t="s">
        <v>19</v>
      </c>
      <c r="I7" s="7" t="s">
        <v>16</v>
      </c>
      <c r="J7" s="7" t="s">
        <v>16</v>
      </c>
      <c r="K7" s="7" t="str">
        <f t="shared" si="2"/>
        <v>Democrat</v>
      </c>
      <c r="L7" s="7">
        <v>2860.0</v>
      </c>
      <c r="M7" s="7">
        <v>5.0</v>
      </c>
      <c r="N7" s="6">
        <f t="shared" si="3"/>
        <v>0.001748251748</v>
      </c>
    </row>
    <row r="8">
      <c r="A8" s="3">
        <v>101.0</v>
      </c>
      <c r="B8" s="4">
        <v>32665.0</v>
      </c>
      <c r="C8" s="4">
        <v>32757.0</v>
      </c>
      <c r="D8" s="3">
        <f>DAYS(C8,"6/6/1989")</f>
        <v>92</v>
      </c>
      <c r="E8" s="6">
        <f t="shared" si="1"/>
        <v>1</v>
      </c>
      <c r="F8" s="7" t="s">
        <v>31</v>
      </c>
      <c r="G8" s="7" t="s">
        <v>30</v>
      </c>
      <c r="H8" s="7" t="s">
        <v>19</v>
      </c>
      <c r="I8" s="7" t="s">
        <v>16</v>
      </c>
      <c r="J8" s="7" t="s">
        <v>16</v>
      </c>
      <c r="K8" s="7" t="str">
        <f t="shared" si="2"/>
        <v>Democrat</v>
      </c>
      <c r="L8" s="7">
        <v>1152.0</v>
      </c>
      <c r="M8" s="7">
        <v>29.0</v>
      </c>
      <c r="N8" s="6">
        <f t="shared" si="3"/>
        <v>0.02517361111</v>
      </c>
    </row>
    <row r="9">
      <c r="A9" s="3">
        <v>104.0</v>
      </c>
      <c r="B9" s="4">
        <v>34702.0</v>
      </c>
      <c r="C9" s="4">
        <v>34792.0</v>
      </c>
      <c r="D9" s="3">
        <f>DAYS(C9,"1/4/1995")</f>
        <v>89</v>
      </c>
      <c r="E9" s="6">
        <f t="shared" si="1"/>
        <v>0.9888888889</v>
      </c>
      <c r="F9" s="7" t="s">
        <v>33</v>
      </c>
      <c r="G9" s="7" t="s">
        <v>32</v>
      </c>
      <c r="H9" s="7" t="s">
        <v>16</v>
      </c>
      <c r="I9" s="7" t="s">
        <v>19</v>
      </c>
      <c r="J9" s="7" t="s">
        <v>19</v>
      </c>
      <c r="K9" s="7" t="str">
        <f t="shared" si="2"/>
        <v>Republican</v>
      </c>
      <c r="L9" s="7">
        <v>2059.0</v>
      </c>
      <c r="M9" s="7">
        <v>5.0</v>
      </c>
      <c r="N9" s="6">
        <f t="shared" si="3"/>
        <v>0.002428363283</v>
      </c>
    </row>
    <row r="10">
      <c r="A10" s="3">
        <v>106.0</v>
      </c>
      <c r="B10" s="4">
        <v>36163.0</v>
      </c>
      <c r="C10" s="4">
        <v>36253.0</v>
      </c>
      <c r="D10" s="3">
        <f>DAYS(C10,"1/6/1999")</f>
        <v>87</v>
      </c>
      <c r="E10" s="6">
        <f t="shared" si="1"/>
        <v>0.9666666667</v>
      </c>
      <c r="F10" s="7" t="s">
        <v>34</v>
      </c>
      <c r="G10" s="7" t="s">
        <v>32</v>
      </c>
      <c r="H10" s="7" t="s">
        <v>16</v>
      </c>
      <c r="I10" s="7" t="s">
        <v>19</v>
      </c>
      <c r="J10" s="7" t="s">
        <v>19</v>
      </c>
      <c r="K10" s="7" t="str">
        <f t="shared" si="2"/>
        <v>Republican</v>
      </c>
      <c r="L10" s="7">
        <v>2124.0</v>
      </c>
      <c r="M10" s="7">
        <v>8.0</v>
      </c>
      <c r="N10" s="6">
        <f t="shared" si="3"/>
        <v>0.003766478343</v>
      </c>
    </row>
    <row r="11">
      <c r="A11" s="3">
        <v>110.0</v>
      </c>
      <c r="B11" s="4">
        <v>39085.0</v>
      </c>
      <c r="C11" s="4">
        <v>39175.0</v>
      </c>
      <c r="D11" s="3">
        <f>DAYS(C11,"1/4/2007")</f>
        <v>89</v>
      </c>
      <c r="E11" s="6">
        <f t="shared" si="1"/>
        <v>0.9888888889</v>
      </c>
      <c r="F11" s="7" t="s">
        <v>36</v>
      </c>
      <c r="G11" s="7" t="s">
        <v>35</v>
      </c>
      <c r="H11" s="7" t="s">
        <v>19</v>
      </c>
      <c r="I11" s="7" t="s">
        <v>16</v>
      </c>
      <c r="J11" s="7" t="s">
        <v>16</v>
      </c>
      <c r="K11" s="7" t="str">
        <f t="shared" si="2"/>
        <v>Democrat</v>
      </c>
      <c r="L11" s="7">
        <v>2909.0</v>
      </c>
      <c r="M11" s="7">
        <v>15.0</v>
      </c>
      <c r="N11" s="6">
        <f t="shared" si="3"/>
        <v>0.005156411138</v>
      </c>
    </row>
    <row r="12">
      <c r="A12" s="3">
        <v>112.0</v>
      </c>
      <c r="B12" s="4">
        <v>40546.0</v>
      </c>
      <c r="C12" s="4">
        <v>40636.0</v>
      </c>
      <c r="D12" s="3">
        <f>DAYS(C12,"1/5/2011")</f>
        <v>88</v>
      </c>
      <c r="E12" s="6">
        <f t="shared" si="1"/>
        <v>0.9777777778</v>
      </c>
      <c r="F12" s="7" t="s">
        <v>38</v>
      </c>
      <c r="G12" s="7" t="s">
        <v>37</v>
      </c>
      <c r="H12" s="7" t="s">
        <v>16</v>
      </c>
      <c r="I12" s="7" t="s">
        <v>19</v>
      </c>
      <c r="J12" s="7" t="s">
        <v>16</v>
      </c>
      <c r="K12" s="7" t="str">
        <f t="shared" si="2"/>
        <v>Split</v>
      </c>
      <c r="L12" s="7">
        <v>2040.0</v>
      </c>
      <c r="M12" s="7">
        <v>5.0</v>
      </c>
      <c r="N12" s="6">
        <f t="shared" si="3"/>
        <v>0.002450980392</v>
      </c>
    </row>
    <row r="13">
      <c r="A13" s="3">
        <v>114.0</v>
      </c>
      <c r="B13" s="4">
        <v>42306.0</v>
      </c>
      <c r="C13" s="4">
        <v>42398.0</v>
      </c>
      <c r="D13" s="3">
        <f>DAYS(C13,"10/29/2015")</f>
        <v>92</v>
      </c>
      <c r="E13" s="6">
        <f t="shared" si="1"/>
        <v>1</v>
      </c>
      <c r="F13" s="12" t="s">
        <v>39</v>
      </c>
      <c r="G13" s="7" t="s">
        <v>37</v>
      </c>
      <c r="H13" s="7" t="s">
        <v>16</v>
      </c>
      <c r="I13" s="7" t="s">
        <v>19</v>
      </c>
      <c r="J13" s="7" t="s">
        <v>16</v>
      </c>
      <c r="K13" s="7" t="str">
        <f t="shared" si="2"/>
        <v>Split</v>
      </c>
      <c r="L13" s="7">
        <v>798.0</v>
      </c>
      <c r="M13" s="7">
        <v>44.0</v>
      </c>
      <c r="N13" s="6">
        <f t="shared" si="3"/>
        <v>0.05513784461</v>
      </c>
    </row>
    <row r="14">
      <c r="A14" s="7">
        <v>118.0</v>
      </c>
      <c r="B14" s="4">
        <v>44929.0</v>
      </c>
      <c r="C14" s="4">
        <v>45019.0</v>
      </c>
      <c r="D14" s="3">
        <f>DAYS(C14,"1/3/2023")</f>
        <v>90</v>
      </c>
      <c r="E14" s="6">
        <f t="shared" si="1"/>
        <v>1</v>
      </c>
      <c r="F14" s="7" t="s">
        <v>78</v>
      </c>
      <c r="G14" s="7" t="s">
        <v>41</v>
      </c>
      <c r="H14" s="7" t="s">
        <v>16</v>
      </c>
      <c r="I14" s="7" t="s">
        <v>19</v>
      </c>
      <c r="J14" s="7" t="s">
        <v>16</v>
      </c>
      <c r="K14" s="7" t="str">
        <f t="shared" si="2"/>
        <v>Split</v>
      </c>
      <c r="L14" s="7">
        <v>3624.0</v>
      </c>
      <c r="M14" s="7">
        <v>1.0</v>
      </c>
      <c r="N14" s="6">
        <f t="shared" si="3"/>
        <v>0.0002759381898</v>
      </c>
    </row>
    <row r="15">
      <c r="B15" s="4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4"/>
    </row>
    <row r="23">
      <c r="B23" s="8"/>
    </row>
    <row r="24">
      <c r="B24" s="8"/>
    </row>
    <row r="25">
      <c r="B25" s="8"/>
    </row>
    <row r="26">
      <c r="B26" s="8"/>
    </row>
    <row r="27">
      <c r="B27" s="4"/>
    </row>
    <row r="28">
      <c r="B28" s="8"/>
    </row>
    <row r="29">
      <c r="B29" s="8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</sheetData>
  <drawing r:id="rId1"/>
</worksheet>
</file>