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 Knauff\Desktop\Schoolwork\Excel\Crowdfunding Analysis\"/>
    </mc:Choice>
  </mc:AlternateContent>
  <xr:revisionPtr revIDLastSave="0" documentId="13_ncr:1_{57EB57FC-86E7-4A43-8A7D-99A765B04398}" xr6:coauthVersionLast="47" xr6:coauthVersionMax="47" xr10:uidLastSave="{00000000-0000-0000-0000-000000000000}"/>
  <bookViews>
    <workbookView xWindow="-120" yWindow="-120" windowWidth="38640" windowHeight="21240" firstSheet="2" activeTab="4" xr2:uid="{00000000-000D-0000-FFFF-FFFF00000000}"/>
  </bookViews>
  <sheets>
    <sheet name="Category Statistics" sheetId="6" r:id="rId1"/>
    <sheet name="Subcategory Statistics" sheetId="7" r:id="rId2"/>
    <sheet name="Outcomes Based on Launch Date" sheetId="8" r:id="rId3"/>
    <sheet name="Chart1" sheetId="13" r:id="rId4"/>
    <sheet name="Theater Outcomes by Launch Date" sheetId="14" r:id="rId5"/>
    <sheet name="Kickstarter" sheetId="1" r:id="rId6"/>
    <sheet name="Descriptive Statistics" sheetId="12" r:id="rId7"/>
    <sheet name="Outcome vs. Goals" sheetId="18" r:id="rId8"/>
    <sheet name="Outcome Based on Goals" sheetId="15" r:id="rId9"/>
    <sheet name="Edinburgh Research" sheetId="9" r:id="rId10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5" l="1"/>
  <c r="H12" i="15"/>
  <c r="H13" i="15"/>
  <c r="D12" i="15"/>
  <c r="D11" i="15"/>
  <c r="D10" i="15"/>
  <c r="D9" i="15"/>
  <c r="D8" i="15"/>
  <c r="D7" i="15"/>
  <c r="D6" i="15"/>
  <c r="D5" i="15"/>
  <c r="D4" i="15"/>
  <c r="D3" i="15"/>
  <c r="D2" i="15"/>
  <c r="C2" i="15"/>
  <c r="C12" i="15"/>
  <c r="C11" i="15"/>
  <c r="C10" i="15"/>
  <c r="C9" i="15"/>
  <c r="C8" i="15"/>
  <c r="C7" i="15"/>
  <c r="C6" i="15"/>
  <c r="C5" i="15"/>
  <c r="C4" i="15"/>
  <c r="E13" i="15"/>
  <c r="E12" i="15"/>
  <c r="E11" i="15"/>
  <c r="E10" i="15"/>
  <c r="E9" i="15"/>
  <c r="E8" i="15"/>
  <c r="E7" i="15"/>
  <c r="E6" i="15"/>
  <c r="E5" i="15"/>
  <c r="E4" i="15"/>
  <c r="E3" i="15"/>
  <c r="E2" i="15"/>
  <c r="D13" i="15"/>
  <c r="C13" i="15"/>
  <c r="U1906" i="1"/>
  <c r="U3060" i="1"/>
  <c r="U3556" i="1"/>
  <c r="U3619" i="1"/>
  <c r="U3683" i="1"/>
  <c r="U3796" i="1"/>
  <c r="U3879" i="1"/>
  <c r="U3960" i="1"/>
  <c r="U4052" i="1"/>
  <c r="C14" i="12"/>
  <c r="C13" i="12"/>
  <c r="B13" i="12"/>
  <c r="B6" i="12"/>
  <c r="C12" i="12"/>
  <c r="B12" i="12"/>
  <c r="B14" i="12" s="1"/>
  <c r="C6" i="12"/>
  <c r="C5" i="12"/>
  <c r="C7" i="12" s="1"/>
  <c r="B5" i="12"/>
  <c r="B7" i="12" s="1"/>
  <c r="C11" i="12"/>
  <c r="C4" i="12"/>
  <c r="B11" i="12"/>
  <c r="B4" i="12"/>
  <c r="C10" i="12"/>
  <c r="C9" i="12"/>
  <c r="B10" i="12"/>
  <c r="B9" i="12"/>
  <c r="B2" i="12"/>
  <c r="C3" i="12"/>
  <c r="C2" i="12"/>
  <c r="B3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" i="1"/>
  <c r="P125" i="1"/>
  <c r="P126" i="1"/>
  <c r="P127" i="1"/>
  <c r="P128" i="1"/>
  <c r="P129" i="1"/>
  <c r="P130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736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245" i="1"/>
  <c r="O3842" i="1"/>
  <c r="O124" i="1"/>
  <c r="F7" i="15" l="1"/>
  <c r="G7" i="15" s="1"/>
  <c r="F9" i="15"/>
  <c r="H9" i="15" s="1"/>
  <c r="F6" i="15"/>
  <c r="G6" i="15" s="1"/>
  <c r="F8" i="15"/>
  <c r="G8" i="15" s="1"/>
  <c r="F2" i="15"/>
  <c r="I2" i="15" s="1"/>
  <c r="F3" i="15"/>
  <c r="I3" i="15" s="1"/>
  <c r="F4" i="15"/>
  <c r="G4" i="15" s="1"/>
  <c r="F5" i="15"/>
  <c r="G5" i="15" s="1"/>
  <c r="F12" i="15"/>
  <c r="G12" i="15" s="1"/>
  <c r="F13" i="15"/>
  <c r="I13" i="15" s="1"/>
  <c r="F11" i="15"/>
  <c r="H11" i="15" s="1"/>
  <c r="F10" i="15"/>
  <c r="H10" i="15" s="1"/>
  <c r="G9" i="15" l="1"/>
  <c r="I8" i="15"/>
  <c r="H6" i="15"/>
  <c r="I6" i="15"/>
  <c r="H5" i="15"/>
  <c r="H4" i="15"/>
  <c r="H3" i="15"/>
  <c r="I9" i="15"/>
  <c r="G11" i="15"/>
  <c r="G10" i="15"/>
  <c r="G13" i="15"/>
  <c r="I12" i="15"/>
  <c r="H8" i="15"/>
  <c r="G2" i="15"/>
  <c r="H2" i="15"/>
  <c r="I7" i="15"/>
  <c r="H7" i="15"/>
  <c r="G3" i="15"/>
  <c r="I4" i="15"/>
  <c r="I11" i="15"/>
  <c r="I5" i="15"/>
  <c r="I10" i="15"/>
</calcChain>
</file>

<file path=xl/sharedStrings.xml><?xml version="1.0" encoding="utf-8"?>
<sst xmlns="http://schemas.openxmlformats.org/spreadsheetml/2006/main" count="33067" uniqueCount="8421">
  <si>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</si>
  <si>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</si>
  <si>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</si>
  <si>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</si>
  <si>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</si>
  <si>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</si>
  <si>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</si>
  <si>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</si>
  <si>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</si>
  <si>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</si>
  <si>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</si>
  <si>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</si>
  <si>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</si>
  <si>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</si>
  <si>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</si>
  <si>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</si>
  <si>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</si>
  <si>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</si>
  <si>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</si>
  <si>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</si>
  <si>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</si>
  <si>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</si>
  <si>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</si>
  <si>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</si>
  <si>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</si>
  <si>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</si>
  <si>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</si>
  <si>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</si>
  <si>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</si>
  <si>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</si>
  <si>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</si>
  <si>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</si>
  <si>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</si>
  <si>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</si>
  <si>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</si>
  <si>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</si>
  <si>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</si>
  <si>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</si>
  <si>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</si>
  <si>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</si>
  <si>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</si>
  <si>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</si>
  <si>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</si>
  <si>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</si>
  <si>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</si>
  <si>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</si>
  <si>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</si>
  <si>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</si>
  <si>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</si>
  <si>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</si>
  <si>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</si>
  <si>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</si>
  <si>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</si>
  <si>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</si>
  <si>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</si>
  <si>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</si>
  <si>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</si>
  <si>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</si>
  <si>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</si>
  <si>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</si>
  <si>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</si>
  <si>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</si>
  <si>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</si>
  <si>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</si>
  <si>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</si>
  <si>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</si>
  <si>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</si>
  <si>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</si>
  <si>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</si>
  <si>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</si>
  <si>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</si>
  <si>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</si>
  <si>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</si>
  <si>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</si>
  <si>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</si>
  <si>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</si>
  <si>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</si>
  <si>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</si>
  <si>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</si>
  <si>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</si>
  <si>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</si>
  <si>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</si>
  <si>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</si>
  <si>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</si>
  <si>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</si>
  <si>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</si>
  <si>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</si>
  <si>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</si>
  <si>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</si>
  <si>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</si>
  <si>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</si>
  <si>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</si>
  <si>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</si>
  <si>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</si>
  <si>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</si>
  <si>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</si>
  <si>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</si>
  <si>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</si>
  <si>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</si>
  <si>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</si>
  <si>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</si>
  <si>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</si>
  <si>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</si>
  <si>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</si>
  <si>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</si>
  <si>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</si>
  <si>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</si>
  <si>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</si>
  <si>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</si>
  <si>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</si>
  <si>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</si>
  <si>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</si>
  <si>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</si>
  <si>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</si>
  <si>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</si>
  <si>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</si>
  <si>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</si>
  <si>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</si>
  <si>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</si>
  <si>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</si>
  <si>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</si>
  <si>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</si>
  <si>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</si>
  <si>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</si>
  <si>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</si>
  <si>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</si>
  <si>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</si>
  <si>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</si>
  <si>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</si>
  <si>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</si>
  <si>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</si>
  <si>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</si>
  <si>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</si>
  <si>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</si>
  <si>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</si>
  <si>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</si>
  <si>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</si>
  <si>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</si>
  <si>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</si>
  <si>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</si>
  <si>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</si>
  <si>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</si>
  <si>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</si>
  <si>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</si>
  <si>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</si>
  <si>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</si>
  <si>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</si>
  <si>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</si>
  <si>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</si>
  <si>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</si>
  <si>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</si>
  <si>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</si>
  <si>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</si>
  <si>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</si>
  <si>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</si>
  <si>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</si>
  <si>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</si>
  <si>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</si>
  <si>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</si>
  <si>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</si>
  <si>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</si>
  <si>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</si>
  <si>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</si>
  <si>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</si>
  <si>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</si>
  <si>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</si>
  <si>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</si>
  <si>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</si>
  <si>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</si>
  <si>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</si>
  <si>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</si>
  <si>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</si>
  <si>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</si>
  <si>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</si>
  <si>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</si>
  <si>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</si>
  <si>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</si>
  <si>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</si>
  <si>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</si>
  <si>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</si>
  <si>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</si>
  <si>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</si>
  <si>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</si>
  <si>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</si>
  <si>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</si>
  <si>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</si>
  <si>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</si>
  <si>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</si>
  <si>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</si>
  <si>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</si>
  <si>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</si>
  <si>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</si>
  <si>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</si>
  <si>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</si>
  <si>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</si>
  <si>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</si>
  <si>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</si>
  <si>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</si>
  <si>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</si>
  <si>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</si>
  <si>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</si>
  <si>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</si>
  <si>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</si>
  <si>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</si>
  <si>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</si>
  <si>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</si>
  <si>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</si>
  <si>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</si>
  <si>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</si>
  <si>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</si>
  <si>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</si>
  <si>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</si>
  <si>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</si>
  <si>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</si>
  <si>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</si>
  <si>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</si>
  <si>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</si>
  <si>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</si>
  <si>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</si>
  <si>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</si>
  <si>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</si>
  <si>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</si>
  <si>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</si>
  <si>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</si>
  <si>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</si>
  <si>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</si>
  <si>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</si>
  <si>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</si>
  <si>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</si>
  <si>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</si>
  <si>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</si>
  <si>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</si>
  <si>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</si>
  <si>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</si>
  <si>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</si>
  <si>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</si>
  <si>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</si>
  <si>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</si>
  <si>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</si>
  <si>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</si>
  <si>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</si>
  <si>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</si>
  <si>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</si>
  <si>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</si>
  <si>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</si>
  <si>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</si>
  <si>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</si>
  <si>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</si>
  <si>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</si>
  <si>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</si>
  <si>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</si>
  <si>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</si>
  <si>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</si>
  <si>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</si>
  <si>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</si>
  <si>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</si>
  <si>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</si>
  <si>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</si>
  <si>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</si>
  <si>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</si>
  <si>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</si>
  <si>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</si>
  <si>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</si>
  <si>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</si>
  <si>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</si>
  <si>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</si>
  <si>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</si>
  <si>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</si>
  <si>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</si>
  <si>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</si>
  <si>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</si>
  <si>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</si>
  <si>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</si>
  <si>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</si>
  <si>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</si>
  <si>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</si>
  <si>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</si>
  <si>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</si>
  <si>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</si>
  <si>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</si>
  <si>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</si>
  <si>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</si>
  <si>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</si>
  <si>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</si>
  <si>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</si>
  <si>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</si>
  <si>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</si>
  <si>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</si>
  <si>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</si>
  <si>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</si>
  <si>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</si>
  <si>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</si>
  <si>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</si>
  <si>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</si>
  <si>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</si>
  <si>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</si>
  <si>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</si>
  <si>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</si>
  <si>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</si>
  <si>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</si>
  <si>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</si>
  <si>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</si>
  <si>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</si>
  <si>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</si>
  <si>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</si>
  <si>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</si>
  <si>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</si>
  <si>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</si>
  <si>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</si>
  <si>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</si>
  <si>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</si>
  <si>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</si>
  <si>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</si>
  <si>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</si>
  <si>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</si>
  <si>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</si>
  <si>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</si>
  <si>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</si>
  <si>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</si>
  <si>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</si>
  <si>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</si>
  <si>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</si>
  <si>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</si>
  <si>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</si>
  <si>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</si>
  <si>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</si>
  <si>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</si>
  <si>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</si>
  <si>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</si>
  <si>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</si>
  <si>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</si>
  <si>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</si>
  <si>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</si>
  <si>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</si>
  <si>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</si>
  <si>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</si>
  <si>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</si>
  <si>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</si>
  <si>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</si>
  <si>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</si>
  <si>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</si>
  <si>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</si>
  <si>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</si>
  <si>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</si>
  <si>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</si>
  <si>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</si>
  <si>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</si>
  <si>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</si>
  <si>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</si>
  <si>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</si>
  <si>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</si>
  <si>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</si>
  <si>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</si>
  <si>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</si>
  <si>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</si>
  <si>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</si>
  <si>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</si>
  <si>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</si>
  <si>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</si>
  <si>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</si>
  <si>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</si>
  <si>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</si>
  <si>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</si>
  <si>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</si>
  <si>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</si>
  <si>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</si>
  <si>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</si>
  <si>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</si>
  <si>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</si>
  <si>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</si>
  <si>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</si>
  <si>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</si>
  <si>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</si>
  <si>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</si>
  <si>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</si>
  <si>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</si>
  <si>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</si>
  <si>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</si>
  <si>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</si>
  <si>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</si>
  <si>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</si>
  <si>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</si>
  <si>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</si>
  <si>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</si>
  <si>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</si>
  <si>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</si>
  <si>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</si>
  <si>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</si>
  <si>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</si>
  <si>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</si>
  <si>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</si>
  <si>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</si>
  <si>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</si>
  <si>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</si>
  <si>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</si>
  <si>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</si>
  <si>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</si>
  <si>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</si>
  <si>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</si>
  <si>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</si>
  <si>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</si>
  <si>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</si>
  <si>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</si>
  <si>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</si>
  <si>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</si>
  <si>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</si>
  <si>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</si>
  <si>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</si>
  <si>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</si>
  <si>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</si>
  <si>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</si>
  <si>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</si>
  <si>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</si>
  <si>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</si>
  <si>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</si>
  <si>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</si>
  <si>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</si>
  <si>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</si>
  <si>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</si>
  <si>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</si>
  <si>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</si>
  <si>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</si>
  <si>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</si>
  <si>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</si>
  <si>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</si>
  <si>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</si>
  <si>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</si>
  <si>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</si>
  <si>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</si>
  <si>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</si>
  <si>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</si>
  <si>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</si>
  <si>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</si>
  <si>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</si>
  <si>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</si>
  <si>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</si>
  <si>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</si>
  <si>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</si>
  <si>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</si>
  <si>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</si>
  <si>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</si>
  <si>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</si>
  <si>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</si>
  <si>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</si>
  <si>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</si>
  <si>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</si>
  <si>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</si>
  <si>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</si>
  <si>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</si>
  <si>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</si>
  <si>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</si>
  <si>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</si>
  <si>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</si>
  <si>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</si>
  <si>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</si>
  <si>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</si>
  <si>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</si>
  <si>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</si>
  <si>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</si>
  <si>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</si>
  <si>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</si>
  <si>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</si>
  <si>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</si>
  <si>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</si>
  <si>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</si>
  <si>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</si>
  <si>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</si>
  <si>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</si>
  <si>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</si>
  <si>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</si>
  <si>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</si>
  <si>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</si>
  <si>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</si>
  <si>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</si>
  <si>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</si>
  <si>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</si>
  <si>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</si>
  <si>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</si>
  <si>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</si>
  <si>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</si>
  <si>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</si>
  <si>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</si>
  <si>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</si>
  <si>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</si>
  <si>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</si>
  <si>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</si>
  <si>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</si>
  <si>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</si>
  <si>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</si>
  <si>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</si>
  <si>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</si>
  <si>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</si>
  <si>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</si>
  <si>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</si>
  <si>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</si>
  <si>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</si>
  <si>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</si>
  <si>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</si>
  <si>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</si>
  <si>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</si>
  <si>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</si>
  <si>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</si>
  <si>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</si>
  <si>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</si>
  <si>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</si>
  <si>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</si>
  <si>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</si>
  <si>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</si>
  <si>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</si>
  <si>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</si>
  <si>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</si>
  <si>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</si>
  <si>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</si>
  <si>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</si>
  <si>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</si>
  <si>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</si>
  <si>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</si>
  <si>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</si>
  <si>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</si>
  <si>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</si>
  <si>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</si>
  <si>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</si>
  <si>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</si>
  <si>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</si>
  <si>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</si>
  <si>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</si>
  <si>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</si>
  <si>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</si>
  <si>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</si>
  <si>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</si>
  <si>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</si>
  <si>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</si>
  <si>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</si>
  <si>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</si>
  <si>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</si>
  <si>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</si>
  <si>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</si>
  <si>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</si>
  <si>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</si>
  <si>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</si>
  <si>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</si>
  <si>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</si>
  <si>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</si>
  <si>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</si>
  <si>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</si>
  <si>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</si>
  <si>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</si>
  <si>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</si>
  <si>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</si>
  <si>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</si>
  <si>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</si>
  <si>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</si>
  <si>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</si>
  <si>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</si>
  <si>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</si>
  <si>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</si>
  <si>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</si>
  <si>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</si>
  <si>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</si>
  <si>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</si>
  <si>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</si>
  <si>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</si>
  <si>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</si>
  <si>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</si>
  <si>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</si>
  <si>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</si>
  <si>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</si>
  <si>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</si>
  <si>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</si>
  <si>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</si>
  <si>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</si>
  <si>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</si>
  <si>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</si>
  <si>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</si>
  <si>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</si>
  <si>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</si>
  <si>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</si>
  <si>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</si>
  <si>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</si>
  <si>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</si>
  <si>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</si>
  <si>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</si>
  <si>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</si>
  <si>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</si>
  <si>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</si>
  <si>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</si>
  <si>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</si>
  <si>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</si>
  <si>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</si>
  <si>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</si>
  <si>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</si>
  <si>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</si>
  <si>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</si>
  <si>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</si>
  <si>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</si>
  <si>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</si>
  <si>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</si>
  <si>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</si>
  <si>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</si>
  <si>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</si>
  <si>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</si>
  <si>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</si>
  <si>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</si>
  <si>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</si>
  <si>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</si>
  <si>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</si>
  <si>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</si>
  <si>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</si>
  <si>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</si>
  <si>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</si>
  <si>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</si>
  <si>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</si>
  <si>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</si>
  <si>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</si>
  <si>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</si>
  <si>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</si>
  <si>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</si>
  <si>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</si>
  <si>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</si>
  <si>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</si>
  <si>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</si>
  <si>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</si>
  <si>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</si>
  <si>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</si>
  <si>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</si>
  <si>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</si>
  <si>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</si>
  <si>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</si>
  <si>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</si>
  <si>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</si>
  <si>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</si>
  <si>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</si>
  <si>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</si>
  <si>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</si>
  <si>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</si>
  <si>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</si>
  <si>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</si>
  <si>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</si>
  <si>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</si>
  <si>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</si>
  <si>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</si>
  <si>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</si>
  <si>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</si>
  <si>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</si>
  <si>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</si>
  <si>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</si>
  <si>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</si>
  <si>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</si>
  <si>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</si>
  <si>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</si>
  <si>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</si>
  <si>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</si>
  <si>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</si>
  <si>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</si>
  <si>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</si>
  <si>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</si>
  <si>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</si>
  <si>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</si>
  <si>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</si>
  <si>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</si>
  <si>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</si>
  <si>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</si>
  <si>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</si>
  <si>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</si>
  <si>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</si>
  <si>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</si>
  <si>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</si>
  <si>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</si>
  <si>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</si>
  <si>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</si>
  <si>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</si>
  <si>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</si>
  <si>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</si>
  <si>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</si>
  <si>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</si>
  <si>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</si>
  <si>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</si>
  <si>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</si>
  <si>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</si>
  <si>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</si>
  <si>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</si>
  <si>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</si>
  <si>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</si>
  <si>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</si>
  <si>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</si>
  <si>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</si>
  <si>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</si>
  <si>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</si>
  <si>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</si>
  <si>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</si>
  <si>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</si>
  <si>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</si>
  <si>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</si>
  <si>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</si>
  <si>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</si>
  <si>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</si>
  <si>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</si>
  <si>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</si>
  <si>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</si>
  <si>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</si>
  <si>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</si>
  <si>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</si>
  <si>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</si>
  <si>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</si>
  <si>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</si>
  <si>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</si>
  <si>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</si>
  <si>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</si>
  <si>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</si>
  <si>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</si>
  <si>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</si>
  <si>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</si>
  <si>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</si>
  <si>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</si>
  <si>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</si>
  <si>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</si>
  <si>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</si>
  <si>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</si>
  <si>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</si>
  <si>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</si>
  <si>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</si>
  <si>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</si>
  <si>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</si>
  <si>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</si>
  <si>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</si>
  <si>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</si>
  <si>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</si>
  <si>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</si>
  <si>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</si>
  <si>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</si>
  <si>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</si>
  <si>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</si>
  <si>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</si>
  <si>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</si>
  <si>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</si>
  <si>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</si>
  <si>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</si>
  <si>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</si>
  <si>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</si>
  <si>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</si>
  <si>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</si>
  <si>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</si>
  <si>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</si>
  <si>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</si>
  <si>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</si>
  <si>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</si>
  <si>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</si>
  <si>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</si>
  <si>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</si>
  <si>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</si>
  <si>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</si>
  <si>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</si>
  <si>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</si>
  <si>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</si>
  <si>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</si>
  <si>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</si>
  <si>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</si>
  <si>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</si>
  <si>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</si>
  <si>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</si>
  <si>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</si>
  <si>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</si>
  <si>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</si>
  <si>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</si>
  <si>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</si>
  <si>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</si>
  <si>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</si>
  <si>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</si>
  <si>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</si>
  <si>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</si>
  <si>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</si>
  <si>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</si>
  <si>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</si>
  <si>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</si>
  <si>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</si>
  <si>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</si>
  <si>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</si>
  <si>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</si>
  <si>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</si>
  <si>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</si>
  <si>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</si>
  <si>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</si>
  <si>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</si>
  <si>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</si>
  <si>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</si>
  <si>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</si>
  <si>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</si>
  <si>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</si>
  <si>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</si>
  <si>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</si>
  <si>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</si>
  <si>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</si>
  <si>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</si>
  <si>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</si>
  <si>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</si>
  <si>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</si>
  <si>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</si>
  <si>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</si>
  <si>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</si>
  <si>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</si>
  <si>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</si>
  <si>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</si>
  <si>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</si>
  <si>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</si>
  <si>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</si>
  <si>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</si>
  <si>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</si>
  <si>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</si>
  <si>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</si>
  <si>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</si>
  <si>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</si>
  <si>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</si>
  <si>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</si>
  <si>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</si>
  <si>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</si>
  <si>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</si>
  <si>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</si>
  <si>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</si>
  <si>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</si>
  <si>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</si>
  <si>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</si>
  <si>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</si>
  <si>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</si>
  <si>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</si>
  <si>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</si>
  <si>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</si>
  <si>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</si>
  <si>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</si>
  <si>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</si>
  <si>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</si>
  <si>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</si>
  <si>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</si>
  <si>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</si>
  <si>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</si>
  <si>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</si>
  <si>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</si>
  <si>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</si>
  <si>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</si>
  <si>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</si>
  <si>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</si>
  <si>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</si>
  <si>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</si>
  <si>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</si>
  <si>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</si>
  <si>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</si>
  <si>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</si>
  <si>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</si>
  <si>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</si>
  <si>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</si>
  <si>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</si>
  <si>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</si>
  <si>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</si>
  <si>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</si>
  <si>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</si>
  <si>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</si>
  <si>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</si>
  <si>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</si>
  <si>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</si>
  <si>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</si>
  <si>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</si>
  <si>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</si>
  <si>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</si>
  <si>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</si>
  <si>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</si>
  <si>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</si>
  <si>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</si>
  <si>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</si>
  <si>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</si>
  <si>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</si>
  <si>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</si>
  <si>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</si>
  <si>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</si>
  <si>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</si>
  <si>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</si>
  <si>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</si>
  <si>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</si>
  <si>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</si>
  <si>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</si>
  <si>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</si>
  <si>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</si>
  <si>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</si>
  <si>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</si>
  <si>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</si>
  <si>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</si>
  <si>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</si>
  <si>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</si>
  <si>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</si>
  <si>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</si>
  <si>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</si>
  <si>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</si>
  <si>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</si>
  <si>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</si>
  <si>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</si>
  <si>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</si>
  <si>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</si>
  <si>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</si>
  <si>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</si>
  <si>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</si>
  <si>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</si>
  <si>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</si>
  <si>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</si>
  <si>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</si>
  <si>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</si>
  <si>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</si>
  <si>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</si>
  <si>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</si>
  <si>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</si>
  <si>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</si>
  <si>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</si>
  <si>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</si>
  <si>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</si>
  <si>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</si>
  <si>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</si>
  <si>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</si>
  <si>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</si>
  <si>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</si>
  <si>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</si>
  <si>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</si>
  <si>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</si>
  <si>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</si>
  <si>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</si>
  <si>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</si>
  <si>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</si>
  <si>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</si>
  <si>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</si>
  <si>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</si>
  <si>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</si>
  <si>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</si>
  <si>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</si>
  <si>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</si>
  <si>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</si>
  <si>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</si>
  <si>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</si>
  <si>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</si>
  <si>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</si>
  <si>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</si>
  <si>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</si>
  <si>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</si>
  <si>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</si>
  <si>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</si>
  <si>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</si>
  <si>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</si>
  <si>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</si>
  <si>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</si>
  <si>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</si>
  <si>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</si>
  <si>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</si>
  <si>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</si>
  <si>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</si>
  <si>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</si>
  <si>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</si>
  <si>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</si>
  <si>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</si>
  <si>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</si>
  <si>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</si>
  <si>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</si>
  <si>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</si>
  <si>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</si>
  <si>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</si>
  <si>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</si>
  <si>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</si>
  <si>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</si>
  <si>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</si>
  <si>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</si>
  <si>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</si>
  <si>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</si>
  <si>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</si>
  <si>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</si>
  <si>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</si>
  <si>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</si>
  <si>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</si>
  <si>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</si>
  <si>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</si>
  <si>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</si>
  <si>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</si>
  <si>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</si>
  <si>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</si>
  <si>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</si>
  <si>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</si>
  <si>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</si>
  <si>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</si>
  <si>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</si>
  <si>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</si>
  <si>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</si>
  <si>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</si>
  <si>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</si>
  <si>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</si>
  <si>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</si>
  <si>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</si>
  <si>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</si>
  <si>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</si>
  <si>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</si>
  <si>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</si>
  <si>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</si>
  <si>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</si>
  <si>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</si>
  <si>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</si>
  <si>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</si>
  <si>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</si>
  <si>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</si>
  <si>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</si>
  <si>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</si>
  <si>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</si>
  <si>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</si>
  <si>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</si>
  <si>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</si>
  <si>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</si>
  <si>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</si>
  <si>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</si>
  <si>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</si>
  <si>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</si>
  <si>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</si>
  <si>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</si>
  <si>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</si>
  <si>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</si>
  <si>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</si>
  <si>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</si>
  <si>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</si>
  <si>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</si>
  <si>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</si>
  <si>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</si>
  <si>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</si>
  <si>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</si>
  <si>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</si>
  <si>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</si>
  <si>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</si>
  <si>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</si>
  <si>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</si>
  <si>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</si>
  <si>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</si>
  <si>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</si>
  <si>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</si>
  <si>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</si>
  <si>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</si>
  <si>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</si>
  <si>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</si>
  <si>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</si>
  <si>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</si>
  <si>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</si>
  <si>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</si>
  <si>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</si>
  <si>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</si>
  <si>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</si>
  <si>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</si>
  <si>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</si>
  <si>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</si>
  <si>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</si>
  <si>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</si>
  <si>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</si>
  <si>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</si>
  <si>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</si>
  <si>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</si>
  <si>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</si>
  <si>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</si>
  <si>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</si>
  <si>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</si>
  <si>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</si>
  <si>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</si>
  <si>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</si>
  <si>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</si>
  <si>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</si>
  <si>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</si>
  <si>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</si>
  <si>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</si>
  <si>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</si>
  <si>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</si>
  <si>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</si>
  <si>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</si>
  <si>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</si>
  <si>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</si>
  <si>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</si>
  <si>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</si>
  <si>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</si>
  <si>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</si>
  <si>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</si>
  <si>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</si>
  <si>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</si>
  <si>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</si>
  <si>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</si>
  <si>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</si>
  <si>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</si>
  <si>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</si>
  <si>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</si>
  <si>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</si>
  <si>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</si>
  <si>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</si>
  <si>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</si>
  <si>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</si>
  <si>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</si>
  <si>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</si>
  <si>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</si>
  <si>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</si>
  <si>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</si>
  <si>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</si>
  <si>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</si>
  <si>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</si>
  <si>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</si>
  <si>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</si>
  <si>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</si>
  <si>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</si>
  <si>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</si>
  <si>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</si>
  <si>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</si>
  <si>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</si>
  <si>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</si>
  <si>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</si>
  <si>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</si>
  <si>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</si>
  <si>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</si>
  <si>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</si>
  <si>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</si>
  <si>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</si>
  <si>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</si>
  <si>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</si>
  <si>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</si>
  <si>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</si>
  <si>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</si>
  <si>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</si>
  <si>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</si>
  <si>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</si>
  <si>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</si>
  <si>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</si>
  <si>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</si>
  <si>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</si>
  <si>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</si>
  <si>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</si>
  <si>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</si>
  <si>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</si>
  <si>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</si>
  <si>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</si>
  <si>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</si>
  <si>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</si>
  <si>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</si>
  <si>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</si>
  <si>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</si>
  <si>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</si>
  <si>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</si>
  <si>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</si>
  <si>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</si>
  <si>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</si>
  <si>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</si>
  <si>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</si>
  <si>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</si>
  <si>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</si>
  <si>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</si>
  <si>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</si>
  <si>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</si>
  <si>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</si>
  <si>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</si>
  <si>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</si>
  <si>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</si>
  <si>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</si>
  <si>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</si>
  <si>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</si>
  <si>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</si>
  <si>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</si>
  <si>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</si>
  <si>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</si>
  <si>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</si>
  <si>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</si>
  <si>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</si>
  <si>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</si>
  <si>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</si>
  <si>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</si>
  <si>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</si>
  <si>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</si>
  <si>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</si>
  <si>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</si>
  <si>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</si>
  <si>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</si>
  <si>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</si>
  <si>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</si>
  <si>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</si>
  <si>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</si>
  <si>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</si>
  <si>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</si>
  <si>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</si>
  <si>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</si>
  <si>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</si>
  <si>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</si>
  <si>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</si>
  <si>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</si>
  <si>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</si>
  <si>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</si>
  <si>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</si>
  <si>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</si>
  <si>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</si>
  <si>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</si>
  <si>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</si>
  <si>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</si>
  <si>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</si>
  <si>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</si>
  <si>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</si>
  <si>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</si>
  <si>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</si>
  <si>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</si>
  <si>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</si>
  <si>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</si>
  <si>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</si>
  <si>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</si>
  <si>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</si>
  <si>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</si>
  <si>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</si>
  <si>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</si>
  <si>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</si>
  <si>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</si>
  <si>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</si>
  <si>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</si>
  <si>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</si>
  <si>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</si>
  <si>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</si>
  <si>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</si>
  <si>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</si>
  <si>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</si>
  <si>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</si>
  <si>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</si>
  <si>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</si>
  <si>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</si>
  <si>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</si>
  <si>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</si>
  <si>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</si>
  <si>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</si>
  <si>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</si>
  <si>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</si>
  <si>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</si>
  <si>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</si>
  <si>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</si>
  <si>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</si>
  <si>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</si>
  <si>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</si>
  <si>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</si>
  <si>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</si>
  <si>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</si>
  <si>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</si>
  <si>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</si>
  <si>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</si>
  <si>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</si>
  <si>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</si>
  <si>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</si>
  <si>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</si>
  <si>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</si>
  <si>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</si>
  <si>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</si>
  <si>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</si>
  <si>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</si>
  <si>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</si>
  <si>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</si>
  <si>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</si>
  <si>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</si>
  <si>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</si>
  <si>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</si>
  <si>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</si>
  <si>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</si>
  <si>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</si>
  <si>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</si>
  <si>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</si>
  <si>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</si>
  <si>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</si>
  <si>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</si>
  <si>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</si>
  <si>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</si>
  <si>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</si>
  <si>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</si>
  <si>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</si>
  <si>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</si>
  <si>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</si>
  <si>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</si>
  <si>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</si>
  <si>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</si>
  <si>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</si>
  <si>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</si>
  <si>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</si>
  <si>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</si>
  <si>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</si>
  <si>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</si>
  <si>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</si>
  <si>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</si>
  <si>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</si>
  <si>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</si>
  <si>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</si>
  <si>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</si>
  <si>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</si>
  <si>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</si>
  <si>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</si>
  <si>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</si>
  <si>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</si>
  <si>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</si>
  <si>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</si>
  <si>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</si>
  <si>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</si>
  <si>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</si>
  <si>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</si>
  <si>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</si>
  <si>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</si>
  <si>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</si>
  <si>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</si>
  <si>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</si>
  <si>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</si>
  <si>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</si>
  <si>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</si>
  <si>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</si>
  <si>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</si>
  <si>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</si>
  <si>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</si>
  <si>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</si>
  <si>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</si>
  <si>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</si>
  <si>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</si>
  <si>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</si>
  <si>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</si>
  <si>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</si>
  <si>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</si>
  <si>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</si>
  <si>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</si>
  <si>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</si>
  <si>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</si>
  <si>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</si>
  <si>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</si>
  <si>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</si>
  <si>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</si>
  <si>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</si>
  <si>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</si>
  <si>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</si>
  <si>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</si>
  <si>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</si>
  <si>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</si>
  <si>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</si>
  <si>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</si>
  <si>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</si>
  <si>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</si>
  <si>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</si>
  <si>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</si>
  <si>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</si>
  <si>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</si>
  <si>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</si>
  <si>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</si>
  <si>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</si>
  <si>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</si>
  <si>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</si>
  <si>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</si>
  <si>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</si>
  <si>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</si>
  <si>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</si>
  <si>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</si>
  <si>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</si>
  <si>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</si>
  <si>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</si>
  <si>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</si>
  <si>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</si>
  <si>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</si>
  <si>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</si>
  <si>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</si>
  <si>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</si>
  <si>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</si>
  <si>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</si>
  <si>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</si>
  <si>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</si>
  <si>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</si>
  <si>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</si>
  <si>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</si>
  <si>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</si>
  <si>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</si>
  <si>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</si>
  <si>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</si>
  <si>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</si>
  <si>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</si>
  <si>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</si>
  <si>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</si>
  <si>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</si>
  <si>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</si>
  <si>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</si>
  <si>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</si>
  <si>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</si>
  <si>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</si>
  <si>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</si>
  <si>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</si>
  <si>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</si>
  <si>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</si>
  <si>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</si>
  <si>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</si>
  <si>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</si>
  <si>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</si>
  <si>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</si>
  <si>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</si>
  <si>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</si>
  <si>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</si>
  <si>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</si>
  <si>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</si>
  <si>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</si>
  <si>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</si>
  <si>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</si>
  <si>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</si>
  <si>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</si>
  <si>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</si>
  <si>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</si>
  <si>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</si>
  <si>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</si>
  <si>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</si>
  <si>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</si>
  <si>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</si>
  <si>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</si>
  <si>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</si>
  <si>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</si>
  <si>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</si>
  <si>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</si>
  <si>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</si>
  <si>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</si>
  <si>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</si>
  <si>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</si>
  <si>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</si>
  <si>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</si>
  <si>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</si>
  <si>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</si>
  <si>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</si>
  <si>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</si>
  <si>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</si>
  <si>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</si>
  <si>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</si>
  <si>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</si>
  <si>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</si>
  <si>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</si>
  <si>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</si>
  <si>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</si>
  <si>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</si>
  <si>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</si>
  <si>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</si>
  <si>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</si>
  <si>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</si>
  <si>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</si>
  <si>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</si>
  <si>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</si>
  <si>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</si>
  <si>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</si>
  <si>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</si>
  <si>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</si>
  <si>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</si>
  <si>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</si>
  <si>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</si>
  <si>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</si>
  <si>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</si>
  <si>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</si>
  <si>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</si>
  <si>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</si>
  <si>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</si>
  <si>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</si>
  <si>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</si>
  <si>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</si>
  <si>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</si>
  <si>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</si>
  <si>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</si>
  <si>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</si>
  <si>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</si>
  <si>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</si>
  <si>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</si>
  <si>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</si>
  <si>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</si>
  <si>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</si>
  <si>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</si>
  <si>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</si>
  <si>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</si>
  <si>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</si>
  <si>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</si>
  <si>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</si>
  <si>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</si>
  <si>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</si>
  <si>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</si>
  <si>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</si>
  <si>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</si>
  <si>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</si>
  <si>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</si>
  <si>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</si>
  <si>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</si>
  <si>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</si>
  <si>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</si>
  <si>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</si>
  <si>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</si>
  <si>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</si>
  <si>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</si>
  <si>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</si>
  <si>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</si>
  <si>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</si>
  <si>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</si>
  <si>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</si>
  <si>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</si>
  <si>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</si>
  <si>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</si>
  <si>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</si>
  <si>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</si>
  <si>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</si>
  <si>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</si>
  <si>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</si>
  <si>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</si>
  <si>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</si>
  <si>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</si>
  <si>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</si>
  <si>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</si>
  <si>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</si>
  <si>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</si>
  <si>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</si>
  <si>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</si>
  <si>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</si>
  <si>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</si>
  <si>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</si>
  <si>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</si>
  <si>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</si>
  <si>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</si>
  <si>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</si>
  <si>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</si>
  <si>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</si>
  <si>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</si>
  <si>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</si>
  <si>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</si>
  <si>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</si>
  <si>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</si>
  <si>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</si>
  <si>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</si>
  <si>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</si>
  <si>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</si>
  <si>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</si>
  <si>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</si>
  <si>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</si>
  <si>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</si>
  <si>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</si>
  <si>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</si>
  <si>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</si>
  <si>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</si>
  <si>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</si>
  <si>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</si>
  <si>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</si>
  <si>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</si>
  <si>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</si>
  <si>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</si>
  <si>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</si>
  <si>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</si>
  <si>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</si>
  <si>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</si>
  <si>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</si>
  <si>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</si>
  <si>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</si>
  <si>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</si>
  <si>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</si>
  <si>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</si>
  <si>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</si>
  <si>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</si>
  <si>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</si>
  <si>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</si>
  <si>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</si>
  <si>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</si>
  <si>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</si>
  <si>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</si>
  <si>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</si>
  <si>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</si>
  <si>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</si>
  <si>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</si>
  <si>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</si>
  <si>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</si>
  <si>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</si>
  <si>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</si>
  <si>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</si>
  <si>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</si>
  <si>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</si>
  <si>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</si>
  <si>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</si>
  <si>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</si>
  <si>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</si>
  <si>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</si>
  <si>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</si>
  <si>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</si>
  <si>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</si>
  <si>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</si>
  <si>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</si>
  <si>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</si>
  <si>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</si>
  <si>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</si>
  <si>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</si>
  <si>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</si>
  <si>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</si>
  <si>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</si>
  <si>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</si>
  <si>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</si>
  <si>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</si>
  <si>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</si>
  <si>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</si>
  <si>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</si>
  <si>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</si>
  <si>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</si>
  <si>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</si>
  <si>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</si>
  <si>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</si>
  <si>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</si>
  <si>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</si>
  <si>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</si>
  <si>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</si>
  <si>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</si>
  <si>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</si>
  <si>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</si>
  <si>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</si>
  <si>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</si>
  <si>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</si>
  <si>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</si>
  <si>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</si>
  <si>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</si>
  <si>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</si>
  <si>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</si>
  <si>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</si>
  <si>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</si>
  <si>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</si>
  <si>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</si>
  <si>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</si>
  <si>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</si>
  <si>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</si>
  <si>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</si>
  <si>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</si>
  <si>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</si>
  <si>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</si>
  <si>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</si>
  <si>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</si>
  <si>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</si>
  <si>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</si>
  <si>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</si>
  <si>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</si>
  <si>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</si>
  <si>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</si>
  <si>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</si>
  <si>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</si>
  <si>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</si>
  <si>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</si>
  <si>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</si>
  <si>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</si>
  <si>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</si>
  <si>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</si>
  <si>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</si>
  <si>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</si>
  <si>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</si>
  <si>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</si>
  <si>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</si>
  <si>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</si>
  <si>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</si>
  <si>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</si>
  <si>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</si>
  <si>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</si>
  <si>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</si>
  <si>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</si>
  <si>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</si>
  <si>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</si>
  <si>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</si>
  <si>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</si>
  <si>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</si>
  <si>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</si>
  <si>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</si>
  <si>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</si>
  <si>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</si>
  <si>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</si>
  <si>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</si>
  <si>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</si>
  <si>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</si>
  <si>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</si>
  <si>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</si>
  <si>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</si>
  <si>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</si>
  <si>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</si>
  <si>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</si>
  <si>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</si>
  <si>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</si>
  <si>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</si>
  <si>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</si>
  <si>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</si>
  <si>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</si>
  <si>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</si>
  <si>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</si>
  <si>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</si>
  <si>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</si>
  <si>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</si>
  <si>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</si>
  <si>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</si>
  <si>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</si>
  <si>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</si>
  <si>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</si>
  <si>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</si>
  <si>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</si>
  <si>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</si>
  <si>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</si>
  <si>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</si>
  <si>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</si>
  <si>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</si>
  <si>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</si>
  <si>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</si>
  <si>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</si>
  <si>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</si>
  <si>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</si>
  <si>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</si>
  <si>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</si>
  <si>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</si>
  <si>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</si>
  <si>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</si>
  <si>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</si>
  <si>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</si>
  <si>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</si>
  <si>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</si>
  <si>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</si>
  <si>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</si>
  <si>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</si>
  <si>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</si>
  <si>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</si>
  <si>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</si>
  <si>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</si>
  <si>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</si>
  <si>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</si>
  <si>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</si>
  <si>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</si>
  <si>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</si>
  <si>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</si>
  <si>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</si>
  <si>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</si>
  <si>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</si>
  <si>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</si>
  <si>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</si>
  <si>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</si>
  <si>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</si>
  <si>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</si>
  <si>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</si>
  <si>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</si>
  <si>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</si>
  <si>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</si>
  <si>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</si>
  <si>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</si>
  <si>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</si>
  <si>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</si>
  <si>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</si>
  <si>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</si>
  <si>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</si>
  <si>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</si>
  <si>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</si>
  <si>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</si>
  <si>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</si>
  <si>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</si>
  <si>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</si>
  <si>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</si>
  <si>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</si>
  <si>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</si>
  <si>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</si>
  <si>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</si>
  <si>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</si>
  <si>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</si>
  <si>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</si>
  <si>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</si>
  <si>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</si>
  <si>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</si>
  <si>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</si>
  <si>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</si>
  <si>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</si>
  <si>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</si>
  <si>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</si>
  <si>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</si>
  <si>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</si>
  <si>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</si>
  <si>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</si>
  <si>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</si>
  <si>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</si>
  <si>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</si>
  <si>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</si>
  <si>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</si>
  <si>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</si>
  <si>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</si>
  <si>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</si>
  <si>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</si>
  <si>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</si>
  <si>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</si>
  <si>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</si>
  <si>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</si>
  <si>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</si>
  <si>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</si>
  <si>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</si>
  <si>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</si>
  <si>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</si>
  <si>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</si>
  <si>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</si>
  <si>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</si>
  <si>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</si>
  <si>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</si>
  <si>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</si>
  <si>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</si>
  <si>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</si>
  <si>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</si>
  <si>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</si>
  <si>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</si>
  <si>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</si>
  <si>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</si>
  <si>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</si>
  <si>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</si>
  <si>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</si>
  <si>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</si>
  <si>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</si>
  <si>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</si>
  <si>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</si>
  <si>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</si>
  <si>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</si>
  <si>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</si>
  <si>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</si>
  <si>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</si>
  <si>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</si>
  <si>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</si>
  <si>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</si>
  <si>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</si>
  <si>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</si>
  <si>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</si>
  <si>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</si>
  <si>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</si>
  <si>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</si>
  <si>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</si>
  <si>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</si>
  <si>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</si>
  <si>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</si>
  <si>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</si>
  <si>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</si>
  <si>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</si>
  <si>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</si>
  <si>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</si>
  <si>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</si>
  <si>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</si>
  <si>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</si>
  <si>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</si>
  <si>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</si>
  <si>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</si>
  <si>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</si>
  <si>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</si>
  <si>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</si>
  <si>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</si>
  <si>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</si>
  <si>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</si>
  <si>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</si>
  <si>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</si>
  <si>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</si>
  <si>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</si>
  <si>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</si>
  <si>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</si>
  <si>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</si>
  <si>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</si>
  <si>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</si>
  <si>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</si>
  <si>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</si>
  <si>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</si>
  <si>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</si>
  <si>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</si>
  <si>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</si>
  <si>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</si>
  <si>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</si>
  <si>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</si>
  <si>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</si>
  <si>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</si>
  <si>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</si>
  <si>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</si>
  <si>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</si>
  <si>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</si>
  <si>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</si>
  <si>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</si>
  <si>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</si>
  <si>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</si>
  <si>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</si>
  <si>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</si>
  <si>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</si>
  <si>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</si>
  <si>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</si>
  <si>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</si>
  <si>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</si>
  <si>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</si>
  <si>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</si>
  <si>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</si>
  <si>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</si>
  <si>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</si>
  <si>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</si>
  <si>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</si>
  <si>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</si>
  <si>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</si>
  <si>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</si>
  <si>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</si>
  <si>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</si>
  <si>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</si>
  <si>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</si>
  <si>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</si>
  <si>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</si>
  <si>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</si>
  <si>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</si>
  <si>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</si>
  <si>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</si>
  <si>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</si>
  <si>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</si>
  <si>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</si>
  <si>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</si>
  <si>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</si>
  <si>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</si>
  <si>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</si>
  <si>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</si>
  <si>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</si>
  <si>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</si>
  <si>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</si>
  <si>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</si>
  <si>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</si>
  <si>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</si>
  <si>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</si>
  <si>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</si>
  <si>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</si>
  <si>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</si>
  <si>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</si>
  <si>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</si>
  <si>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</si>
  <si>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</si>
  <si>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</si>
  <si>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</si>
  <si>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</si>
  <si>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</si>
  <si>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</si>
  <si>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</si>
  <si>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</si>
  <si>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</si>
  <si>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</si>
  <si>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</si>
  <si>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</si>
  <si>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</si>
  <si>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</si>
  <si>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</si>
  <si>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</si>
  <si>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</si>
  <si>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</si>
  <si>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</si>
  <si>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</si>
  <si>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</si>
  <si>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</si>
  <si>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</si>
  <si>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</si>
  <si>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</si>
  <si>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</si>
  <si>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</si>
  <si>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</si>
  <si>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</si>
  <si>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</si>
  <si>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</si>
  <si>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</si>
  <si>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</si>
  <si>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</si>
  <si>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</si>
  <si>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</si>
  <si>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</si>
  <si>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</si>
  <si>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</si>
  <si>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</si>
  <si>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</si>
  <si>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</si>
  <si>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</si>
  <si>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</si>
  <si>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</si>
  <si>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</si>
  <si>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</si>
  <si>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</si>
  <si>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</si>
  <si>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</si>
  <si>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</si>
  <si>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</si>
  <si>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</si>
  <si>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</si>
  <si>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</si>
  <si>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</si>
  <si>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</si>
  <si>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</si>
  <si>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</si>
  <si>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</si>
  <si>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</si>
  <si>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</si>
  <si>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</si>
  <si>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</si>
  <si>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</si>
  <si>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</si>
  <si>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</si>
  <si>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</si>
  <si>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</si>
  <si>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</si>
  <si>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</si>
  <si>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</si>
  <si>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</si>
  <si>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</si>
  <si>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</si>
  <si>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</si>
  <si>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</si>
  <si>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</si>
  <si>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</si>
  <si>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</si>
  <si>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</si>
  <si>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</si>
  <si>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</si>
  <si>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</si>
  <si>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</si>
  <si>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</si>
  <si>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</si>
  <si>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</si>
  <si>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</si>
  <si>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</si>
  <si>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</si>
  <si>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</si>
  <si>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</si>
  <si>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</si>
  <si>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</si>
  <si>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</si>
  <si>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</si>
  <si>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</si>
  <si>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</si>
  <si>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</si>
  <si>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</si>
  <si>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</si>
  <si>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</si>
  <si>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</si>
  <si>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</si>
  <si>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</si>
  <si>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</si>
  <si>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</si>
  <si>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</si>
  <si>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</si>
  <si>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</si>
  <si>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</si>
  <si>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</si>
  <si>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</si>
  <si>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</si>
  <si>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</si>
  <si>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</si>
  <si>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</si>
  <si>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</si>
  <si>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</si>
  <si>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</si>
  <si>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</si>
  <si>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</si>
  <si>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</si>
  <si>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</si>
  <si>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</si>
  <si>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</si>
  <si>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</si>
  <si>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</si>
  <si>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</si>
  <si>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</si>
  <si>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</si>
  <si>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</si>
  <si>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</si>
  <si>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</si>
  <si>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</si>
  <si>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</si>
  <si>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</si>
  <si>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</si>
  <si>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</si>
  <si>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</si>
  <si>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</si>
  <si>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</si>
  <si>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</si>
  <si>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</si>
  <si>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</si>
  <si>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</si>
  <si>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</si>
  <si>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</si>
  <si>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</si>
  <si>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</si>
  <si>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</si>
  <si>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</si>
  <si>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</si>
  <si>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</si>
  <si>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</si>
  <si>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</si>
  <si>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</si>
  <si>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</si>
  <si>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</si>
  <si>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</si>
  <si>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</si>
  <si>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</si>
  <si>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</si>
  <si>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</si>
  <si>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</si>
  <si>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</si>
  <si>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</si>
  <si>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</si>
  <si>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</si>
  <si>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</si>
  <si>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</si>
  <si>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</si>
  <si>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</si>
  <si>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</si>
  <si>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</si>
  <si>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</si>
  <si>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</si>
  <si>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</si>
  <si>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</si>
  <si>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</si>
  <si>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</si>
  <si>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</si>
  <si>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</si>
  <si>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</si>
  <si>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</si>
  <si>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</si>
  <si>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</si>
  <si>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</si>
  <si>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</si>
  <si>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</si>
  <si>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</si>
  <si>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</si>
  <si>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</si>
  <si>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</si>
  <si>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</si>
  <si>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</si>
  <si>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</si>
  <si>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</si>
  <si>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</si>
  <si>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</si>
  <si>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</si>
  <si>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</si>
  <si>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</si>
  <si>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</si>
  <si>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</si>
  <si>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</si>
  <si>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</si>
  <si>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</si>
  <si>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</si>
  <si>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</si>
  <si>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</si>
  <si>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</si>
  <si>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</si>
  <si>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</si>
  <si>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</si>
  <si>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</si>
  <si>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</si>
  <si>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</si>
  <si>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</si>
  <si>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</si>
  <si>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</si>
  <si>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</si>
  <si>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</si>
  <si>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</si>
  <si>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</si>
  <si>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</si>
  <si>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</si>
  <si>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</si>
  <si>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</si>
  <si>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</si>
  <si>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</si>
  <si>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</si>
  <si>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</si>
  <si>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</si>
  <si>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</si>
  <si>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</si>
  <si>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</si>
  <si>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</si>
  <si>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</si>
  <si>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</si>
  <si>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</si>
  <si>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</si>
  <si>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</si>
  <si>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</si>
  <si>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</si>
  <si>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</si>
  <si>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</si>
  <si>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</si>
  <si>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</si>
  <si>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</si>
  <si>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</si>
  <si>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</si>
  <si>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</si>
  <si>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</si>
  <si>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</si>
  <si>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</si>
  <si>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</si>
  <si>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</si>
  <si>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</si>
  <si>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</si>
  <si>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</si>
  <si>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</si>
  <si>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</si>
  <si>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</si>
  <si>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</si>
  <si>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</si>
  <si>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</si>
  <si>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</si>
  <si>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</si>
  <si>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</si>
  <si>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</si>
  <si>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</si>
  <si>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</si>
  <si>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</si>
  <si>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</si>
  <si>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</si>
  <si>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</si>
  <si>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</si>
  <si>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</si>
  <si>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</si>
  <si>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</si>
  <si>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</si>
  <si>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</si>
  <si>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</si>
  <si>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</si>
  <si>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</si>
  <si>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</si>
  <si>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</si>
  <si>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</si>
  <si>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</si>
  <si>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</si>
  <si>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</si>
  <si>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</si>
  <si>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</si>
  <si>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</si>
  <si>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</si>
  <si>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</si>
  <si>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</si>
  <si>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</si>
  <si>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</si>
  <si>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</si>
  <si>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</si>
  <si>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</si>
  <si>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</si>
  <si>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</si>
  <si>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</si>
  <si>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</si>
  <si>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</si>
  <si>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</si>
  <si>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</si>
  <si>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</si>
  <si>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</si>
  <si>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</si>
  <si>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</si>
  <si>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</si>
  <si>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</si>
  <si>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</si>
  <si>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</si>
  <si>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</si>
  <si>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</si>
  <si>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</si>
  <si>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</si>
  <si>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</si>
  <si>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</si>
  <si>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</si>
  <si>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</si>
  <si>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</si>
  <si>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</si>
  <si>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</si>
  <si>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</si>
  <si>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</si>
  <si>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</si>
  <si>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</si>
  <si>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</si>
  <si>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</si>
  <si>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</si>
  <si>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</si>
  <si>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</si>
  <si>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</si>
  <si>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</si>
  <si>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</si>
  <si>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</si>
  <si>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</si>
  <si>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</si>
  <si>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</si>
  <si>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</si>
  <si>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</si>
  <si>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</si>
  <si>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</si>
  <si>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</si>
  <si>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</si>
  <si>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</si>
  <si>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</si>
  <si>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</si>
  <si>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</si>
  <si>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</si>
  <si>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</si>
  <si>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</si>
  <si>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</si>
  <si>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</si>
  <si>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</si>
  <si>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</si>
  <si>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</si>
  <si>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</si>
  <si>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</si>
  <si>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</si>
  <si>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</si>
  <si>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</si>
  <si>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</si>
  <si>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</si>
  <si>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</si>
  <si>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</si>
  <si>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</si>
  <si>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</si>
  <si>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</si>
  <si>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</si>
  <si>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</si>
  <si>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</si>
  <si>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</si>
  <si>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</si>
  <si>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</si>
  <si>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</si>
  <si>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</si>
  <si>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</si>
  <si>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</si>
  <si>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</si>
  <si>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</si>
  <si>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</si>
  <si>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</si>
  <si>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</si>
  <si>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</si>
  <si>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</si>
  <si>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</si>
  <si>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</si>
  <si>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</si>
  <si>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</si>
  <si>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</si>
  <si>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</si>
  <si>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</si>
  <si>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</si>
  <si>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</si>
  <si>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</si>
  <si>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</si>
  <si>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</si>
  <si>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</si>
  <si>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</si>
  <si>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</si>
  <si>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</si>
  <si>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</si>
  <si>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</si>
  <si>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</si>
  <si>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</si>
  <si>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</si>
  <si>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</si>
  <si>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</si>
  <si>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</si>
  <si>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</si>
  <si>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</si>
  <si>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</si>
  <si>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</si>
  <si>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</si>
  <si>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</si>
  <si>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</si>
  <si>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</si>
  <si>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</si>
  <si>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</si>
  <si>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</si>
  <si>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</si>
  <si>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</si>
  <si>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</si>
  <si>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</si>
  <si>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</si>
  <si>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</si>
  <si>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</si>
  <si>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</si>
  <si>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</si>
  <si>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</si>
  <si>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</si>
  <si>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</si>
  <si>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</si>
  <si>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</si>
  <si>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</si>
  <si>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</si>
  <si>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</si>
  <si>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</si>
  <si>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</si>
  <si>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</si>
  <si>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</si>
  <si>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</si>
  <si>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</si>
  <si>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</si>
  <si>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</si>
  <si>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</si>
  <si>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</si>
  <si>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</si>
  <si>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</si>
  <si>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</si>
  <si>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</si>
  <si>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</si>
  <si>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</si>
  <si>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</si>
  <si>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</si>
  <si>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</si>
  <si>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</si>
  <si>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</si>
  <si>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</si>
  <si>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</si>
  <si>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</si>
  <si>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</si>
  <si>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</si>
  <si>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</si>
  <si>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</si>
  <si>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</si>
  <si>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</si>
  <si>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</si>
  <si>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</si>
  <si>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</si>
  <si>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</si>
  <si>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</si>
  <si>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</si>
  <si>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</si>
  <si>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</si>
  <si>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</si>
  <si>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</si>
  <si>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</si>
  <si>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</si>
  <si>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</si>
  <si>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</si>
  <si>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</si>
  <si>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</si>
  <si>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</si>
  <si>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</si>
  <si>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</si>
  <si>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</si>
  <si>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</si>
  <si>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</si>
  <si>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</si>
  <si>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</si>
  <si>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</si>
  <si>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</si>
  <si>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</si>
  <si>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</si>
  <si>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</si>
  <si>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</si>
  <si>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</si>
  <si>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</si>
  <si>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</si>
  <si>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</si>
  <si>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</si>
  <si>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</si>
  <si>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</si>
  <si>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</si>
  <si>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</si>
  <si>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</si>
  <si>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</si>
  <si>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</si>
  <si>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</si>
  <si>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</si>
  <si>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</si>
  <si>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</si>
  <si>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</si>
  <si>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</si>
  <si>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</si>
  <si>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</si>
  <si>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</si>
  <si>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</si>
  <si>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</si>
  <si>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</si>
  <si>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</si>
  <si>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</si>
  <si>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</si>
  <si>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</si>
  <si>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</si>
  <si>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</si>
  <si>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</si>
  <si>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</si>
  <si>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</si>
  <si>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</si>
  <si>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</si>
  <si>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</si>
  <si>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</si>
  <si>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</si>
  <si>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</si>
  <si>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</si>
  <si>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</si>
  <si>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</si>
  <si>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</si>
  <si>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</si>
  <si>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</si>
  <si>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</si>
  <si>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</si>
  <si>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</si>
  <si>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</si>
  <si>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</si>
  <si>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</si>
  <si>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</si>
  <si>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</si>
  <si>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</si>
  <si>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</si>
  <si>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</si>
  <si>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</si>
  <si>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</si>
  <si>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</si>
  <si>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</si>
  <si>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</si>
  <si>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</si>
  <si>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</si>
  <si>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</si>
  <si>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</si>
  <si>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</si>
  <si>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</si>
  <si>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</si>
  <si>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</si>
  <si>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</si>
  <si>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</si>
  <si>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</si>
  <si>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</si>
  <si>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</si>
  <si>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</si>
  <si>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</si>
  <si>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</si>
  <si>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</si>
  <si>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</si>
  <si>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</si>
  <si>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</si>
  <si>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</si>
  <si>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</si>
  <si>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</si>
  <si>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</si>
  <si>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</si>
  <si>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</si>
  <si>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</si>
  <si>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</si>
  <si>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</si>
  <si>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</si>
  <si>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</si>
  <si>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</si>
  <si>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</si>
  <si>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</si>
  <si>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</si>
  <si>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</si>
  <si>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</si>
  <si>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</si>
  <si>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</si>
  <si>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</si>
  <si>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</si>
  <si>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</si>
  <si>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</si>
  <si>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</si>
  <si>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</si>
  <si>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</si>
  <si>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</si>
  <si>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</si>
  <si>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</si>
  <si>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</si>
  <si>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</si>
  <si>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</si>
  <si>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</si>
  <si>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</si>
  <si>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</si>
  <si>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</si>
  <si>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</si>
  <si>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</si>
  <si>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</si>
  <si>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</si>
  <si>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</si>
  <si>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</si>
  <si>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</si>
  <si>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</si>
  <si>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</si>
  <si>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</si>
  <si>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</si>
  <si>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</si>
  <si>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</si>
  <si>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</si>
  <si>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</si>
  <si>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</si>
  <si>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</si>
  <si>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</si>
  <si>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</si>
  <si>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</si>
  <si>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</si>
  <si>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</si>
  <si>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</si>
  <si>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</si>
  <si>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</si>
  <si>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</si>
  <si>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</si>
  <si>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</si>
  <si>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</si>
  <si>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</si>
  <si>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</si>
  <si>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</si>
  <si>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</si>
  <si>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</si>
  <si>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</si>
  <si>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</si>
  <si>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</si>
  <si>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</si>
  <si>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</si>
  <si>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</si>
  <si>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</si>
  <si>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</si>
  <si>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</si>
  <si>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</si>
  <si>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</si>
  <si>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</si>
  <si>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</si>
  <si>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</si>
  <si>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</si>
  <si>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</si>
  <si>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</si>
  <si>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</si>
  <si>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</si>
  <si>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</si>
  <si>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</si>
  <si>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</si>
  <si>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</si>
  <si>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</si>
  <si>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</si>
  <si>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</si>
  <si>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</si>
  <si>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</si>
  <si>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</si>
  <si>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</si>
  <si>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</si>
  <si>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</si>
  <si>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</si>
  <si>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</si>
  <si>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</si>
  <si>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</si>
  <si>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</si>
  <si>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</si>
  <si>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</si>
  <si>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</si>
  <si>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</si>
  <si>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</si>
  <si>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</si>
  <si>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</si>
  <si>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</si>
  <si>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</si>
  <si>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</si>
  <si>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</si>
  <si>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</si>
  <si>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</si>
  <si>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</si>
  <si>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</si>
  <si>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</si>
  <si>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</si>
  <si>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</si>
  <si>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</si>
  <si>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</si>
  <si>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</si>
  <si>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</si>
  <si>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</si>
  <si>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</si>
  <si>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</si>
  <si>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</si>
  <si>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</si>
  <si>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</si>
  <si>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</si>
  <si>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</si>
  <si>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</si>
  <si>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</si>
  <si>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</si>
  <si>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</si>
  <si>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</si>
  <si>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</si>
  <si>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</si>
  <si>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</si>
  <si>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</si>
  <si>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</si>
  <si>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</si>
  <si>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</si>
  <si>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</si>
  <si>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</si>
  <si>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</si>
  <si>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</si>
  <si>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</si>
  <si>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</si>
  <si>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</si>
  <si>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</si>
  <si>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</si>
  <si>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</si>
  <si>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</si>
  <si>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</si>
  <si>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</si>
  <si>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</si>
  <si>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</si>
  <si>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</si>
  <si>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</si>
  <si>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</si>
  <si>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</si>
  <si>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</si>
  <si>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</si>
  <si>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</si>
  <si>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</si>
  <si>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</si>
  <si>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</si>
  <si>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</si>
  <si>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</si>
  <si>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</si>
  <si>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</si>
  <si>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</si>
  <si>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</si>
  <si>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</si>
  <si>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</si>
  <si>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</si>
  <si>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</si>
  <si>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</si>
  <si>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</si>
  <si>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</si>
  <si>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</si>
  <si>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</si>
  <si>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</si>
  <si>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</si>
  <si>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</si>
  <si>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</si>
  <si>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</si>
  <si>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</si>
  <si>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</si>
  <si>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</si>
  <si>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</si>
  <si>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</si>
  <si>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</si>
  <si>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</si>
  <si>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</si>
  <si>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</si>
  <si>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</si>
  <si>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</si>
  <si>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</si>
  <si>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</si>
  <si>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</si>
  <si>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</si>
  <si>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</si>
  <si>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</si>
  <si>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</si>
  <si>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</si>
  <si>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</si>
  <si>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</si>
  <si>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</si>
  <si>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</si>
  <si>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</si>
  <si>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</si>
  <si>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</si>
  <si>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</si>
  <si>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</si>
  <si>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</si>
  <si>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</si>
  <si>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</si>
  <si>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</si>
  <si>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</si>
  <si>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</si>
  <si>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</si>
  <si>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</si>
  <si>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</si>
  <si>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</si>
  <si>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</si>
  <si>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</si>
  <si>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</si>
  <si>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</si>
  <si>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</si>
  <si>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</si>
  <si>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</si>
  <si>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</si>
  <si>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</si>
  <si>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</si>
  <si>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</si>
  <si>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</si>
  <si>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</si>
  <si>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</si>
  <si>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</si>
  <si>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</si>
  <si>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</si>
  <si>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</si>
  <si>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</si>
  <si>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</si>
  <si>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</si>
  <si>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</si>
  <si>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</si>
  <si>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</si>
  <si>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</si>
  <si>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</si>
  <si>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</si>
  <si>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</si>
  <si>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</si>
  <si>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</si>
  <si>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</si>
  <si>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</si>
  <si>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</si>
  <si>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</si>
  <si>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</si>
  <si>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</si>
  <si>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</si>
  <si>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</si>
  <si>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</si>
  <si>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</si>
  <si>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</si>
  <si>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</si>
  <si>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</si>
  <si>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</si>
  <si>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</si>
  <si>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</si>
  <si>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</si>
  <si>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</si>
  <si>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</si>
  <si>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</si>
  <si>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</si>
  <si>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</si>
  <si>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</si>
  <si>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</si>
  <si>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</si>
  <si>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</si>
  <si>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</si>
  <si>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</si>
  <si>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</si>
  <si>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</si>
  <si>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</si>
  <si>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</si>
  <si>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</si>
  <si>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</si>
  <si>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</si>
  <si>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</si>
  <si>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</si>
  <si>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</si>
  <si>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</si>
  <si>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</si>
  <si>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</si>
  <si>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</si>
  <si>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</si>
  <si>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</si>
  <si>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</si>
  <si>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</si>
  <si>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</si>
  <si>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</si>
  <si>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</si>
  <si>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</si>
  <si>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</si>
  <si>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</si>
  <si>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</si>
  <si>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</si>
  <si>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</si>
  <si>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</si>
  <si>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</si>
  <si>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</si>
  <si>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</si>
  <si>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</si>
  <si>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</si>
  <si>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</si>
  <si>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</si>
  <si>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</si>
  <si>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</si>
  <si>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</si>
  <si>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</si>
  <si>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</si>
  <si>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</si>
  <si>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</si>
  <si>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</si>
  <si>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</si>
  <si>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</si>
  <si>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</si>
  <si>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</si>
  <si>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</si>
  <si>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</si>
  <si>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</si>
  <si>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</si>
  <si>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</si>
  <si>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</si>
  <si>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</si>
  <si>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</si>
  <si>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</si>
  <si>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</si>
  <si>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</si>
  <si>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</si>
  <si>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</si>
  <si>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</si>
  <si>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</si>
  <si>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</si>
  <si>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</si>
  <si>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</si>
  <si>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</si>
  <si>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</si>
  <si>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</si>
  <si>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</si>
  <si>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</si>
  <si>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</si>
  <si>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</si>
  <si>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</si>
  <si>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</si>
  <si>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</si>
  <si>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</si>
  <si>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</si>
  <si>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</si>
  <si>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</si>
  <si>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</si>
  <si>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</si>
  <si>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</si>
  <si>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</si>
  <si>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</si>
  <si>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</si>
  <si>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</si>
  <si>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</si>
  <si>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</si>
  <si>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</si>
  <si>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</si>
  <si>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</si>
  <si>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</si>
  <si>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</si>
  <si>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</si>
  <si>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</si>
  <si>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</si>
  <si>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</si>
  <si>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</si>
  <si>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</si>
  <si>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</si>
  <si>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</si>
  <si>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</si>
  <si>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</si>
  <si>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</si>
  <si>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</si>
  <si>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</si>
  <si>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</si>
  <si>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</si>
  <si>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</si>
  <si>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</si>
  <si>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</si>
  <si>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</si>
  <si>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</si>
  <si>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</si>
  <si>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</si>
  <si>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</si>
  <si>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</si>
  <si>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</si>
  <si>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</si>
  <si>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</si>
  <si>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</si>
  <si>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</si>
  <si>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</si>
  <si>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</si>
  <si>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</si>
  <si>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</si>
  <si>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</si>
  <si>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</si>
  <si>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</si>
  <si>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</si>
  <si>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</si>
  <si>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</si>
  <si>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</si>
  <si>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</si>
  <si>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</si>
  <si>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</si>
  <si>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</si>
  <si>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</si>
  <si>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</si>
  <si>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</si>
  <si>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</si>
  <si>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</si>
  <si>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</si>
  <si>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</si>
  <si>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</si>
  <si>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</si>
  <si>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</si>
  <si>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</si>
  <si>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</si>
  <si>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</si>
  <si>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</si>
  <si>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</si>
  <si>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</si>
  <si>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</si>
  <si>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</si>
  <si>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</si>
  <si>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</si>
  <si>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</si>
  <si>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</si>
  <si>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</si>
  <si>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</si>
  <si>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</si>
  <si>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</si>
  <si>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</si>
  <si>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</si>
  <si>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</si>
  <si>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</si>
  <si>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</si>
  <si>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</si>
  <si>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</si>
  <si>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</si>
  <si>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</si>
  <si>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</si>
  <si>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</si>
  <si>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</si>
  <si>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</si>
  <si>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</si>
  <si>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</si>
  <si>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</si>
  <si>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</si>
  <si>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</si>
  <si>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</si>
  <si>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</si>
  <si>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</si>
  <si>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</si>
  <si>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</si>
  <si>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</si>
  <si>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</si>
  <si>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</si>
  <si>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</si>
  <si>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</si>
  <si>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</si>
  <si>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</si>
  <si>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</si>
  <si>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</si>
  <si>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</si>
  <si>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</si>
  <si>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</si>
  <si>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</si>
  <si>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</si>
  <si>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</si>
  <si>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</si>
  <si>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</si>
  <si>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</si>
  <si>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</si>
  <si>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</si>
  <si>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</si>
  <si>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</si>
  <si>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</si>
  <si>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</si>
  <si>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</si>
  <si>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</si>
  <si>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</si>
  <si>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</si>
  <si>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</si>
  <si>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</si>
  <si>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</si>
  <si>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</si>
  <si>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</si>
  <si>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</si>
  <si>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</si>
  <si>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</si>
  <si>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</si>
  <si>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</si>
  <si>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</si>
  <si>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</si>
  <si>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</si>
  <si>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</si>
  <si>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</si>
  <si>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</si>
  <si>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</si>
  <si>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</si>
  <si>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</si>
  <si>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</si>
  <si>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</si>
  <si>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</si>
  <si>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</si>
  <si>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</si>
  <si>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</si>
  <si>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</si>
  <si>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</si>
  <si>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</si>
  <si>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</si>
  <si>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</si>
  <si>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</si>
  <si>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</si>
  <si>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</si>
  <si>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</si>
  <si>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</si>
  <si>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</si>
  <si>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</si>
  <si>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</si>
  <si>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</si>
  <si>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</si>
  <si>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</si>
  <si>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</si>
  <si>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</si>
  <si>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</si>
  <si>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</si>
  <si>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</si>
  <si>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</si>
  <si>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</si>
  <si>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</si>
  <si>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</si>
  <si>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</si>
  <si>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</si>
  <si>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</si>
  <si>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</si>
  <si>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</si>
  <si>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</si>
  <si>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</si>
  <si>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</si>
  <si>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</si>
  <si>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</si>
  <si>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</si>
  <si>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</si>
  <si>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</si>
  <si>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</si>
  <si>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</si>
  <si>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</si>
  <si>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</si>
  <si>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</si>
  <si>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</si>
  <si>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</si>
  <si>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</si>
  <si>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</si>
  <si>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</si>
  <si>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</si>
  <si>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</si>
  <si>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</si>
  <si>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</si>
  <si>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</si>
  <si>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</si>
  <si>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</si>
  <si>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</si>
  <si>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</si>
  <si>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</si>
  <si>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</si>
  <si>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</si>
  <si>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</si>
  <si>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</si>
  <si>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</si>
  <si>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</si>
  <si>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</si>
  <si>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</si>
  <si>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</si>
  <si>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</si>
  <si>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</si>
  <si>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</si>
  <si>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</si>
  <si>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</si>
  <si>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</si>
  <si>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</si>
  <si>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</si>
  <si>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</si>
  <si>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</si>
  <si>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</si>
  <si>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</si>
  <si>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</si>
  <si>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</si>
  <si>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</si>
  <si>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</si>
  <si>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</si>
  <si>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</si>
  <si>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</si>
  <si>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</si>
  <si>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</si>
  <si>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</si>
  <si>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</si>
  <si>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</si>
  <si>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</si>
  <si>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</si>
  <si>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</si>
  <si>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</si>
  <si>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</si>
  <si>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</si>
  <si>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</si>
  <si>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</si>
  <si>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</si>
  <si>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</si>
  <si>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</si>
  <si>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</si>
  <si>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</si>
  <si>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</si>
  <si>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</si>
  <si>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</si>
  <si>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</si>
  <si>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</si>
  <si>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</si>
  <si>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</si>
  <si>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</si>
  <si>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</si>
  <si>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</si>
  <si>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</si>
  <si>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</si>
  <si>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</si>
  <si>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</si>
  <si>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</si>
  <si>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</si>
  <si>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</si>
  <si>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</si>
  <si>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</si>
  <si>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</si>
  <si>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</si>
  <si>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</si>
  <si>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</si>
  <si>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</si>
  <si>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</si>
  <si>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</si>
  <si>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</si>
  <si>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</si>
  <si>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</si>
  <si>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</si>
  <si>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</si>
  <si>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</si>
  <si>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</si>
  <si>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</si>
  <si>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</si>
  <si>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</si>
  <si>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</si>
  <si>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</si>
  <si>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</si>
  <si>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</si>
  <si>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</si>
  <si>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</si>
  <si>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</si>
  <si>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</si>
  <si>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</si>
  <si>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</si>
  <si>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</si>
  <si>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</si>
  <si>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</si>
  <si>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</si>
  <si>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</si>
  <si>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</si>
  <si>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</si>
  <si>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</si>
  <si>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</si>
  <si>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</si>
  <si>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</si>
  <si>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</si>
  <si>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</si>
  <si>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</si>
  <si>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</si>
  <si>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</si>
  <si>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</si>
  <si>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</si>
  <si>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</si>
  <si>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</si>
  <si>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</si>
  <si>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</si>
  <si>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</si>
  <si>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</si>
  <si>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</si>
  <si>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</si>
  <si>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</si>
  <si>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</si>
  <si>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</si>
  <si>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</si>
  <si>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</si>
  <si>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</si>
  <si>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</si>
  <si>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</si>
  <si>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</si>
  <si>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</si>
  <si>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</si>
  <si>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</si>
  <si>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</si>
  <si>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</si>
  <si>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</si>
  <si>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</si>
  <si>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</si>
  <si>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</si>
  <si>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</si>
  <si>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</si>
  <si>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</si>
  <si>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</si>
  <si>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</si>
  <si>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</si>
  <si>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</si>
  <si>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</si>
  <si>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</si>
  <si>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</si>
  <si>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</si>
  <si>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</si>
  <si>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</si>
  <si>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</si>
  <si>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</si>
  <si>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</si>
  <si>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</si>
  <si>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</si>
  <si>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</si>
  <si>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</si>
  <si>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</si>
  <si>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</si>
  <si>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</si>
  <si>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</si>
  <si>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</si>
  <si>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</si>
  <si>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</si>
  <si>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</si>
  <si>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</si>
  <si>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</si>
  <si>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</si>
  <si>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</si>
  <si>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</si>
  <si>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</si>
  <si>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</si>
  <si>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</si>
  <si>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</si>
  <si>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</si>
  <si>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</si>
  <si>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</si>
  <si>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</si>
  <si>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</si>
  <si>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</si>
  <si>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</si>
  <si>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</si>
  <si>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</si>
  <si>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</si>
  <si>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</si>
  <si>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</si>
  <si>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</si>
  <si>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</si>
  <si>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</si>
  <si>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</si>
  <si>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</si>
  <si>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</si>
  <si>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</si>
  <si>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</si>
  <si>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</si>
  <si>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</si>
  <si>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</si>
  <si>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</si>
  <si>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</si>
  <si>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</si>
  <si>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</si>
  <si>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</si>
  <si>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</si>
  <si>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</si>
  <si>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</si>
  <si>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</si>
  <si>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</si>
  <si>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</si>
  <si>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</si>
  <si>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</si>
  <si>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</si>
  <si>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</si>
  <si>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</si>
  <si>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</si>
  <si>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</si>
  <si>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</si>
  <si>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</si>
  <si>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</si>
  <si>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</si>
  <si>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</si>
  <si>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</si>
  <si>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</si>
  <si>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</si>
  <si>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</si>
  <si>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</si>
  <si>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</si>
  <si>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</si>
  <si>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</si>
  <si>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</si>
  <si>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</si>
  <si>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</si>
  <si>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</si>
  <si>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</si>
  <si>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</si>
  <si>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</si>
  <si>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</si>
  <si>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</si>
  <si>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</si>
  <si>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</si>
  <si>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</si>
  <si>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</si>
  <si>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</si>
  <si>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</si>
  <si>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</si>
  <si>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</si>
  <si>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</si>
  <si>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</si>
  <si>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</si>
  <si>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</si>
  <si>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</si>
  <si>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</si>
  <si>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</si>
  <si>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</si>
  <si>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</si>
  <si>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</si>
  <si>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</si>
  <si>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</si>
  <si>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</si>
  <si>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</si>
  <si>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</si>
  <si>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</si>
  <si>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</si>
  <si>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</si>
  <si>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</si>
  <si>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</si>
  <si>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</si>
  <si>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</si>
  <si>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</si>
  <si>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</si>
  <si>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</si>
  <si>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</si>
  <si>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</si>
  <si>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</si>
  <si>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</si>
  <si>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</si>
  <si>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</si>
  <si>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</si>
  <si>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</si>
  <si>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</si>
  <si>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</si>
  <si>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</si>
  <si>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</si>
  <si>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</si>
  <si>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</si>
  <si>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</si>
  <si>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</si>
  <si>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</si>
  <si>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</si>
  <si>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</si>
  <si>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</si>
  <si>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</si>
  <si>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</si>
  <si>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</si>
  <si>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</si>
  <si>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</si>
  <si>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</si>
  <si>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</si>
  <si>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</si>
  <si>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</si>
  <si>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</si>
  <si>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</si>
  <si>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</si>
  <si>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</si>
  <si>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</si>
  <si>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</si>
  <si>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</si>
  <si>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</si>
  <si>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</si>
  <si>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</si>
  <si>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</si>
  <si>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</si>
  <si>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</si>
  <si>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</si>
  <si>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</si>
  <si>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</si>
  <si>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</si>
  <si>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</si>
  <si>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</si>
  <si>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</si>
  <si>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</si>
  <si>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</si>
  <si>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</si>
  <si>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</si>
  <si>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</si>
  <si>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</si>
  <si>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</si>
  <si>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</si>
  <si>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</si>
  <si>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</si>
  <si>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</si>
  <si>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</si>
  <si>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</si>
  <si>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</si>
  <si>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</si>
  <si>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</si>
  <si>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</si>
  <si>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</si>
  <si>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</si>
  <si>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</si>
  <si>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</si>
  <si>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</si>
  <si>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</si>
  <si>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</si>
  <si>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</si>
  <si>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</si>
  <si>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</si>
  <si>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</si>
  <si>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</si>
  <si>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</si>
  <si>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</si>
  <si>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</si>
  <si>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</si>
  <si>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</si>
  <si>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</si>
  <si>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</si>
  <si>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</si>
  <si>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</si>
  <si>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</si>
  <si>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</si>
  <si>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</si>
  <si>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</si>
  <si>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</si>
  <si>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</si>
  <si>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</si>
  <si>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</si>
  <si>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</si>
  <si>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</si>
  <si>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</si>
  <si>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</si>
  <si>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</si>
  <si>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</si>
  <si>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</si>
  <si>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</si>
  <si>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</si>
  <si>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</si>
  <si>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</si>
  <si>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</si>
  <si>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</si>
  <si>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</si>
  <si>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</si>
  <si>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</si>
  <si>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</si>
  <si>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</si>
  <si>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</si>
  <si>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</si>
  <si>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</si>
  <si>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</si>
  <si>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</si>
  <si>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</si>
  <si>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</si>
  <si>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</si>
  <si>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</si>
  <si>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</si>
  <si>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</si>
  <si>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</si>
  <si>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</si>
  <si>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</si>
  <si>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</si>
  <si>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</si>
  <si>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</si>
  <si>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</si>
  <si>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</si>
  <si>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</si>
  <si>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</si>
  <si>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</si>
  <si>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</si>
  <si>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</si>
  <si>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</si>
  <si>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</si>
  <si>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</si>
  <si>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</si>
  <si>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</si>
  <si>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</si>
  <si>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</si>
  <si>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</si>
  <si>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</si>
  <si>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</si>
  <si>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</si>
  <si>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</si>
  <si>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</si>
  <si>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</si>
  <si>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</si>
  <si>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</si>
  <si>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</si>
  <si>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</si>
  <si>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</si>
  <si>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</si>
  <si>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</si>
  <si>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</si>
  <si>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</si>
  <si>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</si>
  <si>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</si>
  <si>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</si>
  <si>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</si>
  <si>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</si>
  <si>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</si>
  <si>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</si>
  <si>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</si>
  <si>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</si>
  <si>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</si>
  <si>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</si>
  <si>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</si>
  <si>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</si>
  <si>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</si>
  <si>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</si>
  <si>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</si>
  <si>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</si>
  <si>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</si>
  <si>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</si>
  <si>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</si>
  <si>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</si>
  <si>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</si>
  <si>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</si>
  <si>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</si>
  <si>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</si>
  <si>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</si>
  <si>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</si>
  <si>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</si>
  <si>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</si>
  <si>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</si>
  <si>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</si>
  <si>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</si>
  <si>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</si>
  <si>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</si>
  <si>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</si>
  <si>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</si>
  <si>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</si>
  <si>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</si>
  <si>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</si>
  <si>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</si>
  <si>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</si>
  <si>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</si>
  <si>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</si>
  <si>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</si>
  <si>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</si>
  <si>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</si>
  <si>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</si>
  <si>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</si>
  <si>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</si>
  <si>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</si>
  <si>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</si>
  <si>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</si>
  <si>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</si>
  <si>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</si>
  <si>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</si>
  <si>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</si>
  <si>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</si>
  <si>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</si>
  <si>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</si>
  <si>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</si>
  <si>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</si>
  <si>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</si>
  <si>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</si>
  <si>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</si>
  <si>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</si>
  <si>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</si>
  <si>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</si>
  <si>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</si>
  <si>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</si>
  <si>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</si>
  <si>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</si>
  <si>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</si>
  <si>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</si>
  <si>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</si>
  <si>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</si>
  <si>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</si>
  <si>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</si>
  <si>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</si>
  <si>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</si>
  <si>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</si>
  <si>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</si>
  <si>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</si>
  <si>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</si>
  <si>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</si>
  <si>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</si>
  <si>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</si>
  <si>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</si>
  <si>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</si>
  <si>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</si>
  <si>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</si>
  <si>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</si>
  <si>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</si>
  <si>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</si>
  <si>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</si>
  <si>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</si>
  <si>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</si>
  <si>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</si>
  <si>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</si>
  <si>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</si>
  <si>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</si>
  <si>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</si>
  <si>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</si>
  <si>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</si>
  <si>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</si>
  <si>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</si>
  <si>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</si>
  <si>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</si>
  <si>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</si>
  <si>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</si>
  <si>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</si>
  <si>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</si>
  <si>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</si>
  <si>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</si>
  <si>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</si>
  <si>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</si>
  <si>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</si>
  <si>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</si>
  <si>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</si>
  <si>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</si>
  <si>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</si>
  <si>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</si>
  <si>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</si>
  <si>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</si>
  <si>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</si>
  <si>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</si>
  <si>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</si>
  <si>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</si>
  <si>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</si>
  <si>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</si>
  <si>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</si>
  <si>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</si>
  <si>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</si>
  <si>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</si>
  <si>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</si>
  <si>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</si>
  <si>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</si>
  <si>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</si>
  <si>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</si>
  <si>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</si>
  <si>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</si>
  <si>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</si>
  <si>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</si>
  <si>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</si>
  <si>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</si>
  <si>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</si>
  <si>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</si>
  <si>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</si>
  <si>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</si>
  <si>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</si>
  <si>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</si>
  <si>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</si>
  <si>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</si>
  <si>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</si>
  <si>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</si>
  <si>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</si>
  <si>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</si>
  <si>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</si>
  <si>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</si>
  <si>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</si>
  <si>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</si>
  <si>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</si>
  <si>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</si>
  <si>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</si>
  <si>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</si>
  <si>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</si>
  <si>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</si>
  <si>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</si>
  <si>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</si>
  <si>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</si>
  <si>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</si>
  <si>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</si>
  <si>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</si>
  <si>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</si>
  <si>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</si>
  <si>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</si>
  <si>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</si>
  <si>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</si>
  <si>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</si>
  <si>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</si>
  <si>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</si>
  <si>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</si>
  <si>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</si>
  <si>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</si>
  <si>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</si>
  <si>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</si>
  <si>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</si>
  <si>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</si>
  <si>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</si>
  <si>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</si>
  <si>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</si>
  <si>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</si>
  <si>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</si>
  <si>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</si>
  <si>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</si>
  <si>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</si>
  <si>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</si>
  <si>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</si>
  <si>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</si>
  <si>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</si>
  <si>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</si>
  <si>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</si>
  <si>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</si>
  <si>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</si>
  <si>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</si>
  <si>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</si>
  <si>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</si>
  <si>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</si>
  <si>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</si>
  <si>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</si>
  <si>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</si>
  <si>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</si>
  <si>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</si>
  <si>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</si>
  <si>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</si>
  <si>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</si>
  <si>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</si>
  <si>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</si>
  <si>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</si>
  <si>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</si>
  <si>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</si>
  <si>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</si>
  <si>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</si>
  <si>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</si>
  <si>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</si>
  <si>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</si>
  <si>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</si>
  <si>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</si>
  <si>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</si>
  <si>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</si>
  <si>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</si>
  <si>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</si>
  <si>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</si>
  <si>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</si>
  <si>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</si>
  <si>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</si>
  <si>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</si>
  <si>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</si>
  <si>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</si>
  <si>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</si>
  <si>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</si>
  <si>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</si>
  <si>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</si>
  <si>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</si>
  <si>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</si>
  <si>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</si>
  <si>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</si>
  <si>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</si>
  <si>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</si>
  <si>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</si>
  <si>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</si>
  <si>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</si>
  <si>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</si>
  <si>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</si>
  <si>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</si>
  <si>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</si>
  <si>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</si>
  <si>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</si>
  <si>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</si>
  <si>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</si>
  <si>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</si>
  <si>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</si>
  <si>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</si>
  <si>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</si>
  <si>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</si>
  <si>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</si>
  <si>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</si>
  <si>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</si>
  <si>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</si>
  <si>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</si>
  <si>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</si>
  <si>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</si>
  <si>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</si>
  <si>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</si>
  <si>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</si>
  <si>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</si>
  <si>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</si>
  <si>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</si>
  <si>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</si>
  <si>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</si>
  <si>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</si>
  <si>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</si>
  <si>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</si>
  <si>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</si>
  <si>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</si>
  <si>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</si>
  <si>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</si>
  <si>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</si>
  <si>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</si>
  <si>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</si>
  <si>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</si>
  <si>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</si>
  <si>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</si>
  <si>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</si>
  <si>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</si>
  <si>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</si>
  <si>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</si>
  <si>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</si>
  <si>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</si>
  <si>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</si>
  <si>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</si>
  <si>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</si>
  <si>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</si>
  <si>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</si>
  <si>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</si>
  <si>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</si>
  <si>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</si>
  <si>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</si>
  <si>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</si>
  <si>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</si>
  <si>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</si>
  <si>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</si>
  <si>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</si>
  <si>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</si>
  <si>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</si>
  <si>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</si>
  <si>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</si>
  <si>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</si>
  <si>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</si>
  <si>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</si>
  <si>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</si>
  <si>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</si>
  <si>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</si>
  <si>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</si>
  <si>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</si>
  <si>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</si>
  <si>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</si>
  <si>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</si>
  <si>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</si>
  <si>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</si>
  <si>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</si>
  <si>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</si>
  <si>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</si>
  <si>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</si>
  <si>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</si>
  <si>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</si>
  <si>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</si>
  <si>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</si>
  <si>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</si>
  <si>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</si>
  <si>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</si>
  <si>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</si>
  <si>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</si>
  <si>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</si>
  <si>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</si>
  <si>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</si>
  <si>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</si>
  <si>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</si>
  <si>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</si>
  <si>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</si>
  <si>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</si>
  <si>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</si>
  <si>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</si>
  <si>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</si>
  <si>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</si>
  <si>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</si>
  <si>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</si>
  <si>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</si>
  <si>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</si>
  <si>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</si>
  <si>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</si>
  <si>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</si>
  <si>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</si>
  <si>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</si>
  <si>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</si>
  <si>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</si>
  <si>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</si>
  <si>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</si>
  <si>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</si>
  <si>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</si>
  <si>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</si>
  <si>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</si>
  <si>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</si>
  <si>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</si>
  <si>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</si>
  <si>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</si>
  <si>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</si>
  <si>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</si>
  <si>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</si>
  <si>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</si>
  <si>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</si>
  <si>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</si>
  <si>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</si>
  <si>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</si>
  <si>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</si>
  <si>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</si>
  <si>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</si>
  <si>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</si>
  <si>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</si>
  <si>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</si>
  <si>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</si>
  <si>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</si>
  <si>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</si>
  <si>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</si>
  <si>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</si>
  <si>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</si>
  <si>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</si>
  <si>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</si>
  <si>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</si>
  <si>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</si>
  <si>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</si>
  <si>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</si>
  <si>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</si>
  <si>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</si>
  <si>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</si>
  <si>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</si>
  <si>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</si>
  <si>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</si>
  <si>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</si>
  <si>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</si>
  <si>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</si>
  <si>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</si>
  <si>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</si>
  <si>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</si>
  <si>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</si>
  <si>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</si>
  <si>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</si>
  <si>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</si>
  <si>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</si>
  <si>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</si>
  <si>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</si>
  <si>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</si>
  <si>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</si>
  <si>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</si>
  <si>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</si>
  <si>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</si>
  <si>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</si>
  <si>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</si>
  <si>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</si>
  <si>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</si>
  <si>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</si>
  <si>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</si>
  <si>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</si>
  <si>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</si>
  <si>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</si>
  <si>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</si>
  <si>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</si>
  <si>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</si>
  <si>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</si>
  <si>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</si>
  <si>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</si>
  <si>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</si>
  <si>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</si>
  <si>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</si>
  <si>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</si>
  <si>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</si>
  <si>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</si>
  <si>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</si>
  <si>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</si>
  <si>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</si>
  <si>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</si>
  <si>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</si>
  <si>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</si>
  <si>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</si>
  <si>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</si>
  <si>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</si>
  <si>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</si>
  <si>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</si>
  <si>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</si>
  <si>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</si>
  <si>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</si>
  <si>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</si>
  <si>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</si>
  <si>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</si>
  <si>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</si>
  <si>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</si>
  <si>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</si>
  <si>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</si>
  <si>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</si>
  <si>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</si>
  <si>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</si>
  <si>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</si>
  <si>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</si>
  <si>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</si>
  <si>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</si>
  <si>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</si>
  <si>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</si>
  <si>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</si>
  <si>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</si>
  <si>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</si>
  <si>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</si>
  <si>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</si>
  <si>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</si>
  <si>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</si>
  <si>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</si>
  <si>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</si>
  <si>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</si>
  <si>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</si>
  <si>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</si>
  <si>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</si>
  <si>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</si>
  <si>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</si>
  <si>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</si>
  <si>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</si>
  <si>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</si>
  <si>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</si>
  <si>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</si>
  <si>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</si>
  <si>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</si>
  <si>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</si>
  <si>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</si>
  <si>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</si>
  <si>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</si>
  <si>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</si>
  <si>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</si>
  <si>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</si>
  <si>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</si>
  <si>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</si>
  <si>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</si>
  <si>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</si>
  <si>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</si>
  <si>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</si>
  <si>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</si>
  <si>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</si>
  <si>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</si>
  <si>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</si>
  <si>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</si>
  <si>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</si>
  <si>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</si>
  <si>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</si>
  <si>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</si>
  <si>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</si>
  <si>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</si>
  <si>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</si>
  <si>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</si>
  <si>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</si>
  <si>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</si>
  <si>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</si>
  <si>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</si>
  <si>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</si>
  <si>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</si>
  <si>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</si>
  <si>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</si>
  <si>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</si>
  <si>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</si>
  <si>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</si>
  <si>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</si>
  <si>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</si>
  <si>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</si>
  <si>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</si>
  <si>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</si>
  <si>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</si>
  <si>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</si>
  <si>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</si>
  <si>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</si>
  <si>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</si>
  <si>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</si>
  <si>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</si>
  <si>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</si>
  <si>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</si>
  <si>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</si>
  <si>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</si>
  <si>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</si>
  <si>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</si>
  <si>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</si>
  <si>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</si>
  <si>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</si>
  <si>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</si>
  <si>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</si>
  <si>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</si>
  <si>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</si>
  <si>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</si>
  <si>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</si>
  <si>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</si>
  <si>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</si>
  <si>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</si>
  <si>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</si>
  <si>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</si>
  <si>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</si>
  <si>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</si>
  <si>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</si>
  <si>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</si>
  <si>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</si>
  <si>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</si>
  <si>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</si>
  <si>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</si>
  <si>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</si>
  <si>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</si>
  <si>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</si>
  <si>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</si>
  <si>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</si>
  <si>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</si>
  <si>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</si>
  <si>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</si>
  <si>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</si>
  <si>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</si>
  <si>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</si>
  <si>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</si>
  <si>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</si>
  <si>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</si>
  <si>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</si>
  <si>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</si>
  <si>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</si>
  <si>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</si>
  <si>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</si>
  <si>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</si>
  <si>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</si>
  <si>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</si>
  <si>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</si>
  <si>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</si>
  <si>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</si>
  <si>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</si>
  <si>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</si>
  <si>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</si>
  <si>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</si>
  <si>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</si>
  <si>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</si>
  <si>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</si>
  <si>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</si>
  <si>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</si>
  <si>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</si>
  <si>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</si>
  <si>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</si>
  <si>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</si>
  <si>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</si>
  <si>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</si>
  <si>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</si>
  <si>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</si>
  <si>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</si>
  <si>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</si>
  <si>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</si>
  <si>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</si>
  <si>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</si>
  <si>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</si>
  <si>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</si>
  <si>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</si>
  <si>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</si>
  <si>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</si>
  <si>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</si>
  <si>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</si>
  <si>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</si>
  <si>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</si>
  <si>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</si>
  <si>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</si>
  <si>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</si>
  <si>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</si>
  <si>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</si>
  <si>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</si>
  <si>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</si>
  <si>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</si>
  <si>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</si>
  <si>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</si>
  <si>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</si>
  <si>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</si>
  <si>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</si>
  <si>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</si>
  <si>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</si>
  <si>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</si>
  <si>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</si>
  <si>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</si>
  <si>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</si>
  <si>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</si>
  <si>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</si>
  <si>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</si>
  <si>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</si>
  <si>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</si>
  <si>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</si>
  <si>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</si>
  <si>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</si>
  <si>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</si>
  <si>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</si>
  <si>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</si>
  <si>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</si>
  <si>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</si>
  <si>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</si>
  <si>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</si>
  <si>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</si>
  <si>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</si>
  <si>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</si>
  <si>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</si>
  <si>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</si>
  <si>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</si>
  <si>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</si>
  <si>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</si>
  <si>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</si>
  <si>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</si>
  <si>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</si>
  <si>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</si>
  <si>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</si>
  <si>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</si>
  <si>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</si>
  <si>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</si>
  <si>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</si>
  <si>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</si>
  <si>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</si>
  <si>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</si>
  <si>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</si>
  <si>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</si>
  <si>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</si>
  <si>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</si>
  <si>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</si>
  <si>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</si>
  <si>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</si>
  <si>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</si>
  <si>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</si>
  <si>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</si>
  <si>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</si>
  <si>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</si>
  <si>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</si>
  <si>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</si>
  <si>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</si>
  <si>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</si>
  <si>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</si>
  <si>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</si>
  <si>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</si>
  <si>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</si>
  <si>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</si>
  <si>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</si>
  <si>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</si>
  <si>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</si>
  <si>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</si>
  <si>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</si>
  <si>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</si>
  <si>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</si>
  <si>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</si>
  <si>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</si>
  <si>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</si>
  <si>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</si>
  <si>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</si>
  <si>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</si>
  <si>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</si>
  <si>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</si>
  <si>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</si>
  <si>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</si>
  <si>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</si>
  <si>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</si>
  <si>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</si>
  <si>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</si>
  <si>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</si>
  <si>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</si>
  <si>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</si>
  <si>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</si>
  <si>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</si>
  <si>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</si>
  <si>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</si>
  <si>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</si>
  <si>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</si>
  <si>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</si>
  <si>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</si>
  <si>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</si>
  <si>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</si>
  <si>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</si>
  <si>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</si>
  <si>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</si>
  <si>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</si>
  <si>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</si>
  <si>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</si>
  <si>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</si>
  <si>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</si>
  <si>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</si>
  <si>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</si>
  <si>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</si>
  <si>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</si>
  <si>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</si>
  <si>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</si>
  <si>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</si>
  <si>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</si>
  <si>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</si>
  <si>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</si>
  <si>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</si>
  <si>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</si>
  <si>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</si>
  <si>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</si>
  <si>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</si>
  <si>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</si>
  <si>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</si>
  <si>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</si>
  <si>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</si>
  <si>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</si>
  <si>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</si>
  <si>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</si>
  <si>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</si>
  <si>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</si>
  <si>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</si>
  <si>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</si>
  <si>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</si>
  <si>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</si>
  <si>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</si>
  <si>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</si>
  <si>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</si>
  <si>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</si>
  <si>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</si>
  <si>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</si>
  <si>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</si>
  <si>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</si>
  <si>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</si>
  <si>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</si>
  <si>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</si>
  <si>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</si>
  <si>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</si>
  <si>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</si>
  <si>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</si>
  <si>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</si>
  <si>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</si>
  <si>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</si>
  <si>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</si>
  <si>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</si>
  <si>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</si>
  <si>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</si>
  <si>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</si>
  <si>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</si>
  <si>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</si>
  <si>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</si>
  <si>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</si>
  <si>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</si>
  <si>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</si>
  <si>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</si>
  <si>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</si>
  <si>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</si>
  <si>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</si>
  <si>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</si>
  <si>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</si>
  <si>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</si>
  <si>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</si>
  <si>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</si>
  <si>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</si>
  <si>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</si>
  <si>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</si>
  <si>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</si>
  <si>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</si>
  <si>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</si>
  <si>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</si>
  <si>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</si>
  <si>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</si>
  <si>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</si>
  <si>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</si>
  <si>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</si>
  <si>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</si>
  <si>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</si>
  <si>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</si>
  <si>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</si>
  <si>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</si>
  <si>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</si>
  <si>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</si>
  <si>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</si>
  <si>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</si>
  <si>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</si>
  <si>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</si>
  <si>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</si>
  <si>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</si>
  <si>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</si>
  <si>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</si>
  <si>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</si>
  <si>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</si>
  <si>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</si>
  <si>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</si>
  <si>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</si>
  <si>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</si>
  <si>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</si>
  <si>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</si>
  <si>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</si>
  <si>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</si>
  <si>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</si>
  <si>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</si>
  <si>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</si>
  <si>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</si>
  <si>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</si>
  <si>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</si>
  <si>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</si>
  <si>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</si>
  <si>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</si>
  <si>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</si>
  <si>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</si>
  <si>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</si>
  <si>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</si>
  <si>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</si>
  <si>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</si>
  <si>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</si>
  <si>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</si>
  <si>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</si>
  <si>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</si>
  <si>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</si>
  <si>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</si>
  <si>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</si>
  <si>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</si>
  <si>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</si>
  <si>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</si>
  <si>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</si>
  <si>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</si>
  <si>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</si>
  <si>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</si>
  <si>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</si>
  <si>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</si>
  <si>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</si>
  <si>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</si>
  <si>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</si>
  <si>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</si>
  <si>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</si>
  <si>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</si>
  <si>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</si>
  <si>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</si>
  <si>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</si>
  <si>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</si>
  <si>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</si>
  <si>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</si>
  <si>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</si>
  <si>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</si>
  <si>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</si>
  <si>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</si>
  <si>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</si>
  <si>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</si>
  <si>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</si>
  <si>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</si>
  <si>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</si>
  <si>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</si>
  <si>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</si>
  <si>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</si>
  <si>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</si>
  <si>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</si>
  <si>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</si>
  <si>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</si>
  <si>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</si>
  <si>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</si>
  <si>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</si>
  <si>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</si>
  <si>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</si>
  <si>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</si>
  <si>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</si>
  <si>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</si>
  <si>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</si>
  <si>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</si>
  <si>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</si>
  <si>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</si>
  <si>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</si>
  <si>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</si>
  <si>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</si>
  <si>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</si>
  <si>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</si>
  <si>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</si>
  <si>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</si>
  <si>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</si>
  <si>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</si>
  <si>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</si>
  <si>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</si>
  <si>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</si>
  <si>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</si>
  <si>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</si>
  <si>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</si>
  <si>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</si>
  <si>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</si>
  <si>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</si>
  <si>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</si>
  <si>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</si>
  <si>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</si>
  <si>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</si>
  <si>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</si>
  <si>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</si>
  <si>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</si>
  <si>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</si>
  <si>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</si>
  <si>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</si>
  <si>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</si>
  <si>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</si>
  <si>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</si>
  <si>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</si>
  <si>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</si>
  <si>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</si>
  <si>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</si>
  <si>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</si>
  <si>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</si>
  <si>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</si>
  <si>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</si>
  <si>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</si>
  <si>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</si>
  <si>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</si>
  <si>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</si>
  <si>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</si>
  <si>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</si>
  <si>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</si>
  <si>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</si>
  <si>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</si>
  <si>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</si>
  <si>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</si>
  <si>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</si>
  <si>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</si>
  <si>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</si>
  <si>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</si>
  <si>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</si>
  <si>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</si>
  <si>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</si>
  <si>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</si>
  <si>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</si>
  <si>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</si>
  <si>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</si>
  <si>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</si>
  <si>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</si>
  <si>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</si>
  <si>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</si>
  <si>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</si>
  <si>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</si>
  <si>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</si>
  <si>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</si>
  <si>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</si>
  <si>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</si>
  <si>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</si>
  <si>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</si>
  <si>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</si>
  <si>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</si>
  <si>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</si>
  <si>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</si>
  <si>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</si>
  <si>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</si>
  <si>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</si>
  <si>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</si>
  <si>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</si>
  <si>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</si>
  <si>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</si>
  <si>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</si>
  <si>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</si>
  <si>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</si>
  <si>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</si>
  <si>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</si>
  <si>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</si>
  <si>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</si>
  <si>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</si>
  <si>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</si>
  <si>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</si>
  <si>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</si>
  <si>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</si>
  <si>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</si>
  <si>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</si>
  <si>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</si>
  <si>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</si>
  <si>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</si>
  <si>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</si>
  <si>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</si>
  <si>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</si>
  <si>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</si>
  <si>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</si>
  <si>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</si>
  <si>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</si>
  <si>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</si>
  <si>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</si>
  <si>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</si>
  <si>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</si>
  <si>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</si>
  <si>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</si>
  <si>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</si>
  <si>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</si>
  <si>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</si>
  <si>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</si>
  <si>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</si>
  <si>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</si>
  <si>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</si>
  <si>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</si>
  <si>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</si>
  <si>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</si>
  <si>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</si>
  <si>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</si>
  <si>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</si>
  <si>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</si>
  <si>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</si>
  <si>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</si>
  <si>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</si>
  <si>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</si>
  <si>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</si>
  <si>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</si>
  <si>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</si>
  <si>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</si>
  <si>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</si>
  <si>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</si>
  <si>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</si>
  <si>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</si>
  <si>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</si>
  <si>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</si>
  <si>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</si>
  <si>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</si>
  <si>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</si>
  <si>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</si>
  <si>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</si>
  <si>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</si>
  <si>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</si>
  <si>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</si>
  <si>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</si>
  <si>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</si>
  <si>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</si>
  <si>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</si>
  <si>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</si>
  <si>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</si>
  <si>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</si>
  <si>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</si>
  <si>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</si>
  <si>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</si>
  <si>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</si>
  <si>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</si>
  <si>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</si>
  <si>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</si>
  <si>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</si>
  <si>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</si>
  <si>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</si>
  <si>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</si>
  <si>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</si>
  <si>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</si>
  <si>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</si>
  <si>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</si>
  <si>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</si>
  <si>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</si>
  <si>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</si>
  <si>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</si>
  <si>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</si>
  <si>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</si>
  <si>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</si>
  <si>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</si>
  <si>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</si>
  <si>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</si>
  <si>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</si>
  <si>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</si>
  <si>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</si>
  <si>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</si>
  <si>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</si>
  <si>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</si>
  <si>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</si>
  <si>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</si>
  <si>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</si>
  <si>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</si>
  <si>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</si>
  <si>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</si>
  <si>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</si>
  <si>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</si>
  <si>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</si>
  <si>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</si>
  <si>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</si>
  <si>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</si>
  <si>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</si>
  <si>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</si>
  <si>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</si>
  <si>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</si>
  <si>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</si>
  <si>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</si>
  <si>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</si>
  <si>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</si>
  <si>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</si>
  <si>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</si>
  <si>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</si>
  <si>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</si>
  <si>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</si>
  <si>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</si>
  <si>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</si>
  <si>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</si>
  <si>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</si>
  <si>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</si>
  <si>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</si>
  <si>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</si>
  <si>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</si>
  <si>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</si>
  <si>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</si>
  <si>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</si>
  <si>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</si>
  <si>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</si>
  <si>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</si>
  <si>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</si>
  <si>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</si>
  <si>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</si>
  <si>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</si>
  <si>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</si>
  <si>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</si>
  <si>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</si>
  <si>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</si>
  <si>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</si>
  <si>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</si>
  <si>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</si>
  <si>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</si>
  <si>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</si>
  <si>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</si>
  <si>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</si>
  <si>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</si>
  <si>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</si>
  <si>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</si>
  <si>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</si>
  <si>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</si>
  <si>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</si>
  <si>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</si>
  <si>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</si>
  <si>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</si>
  <si>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</si>
  <si>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</si>
  <si>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</si>
  <si>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</si>
  <si>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</si>
  <si>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</si>
  <si>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</si>
  <si>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</si>
  <si>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</si>
  <si>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</si>
  <si>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</si>
  <si>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</si>
  <si>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</si>
  <si>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</si>
  <si>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</si>
  <si>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</si>
  <si>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</si>
  <si>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</si>
  <si>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</si>
  <si>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</si>
  <si>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</si>
  <si>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</si>
  <si>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</si>
  <si>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</si>
  <si>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</si>
  <si>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</si>
  <si>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</si>
  <si>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</si>
  <si>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</si>
  <si>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</si>
  <si>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</si>
  <si>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</si>
  <si>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</si>
  <si>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</si>
  <si>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</si>
  <si>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</si>
  <si>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</si>
  <si>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</si>
  <si>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</si>
  <si>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</si>
  <si>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</si>
  <si>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</si>
  <si>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</si>
  <si>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</si>
  <si>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</si>
  <si>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</si>
  <si>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</si>
  <si>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</si>
  <si>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</si>
  <si>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</si>
  <si>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</si>
  <si>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</si>
  <si>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</si>
  <si>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</si>
  <si>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</si>
  <si>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</si>
  <si>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</si>
  <si>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</si>
  <si>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</si>
  <si>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</si>
  <si>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</si>
  <si>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</si>
  <si>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</si>
  <si>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</si>
  <si>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</si>
  <si>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</si>
  <si>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</si>
  <si>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</si>
  <si>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</si>
  <si>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</si>
  <si>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</si>
  <si>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</si>
  <si>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</si>
  <si>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</si>
  <si>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</si>
  <si>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</si>
  <si>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</si>
  <si>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</si>
  <si>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</si>
  <si>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</si>
  <si>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</si>
  <si>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</si>
  <si>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</si>
  <si>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</si>
  <si>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</si>
  <si>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</si>
  <si>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</si>
  <si>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</si>
  <si>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</si>
  <si>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</si>
  <si>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</si>
  <si>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</si>
  <si>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</si>
  <si>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</si>
  <si>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</si>
  <si>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</si>
  <si>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</si>
  <si>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</si>
  <si>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</si>
  <si>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</si>
  <si>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</si>
  <si>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</si>
  <si>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</si>
  <si>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</si>
  <si>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</si>
  <si>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</si>
  <si>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</si>
  <si>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</si>
  <si>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</si>
  <si>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</si>
  <si>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</si>
  <si>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</si>
  <si>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</si>
  <si>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</si>
  <si>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</si>
  <si>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</si>
  <si>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</si>
  <si>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</si>
  <si>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</si>
  <si>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</si>
  <si>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</si>
  <si>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</si>
  <si>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</si>
  <si>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</si>
  <si>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</si>
  <si>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</si>
  <si>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</si>
  <si>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</si>
  <si>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</si>
  <si>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</si>
  <si>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</si>
  <si>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</si>
  <si>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</si>
  <si>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</si>
  <si>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</si>
  <si>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</si>
  <si>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</si>
  <si>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</si>
  <si>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</si>
  <si>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</si>
  <si>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</si>
  <si>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</si>
  <si>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</si>
  <si>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</si>
  <si>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</si>
  <si>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</si>
  <si>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</si>
  <si>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</si>
  <si>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</si>
  <si>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</si>
  <si>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</si>
  <si>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</si>
  <si>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</si>
  <si>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</si>
  <si>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</si>
  <si>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</si>
  <si>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</si>
  <si>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</si>
  <si>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</si>
  <si>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</si>
  <si>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</si>
  <si>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</si>
  <si>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</si>
  <si>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</si>
  <si>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</si>
  <si>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</si>
  <si>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</si>
  <si>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</si>
  <si>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</si>
  <si>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</si>
  <si>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</si>
  <si>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</si>
  <si>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</si>
  <si>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</si>
  <si>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</si>
  <si>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</si>
  <si>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</si>
  <si>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</si>
  <si>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</si>
  <si>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</si>
  <si>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</si>
  <si>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</si>
  <si>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</si>
  <si>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</si>
  <si>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</si>
  <si>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</si>
  <si>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</si>
  <si>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</si>
  <si>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</si>
  <si>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</si>
  <si>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</si>
  <si>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</si>
  <si>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</si>
  <si>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</si>
  <si>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</si>
  <si>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</si>
  <si>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</si>
  <si>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</si>
  <si>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</si>
  <si>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</si>
  <si>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</si>
  <si>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</si>
  <si>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</si>
  <si>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</si>
  <si>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</si>
  <si>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</si>
  <si>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</si>
  <si>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</si>
  <si>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</si>
  <si>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</si>
  <si>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</si>
  <si>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</si>
  <si>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</si>
  <si>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</si>
  <si>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</si>
  <si>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</si>
  <si>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</si>
  <si>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</si>
  <si>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</si>
  <si>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</si>
  <si>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</si>
  <si>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</si>
  <si>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</si>
  <si>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</si>
  <si>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</si>
  <si>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</si>
  <si>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</si>
  <si>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</si>
  <si>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</si>
  <si>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</si>
  <si>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</si>
  <si>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</si>
  <si>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</si>
  <si>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</si>
  <si>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</si>
  <si>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</si>
  <si>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</si>
  <si>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</si>
  <si>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</si>
  <si>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</si>
  <si>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</si>
  <si>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</si>
  <si>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</si>
  <si>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</si>
  <si>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</si>
  <si>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</si>
  <si>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</si>
  <si>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</si>
  <si>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</si>
  <si>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</si>
  <si>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</si>
  <si>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</si>
  <si>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</si>
  <si>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</si>
  <si>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</si>
  <si>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</si>
  <si>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</si>
  <si>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</si>
  <si>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</si>
  <si>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</si>
  <si>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</si>
  <si>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</si>
  <si>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</si>
  <si>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</si>
  <si>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</si>
  <si>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</si>
  <si>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</si>
  <si>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</si>
  <si>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</si>
  <si>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</si>
  <si>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</si>
  <si>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</si>
  <si>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</si>
  <si>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</si>
  <si>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</si>
  <si>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</si>
  <si>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</si>
  <si>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</si>
  <si>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</si>
  <si>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</si>
  <si>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</si>
  <si>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</si>
  <si>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</si>
  <si>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</si>
  <si>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</si>
  <si>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</si>
  <si>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</si>
  <si>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</si>
  <si>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</si>
  <si>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</si>
  <si>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</si>
  <si>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</si>
  <si>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</si>
  <si>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</si>
  <si>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</si>
  <si>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</si>
  <si>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</si>
  <si>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</si>
  <si>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</si>
  <si>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</si>
  <si>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</si>
  <si>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</si>
  <si>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</si>
  <si>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</si>
  <si>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</si>
  <si>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</si>
  <si>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</si>
  <si>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</si>
  <si>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</si>
  <si>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</si>
  <si>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</si>
  <si>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</si>
  <si>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</si>
  <si>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</si>
  <si>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</si>
  <si>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</si>
  <si>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</si>
  <si>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</si>
  <si>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</si>
  <si>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</si>
  <si>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</si>
  <si>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</si>
  <si>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</si>
  <si>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</si>
  <si>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</si>
  <si>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</si>
  <si>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</si>
  <si>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</si>
  <si>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</si>
  <si>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</si>
  <si>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</si>
  <si>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</si>
  <si>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</si>
  <si>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</si>
  <si>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</si>
  <si>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</si>
  <si>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</si>
  <si>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</si>
  <si>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</si>
  <si>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</si>
  <si>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</si>
  <si>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</si>
  <si>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</si>
  <si>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</si>
  <si>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</si>
  <si>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</si>
  <si>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</si>
  <si>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</si>
  <si>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</si>
  <si>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</si>
  <si>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</si>
  <si>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</si>
  <si>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</si>
  <si>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</si>
  <si>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</si>
  <si>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</si>
  <si>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</si>
  <si>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</si>
  <si>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</si>
  <si>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</si>
  <si>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</si>
  <si>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</si>
  <si>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</si>
  <si>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</si>
  <si>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</si>
  <si>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</si>
  <si>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</si>
  <si>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</si>
  <si>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</si>
  <si>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</si>
  <si>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</si>
  <si>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</si>
  <si>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</si>
  <si>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</si>
  <si>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</si>
  <si>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</si>
  <si>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</si>
  <si>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</si>
  <si>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</si>
  <si>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</si>
  <si>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</si>
  <si>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</si>
  <si>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</si>
  <si>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</si>
  <si>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</si>
  <si>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</si>
  <si>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</si>
  <si>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</si>
  <si>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</si>
  <si>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</si>
  <si>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</si>
  <si>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</si>
  <si>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</si>
  <si>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</si>
  <si>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</si>
  <si>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</si>
  <si>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</si>
  <si>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</si>
  <si>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</si>
  <si>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</si>
  <si>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</si>
  <si>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</si>
  <si>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</si>
  <si>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</si>
  <si>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</si>
  <si>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</si>
  <si>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</si>
  <si>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</si>
  <si>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</si>
  <si>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</si>
  <si>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</si>
  <si>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</si>
  <si>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</si>
  <si>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</si>
  <si>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</si>
  <si>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</si>
  <si>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</si>
  <si>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</si>
  <si>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</si>
  <si>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</si>
  <si>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</si>
  <si>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</si>
  <si>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</si>
  <si>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</si>
  <si>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</si>
  <si>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</si>
  <si>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</si>
  <si>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</si>
  <si>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</si>
  <si>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</si>
  <si>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</si>
  <si>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</si>
  <si>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</si>
  <si>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</si>
  <si>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</si>
  <si>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</si>
  <si>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</si>
  <si>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</si>
  <si>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</si>
  <si>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</si>
  <si>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</si>
  <si>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</si>
  <si>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</si>
  <si>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</si>
  <si>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</si>
  <si>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</si>
  <si>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</si>
  <si>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</si>
  <si>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</si>
  <si>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</si>
  <si>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</si>
  <si>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</si>
  <si>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</si>
  <si>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</si>
  <si>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</si>
  <si>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</si>
  <si>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</si>
  <si>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</si>
  <si>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</si>
  <si>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</si>
  <si>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</si>
  <si>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</si>
  <si>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</si>
  <si>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</si>
  <si>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</si>
  <si>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</si>
  <si>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</si>
  <si>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</si>
  <si>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</si>
  <si>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</si>
  <si>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</si>
  <si>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</si>
  <si>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</si>
  <si>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</si>
  <si>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</si>
  <si>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</si>
  <si>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</si>
  <si>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</si>
  <si>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</si>
  <si>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</si>
  <si>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</si>
  <si>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</si>
  <si>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</si>
  <si>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</si>
  <si>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</si>
  <si>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</si>
  <si>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</si>
  <si>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</si>
  <si>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</si>
  <si>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</si>
  <si>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</si>
  <si>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</si>
  <si>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</si>
  <si>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</si>
  <si>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</si>
  <si>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</si>
  <si>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</si>
  <si>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</si>
  <si>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</si>
  <si>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</si>
  <si>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</si>
  <si>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</si>
  <si>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</si>
  <si>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</si>
  <si>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</si>
  <si>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</si>
  <si>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</si>
  <si>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</si>
  <si>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</si>
  <si>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</si>
  <si>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</si>
  <si>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</si>
  <si>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</si>
  <si>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</si>
  <si>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</si>
  <si>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</si>
  <si>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</si>
  <si>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</si>
  <si>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</si>
  <si>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</si>
  <si>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</si>
  <si>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</si>
  <si>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</si>
  <si>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</si>
  <si>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</si>
  <si>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</si>
  <si>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</si>
  <si>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</si>
  <si>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</si>
  <si>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</si>
  <si>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</si>
  <si>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</si>
  <si>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</si>
  <si>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</si>
  <si>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</si>
  <si>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</si>
  <si>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</si>
  <si>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</si>
  <si>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</si>
  <si>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</si>
  <si>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</si>
  <si>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</si>
  <si>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</si>
  <si>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</si>
  <si>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</si>
  <si>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</si>
  <si>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</si>
  <si>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</si>
  <si>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</si>
  <si>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</si>
  <si>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</si>
  <si>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</si>
  <si>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</si>
  <si>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</si>
  <si>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</si>
  <si>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</si>
  <si>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</si>
  <si>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</si>
  <si>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</si>
  <si>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</si>
  <si>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</si>
  <si>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</si>
  <si>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</si>
  <si>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</si>
  <si>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</si>
  <si>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</si>
  <si>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</si>
  <si>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</si>
  <si>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</si>
  <si>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</si>
  <si>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</si>
  <si>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</si>
  <si>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</si>
  <si>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</si>
  <si>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</si>
  <si>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</si>
  <si>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</si>
  <si>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</si>
  <si>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</si>
  <si>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</si>
  <si>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</si>
  <si>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</si>
  <si>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</si>
  <si>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</si>
  <si>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</si>
  <si>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</si>
  <si>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</si>
  <si>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</si>
  <si>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</si>
  <si>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</si>
  <si>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</si>
  <si>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</si>
  <si>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</si>
  <si>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</si>
  <si>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</si>
  <si>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</si>
  <si>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</si>
  <si>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</si>
  <si>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</si>
  <si>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</si>
  <si>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</si>
  <si>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</si>
  <si>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</si>
  <si>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</si>
  <si>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</si>
  <si>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</si>
  <si>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</si>
  <si>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</si>
  <si>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</si>
  <si>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</si>
  <si>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</si>
  <si>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</si>
  <si>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</si>
  <si>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</si>
  <si>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</si>
  <si>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</si>
  <si>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</si>
  <si>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</si>
  <si>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</si>
  <si>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</si>
  <si>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</si>
  <si>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</si>
  <si>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</si>
  <si>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</si>
  <si>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</si>
  <si>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</si>
  <si>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</si>
  <si>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</si>
  <si>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</si>
  <si>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</si>
  <si>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</si>
  <si>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</si>
  <si>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</si>
  <si>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</si>
  <si>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</si>
  <si>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</si>
  <si>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</si>
  <si>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</si>
  <si>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</si>
  <si>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</si>
  <si>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</si>
  <si>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</si>
  <si>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</si>
  <si>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</si>
  <si>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</si>
  <si>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</si>
  <si>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</si>
  <si>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</si>
  <si>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</si>
  <si>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</si>
  <si>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</si>
  <si>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</si>
  <si>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</si>
  <si>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</si>
  <si>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</si>
  <si>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</si>
  <si>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</si>
  <si>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</si>
  <si>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</si>
  <si>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</si>
  <si>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</si>
  <si>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</si>
  <si>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</si>
  <si>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</si>
  <si>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</si>
  <si>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</si>
  <si>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</si>
  <si>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</si>
  <si>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</si>
  <si>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</si>
  <si>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</si>
  <si>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</si>
  <si>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</si>
  <si>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</si>
  <si>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</si>
  <si>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</si>
  <si>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</si>
  <si>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</si>
  <si>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</si>
  <si>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</si>
  <si>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</si>
  <si>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</si>
  <si>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</si>
  <si>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</si>
  <si>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</si>
  <si>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</si>
  <si>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</si>
  <si>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</si>
  <si>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</si>
  <si>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</si>
  <si>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</si>
  <si>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</si>
  <si>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</si>
  <si>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</si>
  <si>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</si>
  <si>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</si>
  <si>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</si>
  <si>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</si>
  <si>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</si>
  <si>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</si>
  <si>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</si>
  <si>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</si>
  <si>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</si>
  <si>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</si>
  <si>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</si>
  <si>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</si>
  <si>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</si>
  <si>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</si>
  <si>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</si>
  <si>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</si>
  <si>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</si>
  <si>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</si>
  <si>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</si>
  <si>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</si>
  <si>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</si>
  <si>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</si>
  <si>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</si>
  <si>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</si>
  <si>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</si>
  <si>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</si>
  <si>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</si>
  <si>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</si>
  <si>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</si>
  <si>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</si>
  <si>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</si>
  <si>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</si>
  <si>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</si>
  <si>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</si>
  <si>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</si>
  <si>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</si>
  <si>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</si>
  <si>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</si>
  <si>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</si>
  <si>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</si>
  <si>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</si>
  <si>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</si>
  <si>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</si>
  <si>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</si>
  <si>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</si>
  <si>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</si>
  <si>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</si>
  <si>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</si>
  <si>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</si>
  <si>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</si>
  <si>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</si>
  <si>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</si>
  <si>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</si>
  <si>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</si>
  <si>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</si>
  <si>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</si>
  <si>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</si>
  <si>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</si>
  <si>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</si>
  <si>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</si>
  <si>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</si>
  <si>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</si>
  <si>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</si>
  <si>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</si>
  <si>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</si>
  <si>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</si>
  <si>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</si>
  <si>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</si>
  <si>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</si>
  <si>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</si>
  <si>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</si>
  <si>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</si>
  <si>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</si>
  <si>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</si>
  <si>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</si>
  <si>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</si>
  <si>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</si>
  <si>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</si>
  <si>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</si>
  <si>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</si>
  <si>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</si>
  <si>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</si>
  <si>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</si>
  <si>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</si>
  <si>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</si>
  <si>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</si>
  <si>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</si>
  <si>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</si>
  <si>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</si>
  <si>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</si>
  <si>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</si>
  <si>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</si>
  <si>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</si>
  <si>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</si>
  <si>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</si>
  <si>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</si>
  <si>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</si>
  <si>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</si>
  <si>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</si>
  <si>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</si>
  <si>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</si>
  <si>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</si>
  <si>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</si>
  <si>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</si>
  <si>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</si>
  <si>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</si>
  <si>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</si>
  <si>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</si>
  <si>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</si>
  <si>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</si>
  <si>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</si>
  <si>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</si>
  <si>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</si>
  <si>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</si>
  <si>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</si>
  <si>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</si>
  <si>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</si>
  <si>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</si>
  <si>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</si>
  <si>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</si>
  <si>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</si>
  <si>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</si>
  <si>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</si>
  <si>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</si>
  <si>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</si>
  <si>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</si>
  <si>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</si>
  <si>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</si>
  <si>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</si>
  <si>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</si>
  <si>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</si>
  <si>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</si>
  <si>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</si>
  <si>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</si>
  <si>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</si>
  <si>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</si>
  <si>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</si>
  <si>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</si>
  <si>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</si>
  <si>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</si>
  <si>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</si>
  <si>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</si>
  <si>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</si>
  <si>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</si>
  <si>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</si>
  <si>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</si>
  <si>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</si>
  <si>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</si>
  <si>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</si>
  <si>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</si>
  <si>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</si>
  <si>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</si>
  <si>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</si>
  <si>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</si>
  <si>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</si>
  <si>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</si>
  <si>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</si>
  <si>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</si>
  <si>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</si>
  <si>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</si>
  <si>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</si>
  <si>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</si>
  <si>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</si>
  <si>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</si>
  <si>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</si>
  <si>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</si>
  <si>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</si>
  <si>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</si>
  <si>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</si>
  <si>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</si>
  <si>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</si>
  <si>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</si>
  <si>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</si>
  <si>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</si>
  <si>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</si>
  <si>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</si>
  <si>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</si>
  <si>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</si>
  <si>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</si>
  <si>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</si>
  <si>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</si>
  <si>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</si>
  <si>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</si>
  <si>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</si>
  <si>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</si>
  <si>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</si>
  <si>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</si>
  <si>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</si>
  <si>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</si>
  <si>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</si>
  <si>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</si>
  <si>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</si>
  <si>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</si>
  <si>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</si>
  <si>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</si>
  <si>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</si>
  <si>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</si>
  <si>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</si>
  <si>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</si>
  <si>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</si>
  <si>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</si>
  <si>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</si>
  <si>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</si>
  <si>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</si>
  <si>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</si>
  <si>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</si>
  <si>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</si>
  <si>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</si>
  <si>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</si>
  <si>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</si>
  <si>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</si>
  <si>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</si>
  <si>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</si>
  <si>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</si>
  <si>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</si>
  <si>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</si>
  <si>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</si>
  <si>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</si>
  <si>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</si>
  <si>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</si>
  <si>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</si>
  <si>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</si>
  <si>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</si>
  <si>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</si>
  <si>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</si>
  <si>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</si>
  <si>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</si>
  <si>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</si>
  <si>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</si>
  <si>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</si>
  <si>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</si>
  <si>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</si>
  <si>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</si>
  <si>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</si>
  <si>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</si>
  <si>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</si>
  <si>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</si>
  <si>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</si>
  <si>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</si>
  <si>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</si>
  <si>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</si>
  <si>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</si>
  <si>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</si>
  <si>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</si>
  <si>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</si>
  <si>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</si>
  <si>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</si>
  <si>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</si>
  <si>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</si>
  <si>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</si>
  <si>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</si>
  <si>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</si>
  <si>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</si>
  <si>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</si>
  <si>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</si>
  <si>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</si>
  <si>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</si>
  <si>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</si>
  <si>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</si>
  <si>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</si>
  <si>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</si>
  <si>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</si>
  <si>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</si>
  <si>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</si>
  <si>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</si>
  <si>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</si>
  <si>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</si>
  <si>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</si>
  <si>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</si>
  <si>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</si>
  <si>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</si>
  <si>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</si>
  <si>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</si>
  <si>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</si>
  <si>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</si>
  <si>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</si>
  <si>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</si>
  <si>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</si>
  <si>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</si>
  <si>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</si>
  <si>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</si>
  <si>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</si>
  <si>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</si>
  <si>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</si>
  <si>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</si>
  <si>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</si>
  <si>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</si>
  <si>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</si>
  <si>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</si>
  <si>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</si>
  <si>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</si>
  <si>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</si>
  <si>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</si>
  <si>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</si>
  <si>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</si>
  <si>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</si>
  <si>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</si>
  <si>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</si>
  <si>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</si>
  <si>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</si>
  <si>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</si>
  <si>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</si>
  <si>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</si>
  <si>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</si>
  <si>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</si>
  <si>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</si>
  <si>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</si>
  <si>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</si>
  <si>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</si>
  <si>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</si>
  <si>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</si>
  <si>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</si>
  <si>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</si>
  <si>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</si>
  <si>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</si>
  <si>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</si>
  <si>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</si>
  <si>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</si>
  <si>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</si>
  <si>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</si>
  <si>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</si>
  <si>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</si>
  <si>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</si>
  <si>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</si>
  <si>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</si>
  <si>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</si>
  <si>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</si>
  <si>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</si>
  <si>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</si>
  <si>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</si>
  <si>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</si>
  <si>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</si>
  <si>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</si>
  <si>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</si>
  <si>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</si>
  <si>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</si>
  <si>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</si>
  <si>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</si>
  <si>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</si>
  <si>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</si>
  <si>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</si>
  <si>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</si>
  <si>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</si>
  <si>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</si>
  <si>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</si>
  <si>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</si>
  <si>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</si>
  <si>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</si>
  <si>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</si>
  <si>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</si>
  <si>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</si>
  <si>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</si>
  <si>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</si>
  <si>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</si>
  <si>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</si>
  <si>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</si>
  <si>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</si>
  <si>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</si>
  <si>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</si>
  <si>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</si>
  <si>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</si>
  <si>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</si>
  <si>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</si>
  <si>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</si>
  <si>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</si>
  <si>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</si>
  <si>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</si>
  <si>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</si>
  <si>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</si>
  <si>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</si>
  <si>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</si>
  <si>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</si>
  <si>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</si>
  <si>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</si>
  <si>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</si>
  <si>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</si>
  <si>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</si>
  <si>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</si>
  <si>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</si>
  <si>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</si>
  <si>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</si>
  <si>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</si>
  <si>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</si>
  <si>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</si>
  <si>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</si>
  <si>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</si>
  <si>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</si>
  <si>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</si>
  <si>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</si>
  <si>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</si>
  <si>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</si>
  <si>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</si>
  <si>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</si>
  <si>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</si>
  <si>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</si>
  <si>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</si>
  <si>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</si>
  <si>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</si>
  <si>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</si>
  <si>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</si>
  <si>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</si>
  <si>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</si>
  <si>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</si>
  <si>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</si>
  <si>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</si>
  <si>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</si>
  <si>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</si>
  <si>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</si>
  <si>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</si>
  <si>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</si>
  <si>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</si>
  <si>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</si>
  <si>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</si>
  <si>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</si>
  <si>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</si>
  <si>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</si>
  <si>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</si>
  <si>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</si>
  <si>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</si>
  <si>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</si>
  <si>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</si>
  <si>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</si>
  <si>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</si>
  <si>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</si>
  <si>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</si>
  <si>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</si>
  <si>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</si>
  <si>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</si>
  <si>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</si>
  <si>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</si>
  <si>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</si>
  <si>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</si>
  <si>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</si>
  <si>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</si>
  <si>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</si>
  <si>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</si>
  <si>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</si>
  <si>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</si>
  <si>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</si>
  <si>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</si>
  <si>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</si>
  <si>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</si>
  <si>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</si>
  <si>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</si>
  <si>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</si>
  <si>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</si>
  <si>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</si>
  <si>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</si>
  <si>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</si>
  <si>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</si>
  <si>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</si>
  <si>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</si>
  <si>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</si>
  <si>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</si>
  <si>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</si>
  <si>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</si>
  <si>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</si>
  <si>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</si>
  <si>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</si>
  <si>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</si>
  <si>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</si>
  <si>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</si>
  <si>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</si>
  <si>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</si>
  <si>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</si>
  <si>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</si>
  <si>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</si>
  <si>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</si>
  <si>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</si>
  <si>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</si>
  <si>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</si>
  <si>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</si>
  <si>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</si>
  <si>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</si>
  <si>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</si>
  <si>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</si>
  <si>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</si>
  <si>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</si>
  <si>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</si>
  <si>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</si>
  <si>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</si>
  <si>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</si>
  <si>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</si>
  <si>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</si>
  <si>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</si>
  <si>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</si>
  <si>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</si>
  <si>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</si>
  <si>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</si>
  <si>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</si>
  <si>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</si>
  <si>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</si>
  <si>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</si>
  <si>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</si>
  <si>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</si>
  <si>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</si>
  <si>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</si>
  <si>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</si>
  <si>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</si>
  <si>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</si>
  <si>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</si>
  <si>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</si>
  <si>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</si>
  <si>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</si>
  <si>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</si>
  <si>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</si>
  <si>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</si>
  <si>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</si>
  <si>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</si>
  <si>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</si>
  <si>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</si>
  <si>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</si>
  <si>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</si>
  <si>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</si>
  <si>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</si>
  <si>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</si>
  <si>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</si>
  <si>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</si>
  <si>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</si>
  <si>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</si>
  <si>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</si>
  <si>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</si>
  <si>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</si>
  <si>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</si>
  <si>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</si>
  <si>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</si>
  <si>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</si>
  <si>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</si>
  <si>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</si>
  <si>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</si>
  <si>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</si>
  <si>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</si>
  <si>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</si>
  <si>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</si>
  <si>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</si>
  <si>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</si>
  <si>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</si>
  <si>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</si>
  <si>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</si>
  <si>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</si>
  <si>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</si>
  <si>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</si>
  <si>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</si>
  <si>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</si>
  <si>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</si>
  <si>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</si>
  <si>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</si>
  <si>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</si>
  <si>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</si>
  <si>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</si>
  <si>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</si>
  <si>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</si>
  <si>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</si>
  <si>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</si>
  <si>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</si>
  <si>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</si>
  <si>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</si>
  <si>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</si>
  <si>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</si>
  <si>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</si>
  <si>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</si>
  <si>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</si>
  <si>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</si>
  <si>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</si>
  <si>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</si>
  <si>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</si>
  <si>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</si>
  <si>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</si>
  <si>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</si>
  <si>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</si>
  <si>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</si>
  <si>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</si>
  <si>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</si>
  <si>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</si>
  <si>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</si>
  <si>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</si>
  <si>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</si>
  <si>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</si>
  <si>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</si>
  <si>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</si>
  <si>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</si>
  <si>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</si>
  <si>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</si>
  <si>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</si>
  <si>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</si>
  <si>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</si>
  <si>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</si>
  <si>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</si>
  <si>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</si>
  <si>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</si>
  <si>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</si>
  <si>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</si>
  <si>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</si>
  <si>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</si>
  <si>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</si>
  <si>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</si>
  <si>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</si>
  <si>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</si>
  <si>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</si>
  <si>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</si>
  <si>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</si>
  <si>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</si>
  <si>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</si>
  <si>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</si>
  <si>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</si>
  <si>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</si>
  <si>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</si>
  <si>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</si>
  <si>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</si>
  <si>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</si>
  <si>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</si>
  <si>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</si>
  <si>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</si>
  <si>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</si>
  <si>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</si>
  <si>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</si>
  <si>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</si>
  <si>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</si>
  <si>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</si>
  <si>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</si>
  <si>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</si>
  <si>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</si>
  <si>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</si>
  <si>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</si>
  <si>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</si>
  <si>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</si>
  <si>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</si>
  <si>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</si>
  <si>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</si>
  <si>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</si>
  <si>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</si>
  <si>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</si>
  <si>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</si>
  <si>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</si>
  <si>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</si>
  <si>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</si>
  <si>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</si>
  <si>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</si>
  <si>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</si>
  <si>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</si>
  <si>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</si>
  <si>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</si>
  <si>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</si>
  <si>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</si>
  <si>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</si>
  <si>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</si>
  <si>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</si>
  <si>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</si>
  <si>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</si>
  <si>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</si>
  <si>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</si>
  <si>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</si>
  <si>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</si>
  <si>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</si>
  <si>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</si>
  <si>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</si>
  <si>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</si>
  <si>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</si>
  <si>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</si>
  <si>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</si>
  <si>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</si>
  <si>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</si>
  <si>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</si>
  <si>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</si>
  <si>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</si>
  <si>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</si>
  <si>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</si>
  <si>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</si>
  <si>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</si>
  <si>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</si>
  <si>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</si>
  <si>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</si>
  <si>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</si>
  <si>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</si>
  <si>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</si>
  <si>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</si>
  <si>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</si>
  <si>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</si>
  <si>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</si>
  <si>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</si>
  <si>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</si>
  <si>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</si>
  <si>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</si>
  <si>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</si>
  <si>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</si>
  <si>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</si>
  <si>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</si>
  <si>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</si>
  <si>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</si>
  <si>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</si>
  <si>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</si>
  <si>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</si>
  <si>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</si>
  <si>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</si>
  <si>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</si>
  <si>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</si>
  <si>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</si>
  <si>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</si>
  <si>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</si>
  <si>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</si>
  <si>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</si>
  <si>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</si>
  <si>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</si>
  <si>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</si>
  <si>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</si>
  <si>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</si>
  <si>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</si>
  <si>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</si>
  <si>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</si>
  <si>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</si>
  <si>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</si>
  <si>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</si>
  <si>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</si>
  <si>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</si>
  <si>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</si>
  <si>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</si>
  <si>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</si>
  <si>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</si>
  <si>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</si>
  <si>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</si>
  <si>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</si>
  <si>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</si>
  <si>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</si>
  <si>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</si>
  <si>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</si>
  <si>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</si>
  <si>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</si>
  <si>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</si>
  <si>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</si>
  <si>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</si>
  <si>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</si>
  <si>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</si>
  <si>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</si>
  <si>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</si>
  <si>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</si>
  <si>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</si>
  <si>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</si>
  <si>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</si>
  <si>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</si>
  <si>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</si>
  <si>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</si>
  <si>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</si>
  <si>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</si>
  <si>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</si>
  <si>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</si>
  <si>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</si>
  <si>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</si>
  <si>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</si>
  <si>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</si>
  <si>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</si>
  <si>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</si>
  <si>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</si>
  <si>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</si>
  <si>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</si>
  <si>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</si>
  <si>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</si>
  <si>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</si>
  <si>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</si>
  <si>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</si>
  <si>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</si>
  <si>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</si>
  <si>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</si>
  <si>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</si>
  <si>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</si>
  <si>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</si>
  <si>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</si>
  <si>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</si>
  <si>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</si>
  <si>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</si>
  <si>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</si>
  <si>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</si>
  <si>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</si>
  <si>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</si>
  <si>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</si>
  <si>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</si>
  <si>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</si>
  <si>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</si>
  <si>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</si>
  <si>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</si>
  <si>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</si>
  <si>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</si>
  <si>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</si>
  <si>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</si>
  <si>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</si>
  <si>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</si>
  <si>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</si>
  <si>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</si>
  <si>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</si>
  <si>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</si>
  <si>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</si>
  <si>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</si>
  <si>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</si>
  <si>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</si>
  <si>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</si>
  <si>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</si>
  <si>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</si>
  <si>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</si>
  <si>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</si>
  <si>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</si>
  <si>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</si>
  <si>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</si>
  <si>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</si>
  <si>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</si>
  <si>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</si>
  <si>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</si>
  <si>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</si>
  <si>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</si>
  <si>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</si>
  <si>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</si>
  <si>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</si>
  <si>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</si>
  <si>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</si>
  <si>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</si>
  <si>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</si>
  <si>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</si>
  <si>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</si>
  <si>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</si>
  <si>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</si>
  <si>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</si>
  <si>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</si>
  <si>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</si>
  <si>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</si>
  <si>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</si>
  <si>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</si>
  <si>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</si>
  <si>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</si>
  <si>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</si>
  <si>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</si>
  <si>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</si>
  <si>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</si>
  <si>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</si>
  <si>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</si>
  <si>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</si>
  <si>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</si>
  <si>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</si>
  <si>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</si>
  <si>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</si>
  <si>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</si>
  <si>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</si>
  <si>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</si>
  <si>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</si>
  <si>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</si>
  <si>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</si>
  <si>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</si>
  <si>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</si>
  <si>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</si>
  <si>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</si>
  <si>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</si>
  <si>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</si>
  <si>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</si>
  <si>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</si>
  <si>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</si>
  <si>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</si>
  <si>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</si>
  <si>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</si>
  <si>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</si>
  <si>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</si>
  <si>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</si>
  <si>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</si>
  <si>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</si>
  <si>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</si>
  <si>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</si>
  <si>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</si>
  <si>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</si>
  <si>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</si>
  <si>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</si>
  <si>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</si>
  <si>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</si>
  <si>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</si>
  <si>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</si>
  <si>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</si>
  <si>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</si>
  <si>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</si>
  <si>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</si>
  <si>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</si>
  <si>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</si>
  <si>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</si>
  <si>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</si>
  <si>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</si>
  <si>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</si>
  <si>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</si>
  <si>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</si>
  <si>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</si>
  <si>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</si>
  <si>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</si>
  <si>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</si>
  <si>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</si>
  <si>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</si>
  <si>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</si>
  <si>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</si>
  <si>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</si>
  <si>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</si>
  <si>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</si>
  <si>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</si>
  <si>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</si>
  <si>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</si>
  <si>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</si>
  <si>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</si>
  <si>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</si>
  <si>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</si>
  <si>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</si>
  <si>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</si>
  <si>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</si>
  <si>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</si>
  <si>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</si>
  <si>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</si>
  <si>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</si>
  <si>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</si>
  <si>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</si>
  <si>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</si>
  <si>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</si>
  <si>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</si>
  <si>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</si>
  <si>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</si>
  <si>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</si>
  <si>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</si>
  <si>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</si>
  <si>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</si>
  <si>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</si>
  <si>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</si>
  <si>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</si>
  <si>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</si>
  <si>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</si>
  <si>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</si>
  <si>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</si>
  <si>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</si>
  <si>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</si>
  <si>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</si>
  <si>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</si>
  <si>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</si>
  <si>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</si>
  <si>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</si>
  <si>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</si>
  <si>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</si>
  <si>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</si>
  <si>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</si>
  <si>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</si>
  <si>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</si>
  <si>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</si>
  <si>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</si>
  <si>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</si>
  <si>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</si>
  <si>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</si>
  <si>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</si>
  <si>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</si>
  <si>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</si>
  <si>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</si>
  <si>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</si>
  <si>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</si>
  <si>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</si>
  <si>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</si>
  <si>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</si>
  <si>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</si>
  <si>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</si>
  <si>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</si>
  <si>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</si>
  <si>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</si>
  <si>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</si>
  <si>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</si>
  <si>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</si>
  <si>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</si>
  <si>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</si>
  <si>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</si>
  <si>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</si>
  <si>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</si>
  <si>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</si>
  <si>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</si>
  <si>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</si>
  <si>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</si>
  <si>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</si>
  <si>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</si>
  <si>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</si>
  <si>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</si>
  <si>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</si>
  <si>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</si>
  <si>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</si>
  <si>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</si>
  <si>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</si>
  <si>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</si>
  <si>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</si>
  <si>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</si>
  <si>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</si>
  <si>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</si>
  <si>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</si>
  <si>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</si>
  <si>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</si>
  <si>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</si>
  <si>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</si>
  <si>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</si>
  <si>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</si>
  <si>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</si>
  <si>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</si>
  <si>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</si>
  <si>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</si>
  <si>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</si>
  <si>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</si>
  <si>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</si>
  <si>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</si>
  <si>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</si>
  <si>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</si>
  <si>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</si>
  <si>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</si>
  <si>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</si>
  <si>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</si>
  <si>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</si>
  <si>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</si>
  <si>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</si>
  <si>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</si>
  <si>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</si>
  <si>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</si>
  <si>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</si>
  <si>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</si>
  <si>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</si>
  <si>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</si>
  <si>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</si>
  <si>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</si>
  <si>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</si>
  <si>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</si>
  <si>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</si>
  <si>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</si>
  <si>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</si>
  <si>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</si>
  <si>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</si>
  <si>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</si>
  <si>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</si>
  <si>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</si>
  <si>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</si>
  <si>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</si>
  <si>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</si>
  <si>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</si>
  <si>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</si>
  <si>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</si>
  <si>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</si>
  <si>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</si>
  <si>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</si>
  <si>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</si>
  <si>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</si>
  <si>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</si>
  <si>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</si>
  <si>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</si>
  <si>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</si>
  <si>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</si>
  <si>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</si>
  <si>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</si>
  <si>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</si>
  <si>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</si>
  <si>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</si>
  <si>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</si>
  <si>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</si>
  <si>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</si>
  <si>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</si>
  <si>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</si>
  <si>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</si>
  <si>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</si>
  <si>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</si>
  <si>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</si>
  <si>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</si>
  <si>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</si>
  <si>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</si>
  <si>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</si>
  <si>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</si>
  <si>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</si>
  <si>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</si>
  <si>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</si>
  <si>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</si>
  <si>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</si>
  <si>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</si>
  <si>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</si>
  <si>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</si>
  <si>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</si>
  <si>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</si>
  <si>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</si>
  <si>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</si>
  <si>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</si>
  <si>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</si>
  <si>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</si>
  <si>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</si>
  <si>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</si>
  <si>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</si>
  <si>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</si>
  <si>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</si>
  <si>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</si>
  <si>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</si>
  <si>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</si>
  <si>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</si>
  <si>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</si>
  <si>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</si>
  <si>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</si>
  <si>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</si>
  <si>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</si>
  <si>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</si>
  <si>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</si>
  <si>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</si>
  <si>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</si>
  <si>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</si>
  <si>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</si>
  <si>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</si>
  <si>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</si>
  <si>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</si>
  <si>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</si>
  <si>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</si>
  <si>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</si>
  <si>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</si>
  <si>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</si>
  <si>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</si>
  <si>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</si>
  <si>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</si>
  <si>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</si>
  <si>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</si>
  <si>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</si>
  <si>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</si>
  <si>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</si>
  <si>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</si>
  <si>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</si>
  <si>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</si>
  <si>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</si>
  <si>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</si>
  <si>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</si>
  <si>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</si>
  <si>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</si>
  <si>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</si>
  <si>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</si>
  <si>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</si>
  <si>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</si>
  <si>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</si>
  <si>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</si>
  <si>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</si>
  <si>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</si>
  <si>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</si>
  <si>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</si>
  <si>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</si>
  <si>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</si>
  <si>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</si>
  <si>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</si>
  <si>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</si>
  <si>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</si>
  <si>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</si>
  <si>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</si>
  <si>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</si>
  <si>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</si>
  <si>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</si>
  <si>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</si>
  <si>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</si>
  <si>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</si>
  <si>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</si>
  <si>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</si>
  <si>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</si>
  <si>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</si>
  <si>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</si>
  <si>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</si>
  <si>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</si>
  <si>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</si>
  <si>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</si>
  <si>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</si>
  <si>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</si>
  <si>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</si>
  <si>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</si>
  <si>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</si>
  <si>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</si>
  <si>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</si>
  <si>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</si>
  <si>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</si>
  <si>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</si>
  <si>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</si>
  <si>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</si>
  <si>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</si>
  <si>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</si>
  <si>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</si>
  <si>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</si>
  <si>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</si>
  <si>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</si>
  <si>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</si>
  <si>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</si>
  <si>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</si>
  <si>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</si>
  <si>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</si>
  <si>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</si>
  <si>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</si>
  <si>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</si>
  <si>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</si>
  <si>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</si>
  <si>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</si>
  <si>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</si>
  <si>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</si>
  <si>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</si>
  <si>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</si>
  <si>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</si>
  <si>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</si>
  <si>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</si>
  <si>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</si>
  <si>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</si>
  <si>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</si>
  <si>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</si>
  <si>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</si>
  <si>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</si>
  <si>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</si>
  <si>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</si>
  <si>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</si>
  <si>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</si>
  <si>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</si>
  <si>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</si>
  <si>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</si>
  <si>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</si>
  <si>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</si>
  <si>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</si>
  <si>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</si>
  <si>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</si>
  <si>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</si>
  <si>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</si>
  <si>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</si>
  <si>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</si>
  <si>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</si>
  <si>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</si>
  <si>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</si>
  <si>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</si>
  <si>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</si>
  <si>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</si>
  <si>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</si>
  <si>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</si>
  <si>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</si>
  <si>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</si>
  <si>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</si>
  <si>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</si>
  <si>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</si>
  <si>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</si>
  <si>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</si>
  <si>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</si>
  <si>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</si>
  <si>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</si>
  <si>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</si>
  <si>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</si>
  <si>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</si>
  <si>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</si>
  <si>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</si>
  <si>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</si>
  <si>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</si>
  <si>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</si>
  <si>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</si>
  <si>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</si>
  <si>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</si>
  <si>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</si>
  <si>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</si>
  <si>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</si>
  <si>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</si>
  <si>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</si>
  <si>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</si>
  <si>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</si>
  <si>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</si>
  <si>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</si>
  <si>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</si>
  <si>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</si>
  <si>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</si>
  <si>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</si>
  <si>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</si>
  <si>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</si>
  <si>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</si>
  <si>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</si>
  <si>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</si>
  <si>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</si>
  <si>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</si>
  <si>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</si>
  <si>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</si>
  <si>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</si>
  <si>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</si>
  <si>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</si>
  <si>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</si>
  <si>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</si>
  <si>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</si>
  <si>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</si>
  <si>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</si>
  <si>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</si>
  <si>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</si>
  <si>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</si>
  <si>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</si>
  <si>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</si>
  <si>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</si>
  <si>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</si>
  <si>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</si>
  <si>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</si>
  <si>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</si>
  <si>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</si>
  <si>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</si>
  <si>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</si>
  <si>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</si>
  <si>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</si>
  <si>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</si>
  <si>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</si>
  <si>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</si>
  <si>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</si>
  <si>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</si>
  <si>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</si>
  <si>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</si>
  <si>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</si>
  <si>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</si>
  <si>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</si>
  <si>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</si>
  <si>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</si>
  <si>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</si>
  <si>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</si>
  <si>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</si>
  <si>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</si>
  <si>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</si>
  <si>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</si>
  <si>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</si>
  <si>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</si>
  <si>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</si>
  <si>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</si>
  <si>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</si>
  <si>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</si>
  <si>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</si>
  <si>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</si>
  <si>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</si>
  <si>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</si>
  <si>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</si>
  <si>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</si>
  <si>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</si>
  <si>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</si>
  <si>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</si>
  <si>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</si>
  <si>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</si>
  <si>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</si>
  <si>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</si>
  <si>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</si>
  <si>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</si>
  <si>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</si>
  <si>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</si>
  <si>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</si>
  <si>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</si>
  <si>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</si>
  <si>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</si>
  <si>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</si>
  <si>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</si>
  <si>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</si>
  <si>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</si>
  <si>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</si>
  <si>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</si>
  <si>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</si>
  <si>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</si>
  <si>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</si>
  <si>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</si>
  <si>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</si>
  <si>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</si>
  <si>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</si>
  <si>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</si>
  <si>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</si>
  <si>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</si>
  <si>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</si>
  <si>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</si>
  <si>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</si>
  <si>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</si>
  <si>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</si>
  <si>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</si>
  <si>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</si>
  <si>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</si>
  <si>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</si>
  <si>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</si>
  <si>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</si>
  <si>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</si>
  <si>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</si>
  <si>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</si>
  <si>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</si>
  <si>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</si>
  <si>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</si>
  <si>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</si>
  <si>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</si>
  <si>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</si>
  <si>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</si>
  <si>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</si>
  <si>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</si>
  <si>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</si>
  <si>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</si>
  <si>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</si>
  <si>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</si>
  <si>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</si>
  <si>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</si>
  <si>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</si>
  <si>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</si>
  <si>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</si>
  <si>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</si>
  <si>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</si>
  <si>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</si>
  <si>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</si>
  <si>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</si>
  <si>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</si>
  <si>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</si>
  <si>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</si>
  <si>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</si>
  <si>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</si>
  <si>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</si>
  <si>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</si>
  <si>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</si>
  <si>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</si>
  <si>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</si>
  <si>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</si>
  <si>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</si>
  <si>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</si>
  <si>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</si>
  <si>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</si>
  <si>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</si>
  <si>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</si>
  <si>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</si>
  <si>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</si>
  <si>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</si>
  <si>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</si>
  <si>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</si>
  <si>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</si>
  <si>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</si>
  <si>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</si>
  <si>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</si>
  <si>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</si>
  <si>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</si>
  <si>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</si>
  <si>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</si>
  <si>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</si>
  <si>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</si>
  <si>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</si>
  <si>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</si>
  <si>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</si>
  <si>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</si>
  <si>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</si>
  <si>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</si>
  <si>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</si>
  <si>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</si>
  <si>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</si>
  <si>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</si>
  <si>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</si>
  <si>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</si>
  <si>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</si>
  <si>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</si>
  <si>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</si>
  <si>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</si>
  <si>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</si>
  <si>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</si>
  <si>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</si>
  <si>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</si>
  <si>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</si>
  <si>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</si>
  <si>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</si>
  <si>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</si>
  <si>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</si>
  <si>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</si>
  <si>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</si>
  <si>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</si>
  <si>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</si>
  <si>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</si>
  <si>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</si>
  <si>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</si>
  <si>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</si>
  <si>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</si>
  <si>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</si>
  <si>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</si>
  <si>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</si>
  <si>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</si>
  <si>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</si>
  <si>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</si>
  <si>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</si>
  <si>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</si>
  <si>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</si>
  <si>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</si>
  <si>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</si>
  <si>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</si>
  <si>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</si>
  <si>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</si>
  <si>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</si>
  <si>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</si>
  <si>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</si>
  <si>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</si>
  <si>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</si>
  <si>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</si>
  <si>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</si>
  <si>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</si>
  <si>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</si>
  <si>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</si>
  <si>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</si>
  <si>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</si>
  <si>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</si>
  <si>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</si>
  <si>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</si>
  <si>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</si>
  <si>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</si>
  <si>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</si>
  <si>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</si>
  <si>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</si>
  <si>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</si>
  <si>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</si>
  <si>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</si>
  <si>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</si>
  <si>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</si>
  <si>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</si>
  <si>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</si>
  <si>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</si>
  <si>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</si>
  <si>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</si>
  <si>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</si>
  <si>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</si>
  <si>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</si>
  <si>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</si>
  <si>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</si>
  <si>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</si>
  <si>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</si>
  <si>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</si>
  <si>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</si>
  <si>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</si>
  <si>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</si>
  <si>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</si>
  <si>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</si>
  <si>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</si>
  <si>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</si>
  <si>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</si>
  <si>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</si>
  <si>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</si>
  <si>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</si>
  <si>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</si>
  <si>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</si>
  <si>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</si>
  <si>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</si>
  <si>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</si>
  <si>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</si>
  <si>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</si>
  <si>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</si>
  <si>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</si>
  <si>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</si>
  <si>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</si>
  <si>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</si>
  <si>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</si>
  <si>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</si>
  <si>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</si>
  <si>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</si>
  <si>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</si>
  <si>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</si>
  <si>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</si>
  <si>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</si>
  <si>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</si>
  <si>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</si>
  <si>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</si>
  <si>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</si>
  <si>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</si>
  <si>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</si>
  <si>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</si>
  <si>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</si>
  <si>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</si>
  <si>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</si>
  <si>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</si>
  <si>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</si>
  <si>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</si>
  <si>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</si>
  <si>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</si>
  <si>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</si>
  <si>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</si>
  <si>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</si>
  <si>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</si>
  <si>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</si>
  <si>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</si>
  <si>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</si>
  <si>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</si>
  <si>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</si>
  <si>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</si>
  <si>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</si>
  <si>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</si>
  <si>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</si>
  <si>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</si>
  <si>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</si>
  <si>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</si>
  <si>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</si>
  <si>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</si>
  <si>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</si>
  <si>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</si>
  <si>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</si>
  <si>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</si>
  <si>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</si>
  <si>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</si>
  <si>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</si>
  <si>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</si>
  <si>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</si>
  <si>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</si>
  <si>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</si>
  <si>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</si>
  <si>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</si>
  <si>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</si>
  <si>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</si>
  <si>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</si>
  <si>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</si>
  <si>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</si>
  <si>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</si>
  <si>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</si>
  <si>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</si>
  <si>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</si>
  <si>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</si>
  <si>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</si>
  <si>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</si>
  <si>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</si>
  <si>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</si>
  <si>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</si>
  <si>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</si>
  <si>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</si>
  <si>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</si>
  <si>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</si>
  <si>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</si>
  <si>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</si>
  <si>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</si>
  <si>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</si>
  <si>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</si>
  <si>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</si>
  <si>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</si>
  <si>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</si>
  <si>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</si>
  <si>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</si>
  <si>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</si>
  <si>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</si>
  <si>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</si>
  <si>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</si>
  <si>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</si>
  <si>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</si>
  <si>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</si>
  <si>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</si>
  <si>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</si>
  <si>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</si>
  <si>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</si>
  <si>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</si>
  <si>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</si>
  <si>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</si>
  <si>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</si>
  <si>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</si>
  <si>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</si>
  <si>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</si>
  <si>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</si>
  <si>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</si>
  <si>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</si>
  <si>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</si>
  <si>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</si>
  <si>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</si>
  <si>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</si>
  <si>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</si>
  <si>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</si>
  <si>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</si>
  <si>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</si>
  <si>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</si>
  <si>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</si>
  <si>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</si>
  <si>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</si>
  <si>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</si>
  <si>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</si>
  <si>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</si>
  <si>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</si>
  <si>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</si>
  <si>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</si>
  <si>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</si>
  <si>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</si>
  <si>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</si>
  <si>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</si>
  <si>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</si>
  <si>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</si>
  <si>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</si>
  <si>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</si>
  <si>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</si>
  <si>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</si>
  <si>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</si>
  <si>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</si>
  <si>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</si>
  <si>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</si>
  <si>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</si>
  <si>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</si>
  <si>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</si>
  <si>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</si>
  <si>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</si>
  <si>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</si>
  <si>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</si>
  <si>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</si>
  <si>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</si>
  <si>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</si>
  <si>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</si>
  <si>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</si>
  <si>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</si>
  <si>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</si>
  <si>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</si>
  <si>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</si>
  <si>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</si>
  <si>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</si>
  <si>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</si>
  <si>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</si>
  <si>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</si>
  <si>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</si>
  <si>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</si>
  <si>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</si>
  <si>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</si>
  <si>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</si>
  <si>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</si>
  <si>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</si>
  <si>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</si>
  <si>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</si>
  <si>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</si>
  <si>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</si>
  <si>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</si>
  <si>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</si>
  <si>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</si>
  <si>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</si>
  <si>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</si>
  <si>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</si>
  <si>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</si>
  <si>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</si>
  <si>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</si>
  <si>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</si>
  <si>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</si>
  <si>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</si>
  <si>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</si>
  <si>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</si>
  <si>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</si>
  <si>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</si>
  <si>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</si>
  <si>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</si>
  <si>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</si>
  <si>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</si>
  <si>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</si>
  <si>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</si>
  <si>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</si>
  <si>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</si>
  <si>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</si>
  <si>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</si>
  <si>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</si>
  <si>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</si>
  <si>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</si>
  <si>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</si>
  <si>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</si>
  <si>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</si>
  <si>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</si>
  <si>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</si>
  <si>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</si>
  <si>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</si>
  <si>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</si>
  <si>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</si>
  <si>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</si>
  <si>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</si>
  <si>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</si>
  <si>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</si>
  <si>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</si>
  <si>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</si>
  <si>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</si>
  <si>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</si>
  <si>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</si>
  <si>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</si>
  <si>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</si>
  <si>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</si>
  <si>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</si>
  <si>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</si>
  <si>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</si>
  <si>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</si>
  <si>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</si>
  <si>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</si>
  <si>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</si>
  <si>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</si>
  <si>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</si>
  <si>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</si>
  <si>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</si>
  <si>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</si>
  <si>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</si>
  <si>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</si>
  <si>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</si>
  <si>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</si>
  <si>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</si>
  <si>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</si>
  <si>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</si>
  <si>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</si>
  <si>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</si>
  <si>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</si>
  <si>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</si>
  <si>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</si>
  <si>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</si>
  <si>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</si>
  <si>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</si>
  <si>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</si>
  <si>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</si>
  <si>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</si>
  <si>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</si>
  <si>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</si>
  <si>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</si>
  <si>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</si>
  <si>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</si>
  <si>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</si>
  <si>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</si>
  <si>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</si>
  <si>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</si>
  <si>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</si>
  <si>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</si>
  <si>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</si>
  <si>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</si>
  <si>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</si>
  <si>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</si>
  <si>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</si>
  <si>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</si>
  <si>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</si>
  <si>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</si>
  <si>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</si>
  <si>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</si>
  <si>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</si>
  <si>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</si>
  <si>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</si>
  <si>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</si>
  <si>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</si>
  <si>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</si>
  <si>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</si>
  <si>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</si>
  <si>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</si>
  <si>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</si>
  <si>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</si>
  <si>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</si>
  <si>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</si>
  <si>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</si>
  <si>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</si>
  <si>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</si>
  <si>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</si>
  <si>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</si>
  <si>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</si>
  <si>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</si>
  <si>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</si>
  <si>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</si>
  <si>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</si>
  <si>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</si>
  <si>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</si>
  <si>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</si>
  <si>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</si>
  <si>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</si>
  <si>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</si>
  <si>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</si>
  <si>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</si>
  <si>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</si>
  <si>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</si>
  <si>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</si>
  <si>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</si>
  <si>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</si>
  <si>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</si>
  <si>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</si>
  <si>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</si>
  <si>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</si>
  <si>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</si>
  <si>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</si>
  <si>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</si>
  <si>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</si>
  <si>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</si>
  <si>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</si>
  <si>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</si>
  <si>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</si>
  <si>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</si>
  <si>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</si>
  <si>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</si>
  <si>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</si>
  <si>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</si>
  <si>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</si>
  <si>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</si>
  <si>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</si>
  <si>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</si>
  <si>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</si>
  <si>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</si>
  <si>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</si>
  <si>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</si>
  <si>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</si>
  <si>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</si>
  <si>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</si>
  <si>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</si>
  <si>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</si>
  <si>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</si>
  <si>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</si>
  <si>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</si>
  <si>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</si>
  <si>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</si>
  <si>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</si>
  <si>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</si>
  <si>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</si>
  <si>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</si>
  <si>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</si>
  <si>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</si>
  <si>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</si>
  <si>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</si>
  <si>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</si>
  <si>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</si>
  <si>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</si>
  <si>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</si>
  <si>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</si>
  <si>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</si>
  <si>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</si>
  <si>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</si>
  <si>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</si>
  <si>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</si>
  <si>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</si>
  <si>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</si>
  <si>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</si>
  <si>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</si>
  <si>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</si>
  <si>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</si>
  <si>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</si>
  <si>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</si>
  <si>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</si>
  <si>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</si>
  <si>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</si>
  <si>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</si>
  <si>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</si>
  <si>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</si>
  <si>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</si>
  <si>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</si>
  <si>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</si>
  <si>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</si>
  <si>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</si>
  <si>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</si>
  <si>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</si>
  <si>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</si>
  <si>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</si>
  <si>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</si>
  <si>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</si>
  <si>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</si>
  <si>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</si>
  <si>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</si>
  <si>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</si>
  <si>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</si>
  <si>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</si>
  <si>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</si>
  <si>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</si>
  <si>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</si>
  <si>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</si>
  <si>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</si>
  <si>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</si>
  <si>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</si>
  <si>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</si>
  <si>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</si>
  <si>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</si>
  <si>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</si>
  <si>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</si>
  <si>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</si>
  <si>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</si>
  <si>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</si>
  <si>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</si>
  <si>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</si>
  <si>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</si>
  <si>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</si>
  <si>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</si>
  <si>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</si>
  <si>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</si>
  <si>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</si>
  <si>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</si>
  <si>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</si>
  <si>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</si>
  <si>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</si>
  <si>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</si>
  <si>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</si>
  <si>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</si>
  <si>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</si>
  <si>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</si>
  <si>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</si>
  <si>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</si>
  <si>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</si>
  <si>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</si>
  <si>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</si>
  <si>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</si>
  <si>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</si>
  <si>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</si>
  <si>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</si>
  <si>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</si>
  <si>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</si>
  <si>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</si>
  <si>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</si>
  <si>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</si>
  <si>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</si>
  <si>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</si>
  <si>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</si>
  <si>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</si>
  <si>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</si>
  <si>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</si>
  <si>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</si>
  <si>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</si>
  <si>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</si>
  <si>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</si>
  <si>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</si>
  <si>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</si>
  <si>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</si>
  <si>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</si>
  <si>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</si>
  <si>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</si>
  <si>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</si>
  <si>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</si>
  <si>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</si>
  <si>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</si>
  <si>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</si>
  <si>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</si>
  <si>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</si>
  <si>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</si>
  <si>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</si>
  <si>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</si>
  <si>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</si>
  <si>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</si>
  <si>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</si>
  <si>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</si>
  <si>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</si>
  <si>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</si>
  <si>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</si>
  <si>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</si>
  <si>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</si>
  <si>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</si>
  <si>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</si>
  <si>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</si>
  <si>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</si>
  <si>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</si>
  <si>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</si>
  <si>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</si>
  <si>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</si>
  <si>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</si>
  <si>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</si>
  <si>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</si>
  <si>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</si>
  <si>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</si>
  <si>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</si>
  <si>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</si>
  <si>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</si>
  <si>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</si>
  <si>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</si>
  <si>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</si>
  <si>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</si>
  <si>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</si>
  <si>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</si>
  <si>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</si>
  <si>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</si>
  <si>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</si>
  <si>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</si>
  <si>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</si>
  <si>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</si>
  <si>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</si>
  <si>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</si>
  <si>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</si>
  <si>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</si>
  <si>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</si>
  <si>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</si>
  <si>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</si>
  <si>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</si>
  <si>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</si>
  <si>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</si>
  <si>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</si>
  <si>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</si>
  <si>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</si>
  <si>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</si>
  <si>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</si>
  <si>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</si>
  <si>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</si>
  <si>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</si>
  <si>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</si>
  <si>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</si>
  <si>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</si>
  <si>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</si>
  <si>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</si>
  <si>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</si>
  <si>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</si>
  <si>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</si>
  <si>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</si>
  <si>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</si>
  <si>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</si>
  <si>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</si>
  <si>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</si>
  <si>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</si>
  <si>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</si>
  <si>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</si>
  <si>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</si>
  <si>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</si>
  <si>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</si>
  <si>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</si>
  <si>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</si>
  <si>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</si>
  <si>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</si>
  <si>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</si>
  <si>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</si>
  <si>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</si>
  <si>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</si>
  <si>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</si>
  <si>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</si>
  <si>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</si>
  <si>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</si>
  <si>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</si>
  <si>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</si>
  <si>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</si>
  <si>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</si>
  <si>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</si>
  <si>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</si>
  <si>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</si>
  <si>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</si>
  <si>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</si>
  <si>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</si>
  <si>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</si>
  <si>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</si>
  <si>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</si>
  <si>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</si>
  <si>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</si>
  <si>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</si>
  <si>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</si>
  <si>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</si>
  <si>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</si>
  <si>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</si>
  <si>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</si>
  <si>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</si>
  <si>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</si>
  <si>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</si>
  <si>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</si>
  <si>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</si>
  <si>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</si>
  <si>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</si>
  <si>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</si>
  <si>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</si>
  <si>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</si>
  <si>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</si>
  <si>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</si>
  <si>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</si>
  <si>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</si>
  <si>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</si>
  <si>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</si>
  <si>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</si>
  <si>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</si>
  <si>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</si>
  <si>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</si>
  <si>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</si>
  <si>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</si>
  <si>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</si>
  <si>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</si>
  <si>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</si>
  <si>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</si>
  <si>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</si>
  <si>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</si>
  <si>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</si>
  <si>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</si>
  <si>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</si>
  <si>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</si>
  <si>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</si>
  <si>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</si>
  <si>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</si>
  <si>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</si>
  <si>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</si>
  <si>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</si>
  <si>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</si>
  <si>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</si>
  <si>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</si>
  <si>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</si>
  <si>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</si>
  <si>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</si>
  <si>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</si>
  <si>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</si>
  <si>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</si>
  <si>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</si>
  <si>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</si>
  <si>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</si>
  <si>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</si>
  <si>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</si>
  <si>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</si>
  <si>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</si>
  <si>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</si>
  <si>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</si>
  <si>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</si>
  <si>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</si>
  <si>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</si>
  <si>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</si>
  <si>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</si>
  <si>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</si>
  <si>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</si>
  <si>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</si>
  <si>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</si>
  <si>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</si>
  <si>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</si>
  <si>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</si>
  <si>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</si>
  <si>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</si>
  <si>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</si>
  <si>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</si>
  <si>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</si>
  <si>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</si>
  <si>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</si>
  <si>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</si>
  <si>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</si>
  <si>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</si>
  <si>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</si>
  <si>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</si>
  <si>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</si>
  <si>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</si>
  <si>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</si>
  <si>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</si>
  <si>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</si>
  <si>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</si>
  <si>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</si>
  <si>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</si>
  <si>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</si>
  <si>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</si>
  <si>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</si>
  <si>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</si>
  <si>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</si>
  <si>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</si>
  <si>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</si>
  <si>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</si>
  <si>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</si>
  <si>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</si>
  <si>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</si>
  <si>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</si>
  <si>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</si>
  <si>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</si>
  <si>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</si>
  <si>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</si>
  <si>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</si>
  <si>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</si>
  <si>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</si>
  <si>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</si>
  <si>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</si>
  <si>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</si>
  <si>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</si>
  <si>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</si>
  <si>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</si>
  <si>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</si>
  <si>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</si>
  <si>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</si>
  <si>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</si>
  <si>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</si>
  <si>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</si>
  <si>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</si>
  <si>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</si>
  <si>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</si>
  <si>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</si>
  <si>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</si>
  <si>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</si>
  <si>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</si>
  <si>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</si>
  <si>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</si>
  <si>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</si>
  <si>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</si>
  <si>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</si>
  <si>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</si>
  <si>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</si>
  <si>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</si>
  <si>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</si>
  <si>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</si>
  <si>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</si>
  <si>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</si>
  <si>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</si>
  <si>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</si>
  <si>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</si>
  <si>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</si>
  <si>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</si>
  <si>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</si>
  <si>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</si>
  <si>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</si>
  <si>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</si>
  <si>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</si>
  <si>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</si>
  <si>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</si>
  <si>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</si>
  <si>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</si>
  <si>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</si>
  <si>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</si>
  <si>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</si>
  <si>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</si>
  <si>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</si>
  <si>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</si>
  <si>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</si>
  <si>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</si>
  <si>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</si>
  <si>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</si>
  <si>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</si>
  <si>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</si>
  <si>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</si>
  <si>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</si>
  <si>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</si>
  <si>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</si>
  <si>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</si>
  <si>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</si>
  <si>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</si>
  <si>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</si>
  <si>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</si>
  <si>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</si>
  <si>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</si>
  <si>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</si>
  <si>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</si>
  <si>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</si>
  <si>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</si>
  <si>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</si>
  <si>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</si>
  <si>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</si>
  <si>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</si>
  <si>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</si>
  <si>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</si>
  <si>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</si>
  <si>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</si>
  <si>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</si>
  <si>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</si>
  <si>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</si>
  <si>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</si>
  <si>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</si>
  <si>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</si>
  <si>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</si>
  <si>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</si>
  <si>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</si>
  <si>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</si>
  <si>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</si>
  <si>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</si>
  <si>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</si>
  <si>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</si>
  <si>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</si>
  <si>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</si>
  <si>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</si>
  <si>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</si>
  <si>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</si>
  <si>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</si>
  <si>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</si>
  <si>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</si>
  <si>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</si>
  <si>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</si>
  <si>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</si>
  <si>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</si>
  <si>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</si>
  <si>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</si>
  <si>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</si>
  <si>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</si>
  <si>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</si>
  <si>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</si>
  <si>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</si>
  <si>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</si>
  <si>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</si>
  <si>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</si>
  <si>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</si>
  <si>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</si>
  <si>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</si>
  <si>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</si>
  <si>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</si>
  <si>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</si>
  <si>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</si>
  <si>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</si>
  <si>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</si>
  <si>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</si>
  <si>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</si>
  <si>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</si>
  <si>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</si>
  <si>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</si>
  <si>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</si>
  <si>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</si>
  <si>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</si>
  <si>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</si>
  <si>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</si>
  <si>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</si>
  <si>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</si>
  <si>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</si>
  <si>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</si>
  <si>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</si>
  <si>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</si>
  <si>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</si>
  <si>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</si>
  <si>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</si>
  <si>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</si>
  <si>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</si>
  <si>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</si>
  <si>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</si>
  <si>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</si>
  <si>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</si>
  <si>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</si>
  <si>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</si>
  <si>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</si>
  <si>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</si>
  <si>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</si>
  <si>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</si>
  <si>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</si>
  <si>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</si>
  <si>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</si>
  <si>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</si>
  <si>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</si>
  <si>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</si>
  <si>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</si>
  <si>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</si>
  <si>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</si>
  <si>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</si>
  <si>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</si>
  <si>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</si>
  <si>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</si>
  <si>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</si>
  <si>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</si>
  <si>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</si>
  <si>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</si>
  <si>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</si>
  <si>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</si>
  <si>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</si>
  <si>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</si>
  <si>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</si>
  <si>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</si>
  <si>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</si>
  <si>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</si>
  <si>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</si>
  <si>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</si>
  <si>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</si>
  <si>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</si>
  <si>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</si>
  <si>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</si>
  <si>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</si>
  <si>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</si>
  <si>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</si>
  <si>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</si>
  <si>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</si>
  <si>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</si>
  <si>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</si>
  <si>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</si>
  <si>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</si>
  <si>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</si>
  <si>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</si>
  <si>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</si>
  <si>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</si>
  <si>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</si>
  <si>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</si>
  <si>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</si>
  <si>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</si>
  <si>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</si>
  <si>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</si>
  <si>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</si>
  <si>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</si>
  <si>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</si>
  <si>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</si>
  <si>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</si>
  <si>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</si>
  <si>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</si>
  <si>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</si>
  <si>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</si>
  <si>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</si>
  <si>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</si>
  <si>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</si>
  <si>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</si>
  <si>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</si>
  <si>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</si>
  <si>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</si>
  <si>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</si>
  <si>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</si>
  <si>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</si>
  <si>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</si>
  <si>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</si>
  <si>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</si>
  <si>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</si>
  <si>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</si>
  <si>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</si>
  <si>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</si>
  <si>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</si>
  <si>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</si>
  <si>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</si>
  <si>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</si>
  <si>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</si>
  <si>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</si>
  <si>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</si>
  <si>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</si>
  <si>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</si>
  <si>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</si>
  <si>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</si>
  <si>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</si>
  <si>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</si>
  <si>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</si>
  <si>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</si>
  <si>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</si>
  <si>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</si>
  <si>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</si>
  <si>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</si>
  <si>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</si>
  <si>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</si>
  <si>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</si>
  <si>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</si>
  <si>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</si>
  <si>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</si>
  <si>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</si>
  <si>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</si>
  <si>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</si>
  <si>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</si>
  <si>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</si>
  <si>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</si>
  <si>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</si>
  <si>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</si>
  <si>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</si>
  <si>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</si>
  <si>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</si>
  <si>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</si>
  <si>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</si>
  <si>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</si>
  <si>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</si>
  <si>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</si>
  <si>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</si>
  <si>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</si>
  <si>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</si>
  <si>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</si>
  <si>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</si>
  <si>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</si>
  <si>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</si>
  <si>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</si>
  <si>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</si>
  <si>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</si>
  <si>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</si>
  <si>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</si>
  <si>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</si>
  <si>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</si>
  <si>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</si>
  <si>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</si>
  <si>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</si>
  <si>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</si>
  <si>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</si>
  <si>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</si>
  <si>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</si>
  <si>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</si>
  <si>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</si>
  <si>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</si>
  <si>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</si>
  <si>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</si>
  <si>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</si>
  <si>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</si>
  <si>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</si>
  <si>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</si>
  <si>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</si>
  <si>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</si>
  <si>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</si>
  <si>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</si>
  <si>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</si>
  <si>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</si>
  <si>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</si>
  <si>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</si>
  <si>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</si>
  <si>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</si>
  <si>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</si>
  <si>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</si>
  <si>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</si>
  <si>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</si>
  <si>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</si>
  <si>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</si>
  <si>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</si>
  <si>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</si>
  <si>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</si>
  <si>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</si>
  <si>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</si>
  <si>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</si>
  <si>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</si>
  <si>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</si>
  <si>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</si>
  <si>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</si>
  <si>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</si>
  <si>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</si>
  <si>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</si>
  <si>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</si>
  <si>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</si>
  <si>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</si>
  <si>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</si>
  <si>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</si>
  <si>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</si>
  <si>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</si>
  <si>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</si>
  <si>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</si>
  <si>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</si>
  <si>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</si>
  <si>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</si>
  <si>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</si>
  <si>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</si>
  <si>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</si>
  <si>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</si>
  <si>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</si>
  <si>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</si>
  <si>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</si>
  <si>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</si>
  <si>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</si>
  <si>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</si>
  <si>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</si>
  <si>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</si>
  <si>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</si>
  <si>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</si>
  <si>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</si>
  <si>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</si>
  <si>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</si>
  <si>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</si>
  <si>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</si>
  <si>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</si>
  <si>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</si>
  <si>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</si>
  <si>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</si>
  <si>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</si>
  <si>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</si>
  <si>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</si>
  <si>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</si>
  <si>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</si>
  <si>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</si>
  <si>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</si>
  <si>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</si>
  <si>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</si>
  <si>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</si>
  <si>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</si>
  <si>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</si>
  <si>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</si>
  <si>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</si>
  <si>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</si>
  <si>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</si>
  <si>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</si>
  <si>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</si>
  <si>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</si>
  <si>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</si>
  <si>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</si>
  <si>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</si>
  <si>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</si>
  <si>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</si>
  <si>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</si>
  <si>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</si>
  <si>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</si>
  <si>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</si>
  <si>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</si>
  <si>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</si>
  <si>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</si>
  <si>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</si>
  <si>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</si>
  <si>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</si>
  <si>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</si>
  <si>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</si>
  <si>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</si>
  <si>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</si>
  <si>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</si>
  <si>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</si>
  <si>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</si>
  <si>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</si>
  <si>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</si>
  <si>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</si>
  <si>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</si>
  <si>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</si>
  <si>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</si>
  <si>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</si>
  <si>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</si>
  <si>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</si>
  <si>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</si>
  <si>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</si>
  <si>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</si>
  <si>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</si>
  <si>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</si>
  <si>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</si>
  <si>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</si>
  <si>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</si>
  <si>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</si>
  <si>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</si>
  <si>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</si>
  <si>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</si>
  <si>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</si>
  <si>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</si>
  <si>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</si>
  <si>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</si>
  <si>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</si>
  <si>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</si>
  <si>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</si>
  <si>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</si>
  <si>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</si>
  <si>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</si>
  <si>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</si>
  <si>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</si>
  <si>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</si>
  <si>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</si>
  <si>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</si>
  <si>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</si>
  <si>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</si>
  <si>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</si>
  <si>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</si>
  <si>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</si>
  <si>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</si>
  <si>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</si>
  <si>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</si>
  <si>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</si>
  <si>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</si>
  <si>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</si>
  <si>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</si>
  <si>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</si>
  <si>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</si>
  <si>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</si>
  <si>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</si>
  <si>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</si>
  <si>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</si>
  <si>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</si>
  <si>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</si>
  <si>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</si>
  <si>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</si>
  <si>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</si>
  <si>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</si>
  <si>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</si>
  <si>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</si>
  <si>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</si>
  <si>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</si>
  <si>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</si>
  <si>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</si>
  <si>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</si>
  <si>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</si>
  <si>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</si>
  <si>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</si>
  <si>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</si>
  <si>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</si>
  <si>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</si>
  <si>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</si>
  <si>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</si>
  <si>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</si>
  <si>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</si>
  <si>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</si>
  <si>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</si>
  <si>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</si>
  <si>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</si>
  <si>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</si>
  <si>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</si>
  <si>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</si>
  <si>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</si>
  <si>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</si>
  <si>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</si>
  <si>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</si>
  <si>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</si>
  <si>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</si>
  <si>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</si>
  <si>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</si>
  <si>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</si>
  <si>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</si>
  <si>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</si>
  <si>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</si>
  <si>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</si>
  <si>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</si>
  <si>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</si>
  <si>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</si>
  <si>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</si>
  <si>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</si>
  <si>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</si>
  <si>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</si>
  <si>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</si>
  <si>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</si>
  <si>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</si>
  <si>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</si>
  <si>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</si>
  <si>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</si>
  <si>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</si>
  <si>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</si>
  <si>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</si>
  <si>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</si>
  <si>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</si>
  <si>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</si>
  <si>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</si>
  <si>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</si>
  <si>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</si>
  <si>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</si>
  <si>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</si>
  <si>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</si>
  <si>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</si>
  <si>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</si>
  <si>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</si>
  <si>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</si>
  <si>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</si>
  <si>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</si>
  <si>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</si>
  <si>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</si>
  <si>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</si>
  <si>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</si>
  <si>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</si>
  <si>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</si>
  <si>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</si>
  <si>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</si>
  <si>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</si>
  <si>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</si>
  <si>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</si>
  <si>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</si>
  <si>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</si>
  <si>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</si>
  <si>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</si>
  <si>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</si>
  <si>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</si>
  <si>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</si>
  <si>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</si>
  <si>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</si>
  <si>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</si>
  <si>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</si>
  <si>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</si>
  <si>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</si>
  <si>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</si>
  <si>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</si>
  <si>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</si>
  <si>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</si>
  <si>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</si>
  <si>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</si>
  <si>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</si>
  <si>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</si>
  <si>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</si>
  <si>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</si>
  <si>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</si>
  <si>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</si>
  <si>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</si>
  <si>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</si>
  <si>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</si>
  <si>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</si>
  <si>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</si>
  <si>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</si>
  <si>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</si>
  <si>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</si>
  <si>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</si>
  <si>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</si>
  <si>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</si>
  <si>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</si>
  <si>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</si>
  <si>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</si>
  <si>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</si>
  <si>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</si>
  <si>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</si>
  <si>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</si>
  <si>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</si>
  <si>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</si>
  <si>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</si>
  <si>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</si>
  <si>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</si>
  <si>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</si>
  <si>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</si>
  <si>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</si>
  <si>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</si>
  <si>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</si>
  <si>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</si>
  <si>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</si>
  <si>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</si>
  <si>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</si>
  <si>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</si>
  <si>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</si>
  <si>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</si>
  <si>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</si>
  <si>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</si>
  <si>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</si>
  <si>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</si>
  <si>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</si>
  <si>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</si>
  <si>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</si>
  <si>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</si>
  <si>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</si>
  <si>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</si>
  <si>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</si>
  <si>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</si>
  <si>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</si>
  <si>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</si>
  <si>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</si>
  <si>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</si>
  <si>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</si>
  <si>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</si>
  <si>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</si>
  <si>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</si>
  <si>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</si>
  <si>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</si>
  <si>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</si>
  <si>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</si>
  <si>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</si>
  <si>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</si>
  <si>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</si>
  <si>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</si>
  <si>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</si>
  <si>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</si>
  <si>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</si>
  <si>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</si>
  <si>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</si>
  <si>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</si>
  <si>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</si>
  <si>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</si>
  <si>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</si>
  <si>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</si>
  <si>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</si>
  <si>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</si>
  <si>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</si>
  <si>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</si>
  <si>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</si>
  <si>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</si>
  <si>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</si>
  <si>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</si>
  <si>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</si>
  <si>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</si>
  <si>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</si>
  <si>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</si>
  <si>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</si>
  <si>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</si>
  <si>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</si>
  <si>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</si>
  <si>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</si>
  <si>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</si>
  <si>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</si>
  <si>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</si>
  <si>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</si>
  <si>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</si>
  <si>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</si>
  <si>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</si>
  <si>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</si>
  <si>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</si>
  <si>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</si>
  <si>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</si>
  <si>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</si>
  <si>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</si>
  <si>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</si>
  <si>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</si>
  <si>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</si>
  <si>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</si>
  <si>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</si>
  <si>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</si>
  <si>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</si>
  <si>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</si>
  <si>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</si>
  <si>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</si>
  <si>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</si>
  <si>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</si>
  <si>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</si>
  <si>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</si>
  <si>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</si>
  <si>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</si>
  <si>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</si>
  <si>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</si>
  <si>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</si>
  <si>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</si>
  <si>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</si>
  <si>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</si>
  <si>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</si>
  <si>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</si>
  <si>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</si>
  <si>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</si>
  <si>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</si>
  <si>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</si>
  <si>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</si>
  <si>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</si>
  <si>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</si>
  <si>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</si>
  <si>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</si>
  <si>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</si>
  <si>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</si>
  <si>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</si>
  <si>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</si>
  <si>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</si>
  <si>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</si>
  <si>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</si>
  <si>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</si>
  <si>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</si>
  <si>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</si>
  <si>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</si>
  <si>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</si>
  <si>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</si>
  <si>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</si>
  <si>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</si>
  <si>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</si>
  <si>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</si>
  <si>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</si>
  <si>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</si>
  <si>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</si>
  <si>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</si>
  <si>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</si>
  <si>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</si>
  <si>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</si>
  <si>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</si>
  <si>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</si>
  <si>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</si>
  <si>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</si>
  <si>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</si>
  <si>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</si>
  <si>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</si>
  <si>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</si>
  <si>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</si>
  <si>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</si>
  <si>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</si>
  <si>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</si>
  <si>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</si>
  <si>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</si>
  <si>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</si>
  <si>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</si>
  <si>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</si>
  <si>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</si>
  <si>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</si>
  <si>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</si>
  <si>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</si>
  <si>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</si>
  <si>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</si>
  <si>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</si>
  <si>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</si>
  <si>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</si>
  <si>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</si>
  <si>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</si>
  <si>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</si>
  <si>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</si>
  <si>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</si>
  <si>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</si>
  <si>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</si>
  <si>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</si>
  <si>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</si>
  <si>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</si>
  <si>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</si>
  <si>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</si>
  <si>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</si>
  <si>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</si>
  <si>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</si>
  <si>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</si>
  <si>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</si>
  <si>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</si>
  <si>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</si>
  <si>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</si>
  <si>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</si>
  <si>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</si>
  <si>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</si>
  <si>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</si>
  <si>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</si>
  <si>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</si>
  <si>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</si>
  <si>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</si>
  <si>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</si>
  <si>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Category</t>
  </si>
  <si>
    <t>Subcategory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</si>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</sst>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0" fillId="0" borderId="0" xfId="0" applyNumberFormat="1" applyFont="1"/>
    <xf numFmtId="10" fontId="0" fillId="0" borderId="0" xfId="0" applyNumberFormat="1"/>
    <xf numFmtId="9" fontId="0" fillId="0" borderId="0" xfId="0" applyNumberFormat="1"/>
    <xf numFmtId="10" fontId="0" fillId="0" borderId="0" xfId="0" applyNumberFormat="1" applyAlignment="1">
      <alignment horizontal="right"/>
    </xf>
  </cellXfs>
  <cellStyles count="1">
    <cellStyle name="Normal" xfId="0" builtinId="0"/>
  </cellStyles>
  <dxfs count="15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0B-43D6-8C8E-CD61BA1ED59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0B-43D6-8C8E-CD61BA1ED59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0B-43D6-8C8E-CD61BA1ED59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0B-43D6-8C8E-CD61BA1ED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5013712"/>
        <c:axId val="785014128"/>
      </c:barChart>
      <c:catAx>
        <c:axId val="78501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14128"/>
        <c:crosses val="autoZero"/>
        <c:auto val="1"/>
        <c:lblAlgn val="ctr"/>
        <c:lblOffset val="100"/>
        <c:noMultiLvlLbl val="0"/>
      </c:catAx>
      <c:valAx>
        <c:axId val="7850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1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E-4CCE-AA67-8471B020F0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E-4CCE-AA67-8471B020F0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CE-4CCE-AA67-8471B020F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3280640"/>
        <c:axId val="933279808"/>
      </c:barChart>
      <c:catAx>
        <c:axId val="9332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279808"/>
        <c:crosses val="autoZero"/>
        <c:auto val="1"/>
        <c:lblAlgn val="ctr"/>
        <c:lblOffset val="100"/>
        <c:noMultiLvlLbl val="0"/>
      </c:catAx>
      <c:valAx>
        <c:axId val="9332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2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C5-4B7F-A4A3-44C268EF867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5-4B7F-A4A3-44C268EF867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C5-4B7F-A4A3-44C268EF867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C5-4B7F-A4A3-44C268EF8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1524016"/>
        <c:axId val="941521104"/>
      </c:lineChart>
      <c:catAx>
        <c:axId val="94152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521104"/>
        <c:crosses val="autoZero"/>
        <c:auto val="1"/>
        <c:lblAlgn val="ctr"/>
        <c:lblOffset val="100"/>
        <c:noMultiLvlLbl val="0"/>
      </c:catAx>
      <c:valAx>
        <c:axId val="94152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52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6387489063867017"/>
          <c:y val="0.21555118110236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4-49BC-AF07-CC71A6BE6B2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A-4DED-A0C8-D85836E16A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A-4DED-A0C8-D85836E16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962495"/>
        <c:axId val="625967071"/>
      </c:lineChart>
      <c:catAx>
        <c:axId val="62596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67071"/>
        <c:crosses val="autoZero"/>
        <c:auto val="1"/>
        <c:lblAlgn val="ctr"/>
        <c:lblOffset val="100"/>
        <c:noMultiLvlLbl val="0"/>
      </c:catAx>
      <c:valAx>
        <c:axId val="62596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6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vs. 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141732283464565E-2"/>
          <c:y val="8.2411836489005047E-2"/>
          <c:w val="0.65881566727236018"/>
          <c:h val="0.74711848778238832"/>
        </c:manualLayout>
      </c:layout>
      <c:lineChart>
        <c:grouping val="standard"/>
        <c:varyColors val="0"/>
        <c:ser>
          <c:idx val="0"/>
          <c:order val="0"/>
          <c:tx>
            <c:strRef>
              <c:f>'Outcome vs.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vs. Goals'!$B$4:$B$16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F-4EE2-B90F-204A1E83B1F2}"/>
            </c:ext>
          </c:extLst>
        </c:ser>
        <c:ser>
          <c:idx val="1"/>
          <c:order val="1"/>
          <c:tx>
            <c:strRef>
              <c:f>'Outcome vs.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vs. Goals'!$C$4:$C$16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F-4EE2-B90F-204A1E83B1F2}"/>
            </c:ext>
          </c:extLst>
        </c:ser>
        <c:ser>
          <c:idx val="2"/>
          <c:order val="2"/>
          <c:tx>
            <c:strRef>
              <c:f>'Outcome vs.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vs. Goals'!$D$4:$D$16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7F-4EE2-B90F-204A1E83B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930559"/>
        <c:axId val="1749920575"/>
      </c:lineChart>
      <c:catAx>
        <c:axId val="17499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920575"/>
        <c:crosses val="autoZero"/>
        <c:auto val="1"/>
        <c:lblAlgn val="ctr"/>
        <c:lblOffset val="100"/>
        <c:noMultiLvlLbl val="0"/>
      </c:catAx>
      <c:valAx>
        <c:axId val="174992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93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F9638E8-E868-48A8-9A47-A038ABBCF14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7113EE-FE59-4FE1-AFD2-C2A63756178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FAFCF2-AA39-4083-9E66-399C3C4DB948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176211</xdr:rowOff>
    </xdr:from>
    <xdr:to>
      <xdr:col>9</xdr:col>
      <xdr:colOff>228599</xdr:colOff>
      <xdr:row>39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F3A8C-B58F-42B2-916E-8BBDBEA74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</xdr:colOff>
      <xdr:row>47</xdr:row>
      <xdr:rowOff>90486</xdr:rowOff>
    </xdr:from>
    <xdr:to>
      <xdr:col>7</xdr:col>
      <xdr:colOff>1038225</xdr:colOff>
      <xdr:row>67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7044C-F149-428B-BC8F-E23D86830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23811</xdr:colOff>
      <xdr:row>19</xdr:row>
      <xdr:rowOff>128587</xdr:rowOff>
    </xdr:from>
    <xdr:to>
      <xdr:col>8</xdr:col>
      <xdr:colOff>485774</xdr:colOff>
      <xdr:row>40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68B49-3A52-4AC8-B648-635E01CA3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B3A14A-4F5D-45BB-BA18-E88BE135992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F6147B-F74C-4E10-966A-8402618BB63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166687</xdr:rowOff>
    </xdr:from>
    <xdr:to>
      <xdr:col>5</xdr:col>
      <xdr:colOff>533400</xdr:colOff>
      <xdr:row>33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32476-7930-4874-A7F5-575524B12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16</xdr:row>
      <xdr:rowOff>138111</xdr:rowOff>
    </xdr:from>
    <xdr:to>
      <xdr:col>6</xdr:col>
      <xdr:colOff>419100</xdr:colOff>
      <xdr:row>43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6B769-7246-4FF0-BF96-D0FC2BAA1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Knauff" refreshedDate="44639.574334953701" createdVersion="7" refreshedVersion="7" minRefreshableVersion="3" recordCount="4114" xr:uid="{3F35ADF8-CEE2-4983-818F-379B948124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Knauff" refreshedDate="44639.597220370371" createdVersion="7" refreshedVersion="7" minRefreshableVersion="3" recordCount="4114" xr:uid="{543437C1-CB6D-4687-BE2D-952B5A43566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Knauff" refreshedDate="44642.470364004628" createdVersion="7" refreshedVersion="7" minRefreshableVersion="3" recordCount="4114" xr:uid="{75243424-1925-4FBC-9FA9-9212E6A6C60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Knauff" refreshedDate="44642.662665625001" createdVersion="7" refreshedVersion="7" minRefreshableVersion="3" recordCount="12" xr:uid="{4EFEA4B0-7B52-479F-99AA-04C546148402}">
  <cacheSource type="worksheet">
    <worksheetSource ref="B1:I13" sheet="Outcome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C7E56-E6D4-46B2-AC5B-AD7B827B9D7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BD066-8D44-4475-A484-EECC99237BD3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C39A9-3D53-4696-AA97-38360C2819B9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DC08B-2CF2-4958-90EF-96406D51523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1DD2D-017F-4F83-9E41-18B07328FC07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formats count="6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E8874-C247-40CB-BE2F-C44BEAFD9AEF}">
  <dimension ref="A2:F7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5.5703125" bestFit="1" customWidth="1"/>
    <col min="8" max="27" width="6.5703125" bestFit="1" customWidth="1"/>
    <col min="28" max="73" width="7.5703125" bestFit="1" customWidth="1"/>
    <col min="128" max="146" width="10.140625" bestFit="1" customWidth="1"/>
    <col min="147" max="148" width="11.140625" bestFit="1" customWidth="1"/>
    <col min="149" max="149" width="12.7109375" bestFit="1" customWidth="1"/>
    <col min="150" max="150" width="13.85546875" bestFit="1" customWidth="1"/>
    <col min="151" max="151" width="8" bestFit="1" customWidth="1"/>
    <col min="152" max="159" width="5.5703125" bestFit="1" customWidth="1"/>
    <col min="160" max="220" width="6.5703125" bestFit="1" customWidth="1"/>
    <col min="221" max="426" width="7.5703125" bestFit="1" customWidth="1"/>
    <col min="624" max="657" width="10.140625" bestFit="1" customWidth="1"/>
    <col min="658" max="659" width="11.140625" bestFit="1" customWidth="1"/>
    <col min="660" max="660" width="11" bestFit="1" customWidth="1"/>
    <col min="661" max="661" width="6.140625" bestFit="1" customWidth="1"/>
    <col min="662" max="662" width="5.5703125" bestFit="1" customWidth="1"/>
    <col min="663" max="666" width="6.5703125" bestFit="1" customWidth="1"/>
    <col min="667" max="674" width="7.5703125" bestFit="1" customWidth="1"/>
    <col min="687" max="689" width="10.140625" bestFit="1" customWidth="1"/>
    <col min="691" max="691" width="11.85546875" bestFit="1" customWidth="1"/>
    <col min="692" max="694" width="6.5703125" bestFit="1" customWidth="1"/>
    <col min="695" max="807" width="7.5703125" bestFit="1" customWidth="1"/>
    <col min="1653" max="2128" width="10.140625" bestFit="1" customWidth="1"/>
    <col min="2129" max="2185" width="11.140625" bestFit="1" customWidth="1"/>
    <col min="2186" max="2187" width="12.7109375" bestFit="1" customWidth="1"/>
    <col min="2188" max="2188" width="15" bestFit="1" customWidth="1"/>
    <col min="2189" max="2189" width="11.28515625" bestFit="1" customWidth="1"/>
  </cols>
  <sheetData>
    <row r="2" spans="1:6" x14ac:dyDescent="0.25">
      <c r="A2" s="13" t="s">
        <v>8222</v>
      </c>
      <c r="B2" t="s">
        <v>8223</v>
      </c>
    </row>
    <row r="4" spans="1:6" x14ac:dyDescent="0.25">
      <c r="A4" s="13" t="s">
        <v>8363</v>
      </c>
      <c r="B4" s="13" t="s">
        <v>8358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4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5">
      <c r="A7" s="14" t="s">
        <v>8359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3338-D043-43F7-8B65-D2868297100A}">
  <dimension ref="A1:E7"/>
  <sheetViews>
    <sheetView topLeftCell="A16" workbookViewId="0">
      <selection activeCell="H43" sqref="H4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11" width="16.85546875" bestFit="1" customWidth="1"/>
    <col min="12" max="12" width="13.85546875" bestFit="1" customWidth="1"/>
    <col min="13" max="36" width="16.85546875" bestFit="1" customWidth="1"/>
    <col min="37" max="41" width="11" bestFit="1" customWidth="1"/>
    <col min="43" max="63" width="16.85546875" bestFit="1" customWidth="1"/>
    <col min="64" max="64" width="15" bestFit="1" customWidth="1"/>
    <col min="65" max="65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8361</v>
      </c>
      <c r="B2" t="s">
        <v>8364</v>
      </c>
    </row>
    <row r="4" spans="1:5" x14ac:dyDescent="0.25">
      <c r="A4" s="13" t="s">
        <v>8363</v>
      </c>
      <c r="B4" s="13" t="s">
        <v>8358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8359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06A90-CEB2-4BDF-AA60-8A9B810340D8}">
  <dimension ref="A2:F19"/>
  <sheetViews>
    <sheetView workbookViewId="0">
      <selection activeCell="F15" sqref="F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8361</v>
      </c>
      <c r="B2" t="s">
        <v>8315</v>
      </c>
    </row>
    <row r="3" spans="1:6" x14ac:dyDescent="0.25">
      <c r="A3" s="13" t="s">
        <v>8379</v>
      </c>
      <c r="B3" t="s">
        <v>8364</v>
      </c>
    </row>
    <row r="5" spans="1:6" x14ac:dyDescent="0.25">
      <c r="A5" s="13" t="s">
        <v>8363</v>
      </c>
      <c r="B5" s="13" t="s">
        <v>8358</v>
      </c>
    </row>
    <row r="6" spans="1:6" x14ac:dyDescent="0.25">
      <c r="A6" s="13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25">
      <c r="A7" s="17" t="s">
        <v>8373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25">
      <c r="A8" s="17" t="s">
        <v>8374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25">
      <c r="A9" s="17" t="s">
        <v>8375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25">
      <c r="A10" s="17" t="s">
        <v>8376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25">
      <c r="A11" s="17" t="s">
        <v>8367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25">
      <c r="A12" s="17" t="s">
        <v>8377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25">
      <c r="A13" s="17" t="s">
        <v>8368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25">
      <c r="A14" s="17" t="s">
        <v>8369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25">
      <c r="A15" s="17" t="s">
        <v>8370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25">
      <c r="A16" s="17" t="s">
        <v>8371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25">
      <c r="A17" s="17" t="s">
        <v>8372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25">
      <c r="A18" s="17" t="s">
        <v>8378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25">
      <c r="A19" s="17" t="s">
        <v>8359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79FF9-726A-4F76-BCED-60398E262792}">
  <dimension ref="A1:E18"/>
  <sheetViews>
    <sheetView tabSelected="1" workbookViewId="0">
      <selection activeCell="M36" sqref="M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8361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8358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7" t="s">
        <v>8359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99" zoomScaleNormal="99" workbookViewId="0">
      <pane ySplit="521" topLeftCell="A522" activePane="bottomLeft" state="frozen"/>
      <selection pane="bottomLeft" activeCell="N4" sqref="N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42578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" customWidth="1"/>
    <col min="16" max="16" width="23.85546875" customWidth="1"/>
    <col min="17" max="17" width="41.140625" customWidth="1"/>
    <col min="18" max="18" width="18.5703125" customWidth="1"/>
    <col min="19" max="19" width="23.85546875" style="16" customWidth="1"/>
    <col min="20" max="20" width="22" style="16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8362</v>
      </c>
      <c r="S1" s="15" t="s">
        <v>8365</v>
      </c>
      <c r="T1" s="15" t="s">
        <v>8366</v>
      </c>
      <c r="U1" s="18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>IFERROR(ROUND(E124/L124,2),"no backers")</f>
        <v>no backers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30" si="10">IFERROR(ROUND(E125/L125,2),"no backers")</f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10"/>
        <v>no backers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ref="P132:P195" si="15">IFERROR(ROUND(E132/L132,2),0)</f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5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5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5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5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5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5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5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5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5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5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5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5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5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5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5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5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5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5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5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5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5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5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5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5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5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5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5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5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5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5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5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5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5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5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5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5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5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5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5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5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5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5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5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5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5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5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5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5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5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5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5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5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5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5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5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5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5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ref="P196:P259" si="20">IFERROR(ROUND(E196/L196,2),0)</f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20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20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20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20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20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20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20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20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20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20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20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20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20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20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20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20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20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20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20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20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20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20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20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20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20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20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20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20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20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20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20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20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20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20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20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20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20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20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20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20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20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20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20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20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20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20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20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20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20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20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20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20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20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20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20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20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20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ref="P260:P323" si="25">IFERROR(ROUND(E260/L260,2),0)</f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5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5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5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5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5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5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5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5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5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5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5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5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5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5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5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5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5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5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5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5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5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5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5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5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5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5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5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5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5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5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5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5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5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5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5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5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5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5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5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5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5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5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5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5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5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5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5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5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5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5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5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5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5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5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5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5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5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ref="P324:P387" si="30">IFERROR(ROUND(E324/L324,2),0)</f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30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30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30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30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30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30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30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30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30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30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30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30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30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30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30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30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30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30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30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30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30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30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30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30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30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30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30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30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30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30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30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30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30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30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30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30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30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30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30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30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30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30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30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30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30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30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30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30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30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30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30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30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30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30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30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30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30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ref="P388:P451" si="35">IFERROR(ROUND(E388/L388,2),0)</f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5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5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5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5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5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5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5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5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5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5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5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5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5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5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5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5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5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5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5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5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5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5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5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5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5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5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5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5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5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5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5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5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5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5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5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5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5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5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5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5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5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5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5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5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5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5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5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5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5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5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5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5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5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5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5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5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5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ref="P452:P515" si="40">IFERROR(ROUND(E452/L452,2),0)</f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40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40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40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40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40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40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40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40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40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40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40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40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40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40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40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40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40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40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40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40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40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40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40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40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40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40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40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40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40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40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40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40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40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40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40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40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40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40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40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40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40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40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40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40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40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40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40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40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40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40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40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40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40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40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40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40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40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ref="P516:P579" si="45">IFERROR(ROUND(E516/L516,2),0)</f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5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5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5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5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5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5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5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5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5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5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5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5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5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5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5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5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5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5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5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5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5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5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5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5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5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5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5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5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5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5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5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5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5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5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5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5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5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5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5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5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5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5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5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5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5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5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5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5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5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5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5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5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5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5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5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5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5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ref="P580:P643" si="50">IFERROR(ROUND(E580/L580,2),0)</f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50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50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50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50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50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50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50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50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50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50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50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50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50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50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50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50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50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50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50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50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50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50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50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50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50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50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50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50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50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50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50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50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50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50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50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50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50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50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50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50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50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50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50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50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50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50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50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50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50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50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50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50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50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50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50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50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50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ref="P644:P707" si="55">IFERROR(ROUND(E644/L644,2),0)</f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5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5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5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5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5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5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5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5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5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5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5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5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5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5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5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5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5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5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5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5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5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5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5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5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5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5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5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5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5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5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5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5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5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5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5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5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5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5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5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5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5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5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5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5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5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5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5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5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5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5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5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5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5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5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5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5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5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ref="P708:P771" si="60">IFERROR(ROUND(E708/L708,2),0)</f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60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60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60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60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60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60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60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60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60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60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60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60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60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60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60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60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60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60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60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60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60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60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60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60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60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60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60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60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60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60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60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60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60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60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60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60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60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60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60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60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60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60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60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60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60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60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60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60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60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60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60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60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60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60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60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60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60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ref="P772:P835" si="65">IFERROR(ROUND(E772/L772,2),0)</f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5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5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5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5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5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5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5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5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5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5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5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5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5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5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5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5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5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5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5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5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5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5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5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5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5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5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5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5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5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5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5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5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5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5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5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5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5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5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5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5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5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5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5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5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5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5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5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5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5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5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5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5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5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5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5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5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ref="P836:P899" si="70">IFERROR(ROUND(E836/L836,2),0)</f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70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70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70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70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70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70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70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70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70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70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70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70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70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70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70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70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70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70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70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70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70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70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70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70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70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70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70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70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70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70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70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70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70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70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70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70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70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70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70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70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70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70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70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70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70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70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70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70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70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70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70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70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70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70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70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70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ref="P900:P963" si="75">IFERROR(ROUND(E900/L900,2),0)</f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5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5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5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5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5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5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5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5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5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5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5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5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5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5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5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5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5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5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5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5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5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5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5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5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5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5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5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5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5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5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5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5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5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5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5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5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5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5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5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5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5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5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5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5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5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5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5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5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5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5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ref="P964:P1027" si="80">IFERROR(ROUND(E964/L964,2),0)</f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80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80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80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80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80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80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80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80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80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80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80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80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80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80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80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80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80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80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80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80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80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80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80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80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80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80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80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80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80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80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80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80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80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80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80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80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80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80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80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80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80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80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80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80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80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80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80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80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80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80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80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80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80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80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80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80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ref="P1028:P1091" si="85">IFERROR(ROUND(E1028/L1028,2),0)</f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5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5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5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5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5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5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5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5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5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5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5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5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5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5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5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5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5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5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5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5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5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5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5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5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5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5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5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5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5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5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5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5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5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5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5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5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5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5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5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5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5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5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5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5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5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5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5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5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5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5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5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5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5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5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5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5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ref="P1092:P1155" si="90">IFERROR(ROUND(E1092/L1092,2),0)</f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90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90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90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90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90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90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90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90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90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90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90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90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90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90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90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90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90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90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90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90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90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90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90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90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90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90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90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90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90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90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90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90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90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90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90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90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90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90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90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90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90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90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90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90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90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90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90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90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90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90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90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90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90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90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90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90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ref="P1156:P1219" si="95">IFERROR(ROUND(E1156/L1156,2),0)</f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5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5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5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5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5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5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5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5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5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5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5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5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5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5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5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5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5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5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5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5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5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5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5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5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5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5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5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5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5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5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5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5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5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5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5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5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5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5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5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5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5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5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5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5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5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5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5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5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5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5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5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5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5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5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5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5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ref="P1220:P1283" si="100">IFERROR(ROUND(E1220/L1220,2),0)</f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100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100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100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100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100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100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100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100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100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100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100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100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100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100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100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100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100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100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100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100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100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100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100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100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100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100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100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100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100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100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100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100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100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100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100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100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100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100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100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100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100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100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100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100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100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100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100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100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100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100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100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100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100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100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100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100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ref="P1284:P1347" si="105">IFERROR(ROUND(E1284/L1284,2),0)</f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5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5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5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5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5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5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5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5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5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5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5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5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5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5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5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5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5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5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5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5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5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5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5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5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5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5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5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5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5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5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5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5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5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5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5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5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5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5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5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5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5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5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5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5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5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5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5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5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5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5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5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5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5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5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5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5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ref="P1348:P1411" si="110">IFERROR(ROUND(E1348/L1348,2),0)</f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10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10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10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10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10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10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10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10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10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10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10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10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10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10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10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10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10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10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10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10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10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10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10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10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10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10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10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10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10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10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10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10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10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10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10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10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10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10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10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10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10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10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10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10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10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10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10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10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10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10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10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10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10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10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10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10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ref="P1412:P1475" si="115">IFERROR(ROUND(E1412/L1412,2),0)</f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5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5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5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5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5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5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5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5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5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5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5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5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5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5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5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5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5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5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5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5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5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5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5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5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5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5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5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5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5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5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5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5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5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5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5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5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5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5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5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5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5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5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5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5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5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5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5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5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5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5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ref="P1476:P1539" si="120">IFERROR(ROUND(E1476/L1476,2),0)</f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20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20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20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20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20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20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20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20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20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20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20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20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20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20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20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20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20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20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20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20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20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20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20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20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20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20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20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20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20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20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20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20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20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20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20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20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20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20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20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20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20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20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20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20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20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20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20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20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20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20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20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20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20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20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20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20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ref="P1540:P1603" si="125">IFERROR(ROUND(E1540/L1540,2),0)</f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5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5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5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5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5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5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5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5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5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5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5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5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5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5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5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5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5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5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5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5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5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5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5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5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5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5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5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5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5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5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5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5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5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5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5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5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5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5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5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5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5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5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5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5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5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5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5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5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5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5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5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5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5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5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5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5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ref="P1604:P1667" si="130">IFERROR(ROUND(E1604/L1604,2),0)</f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30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30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30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30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30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30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30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30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30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30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30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30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30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30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30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30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30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30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30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30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30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30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30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30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30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30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30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30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30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30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30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30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30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30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30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30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30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30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30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30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30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30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30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30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30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30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30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30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30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30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30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30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30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30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30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30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ref="P1668:P1731" si="135">IFERROR(ROUND(E1668/L1668,2),0)</f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5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5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5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5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5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5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5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5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5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5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5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5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5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5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5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5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5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5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5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5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5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5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5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5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5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5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5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5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5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5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5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5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5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5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5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5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5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5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5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5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5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5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5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5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5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5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5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5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5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5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5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5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5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5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5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5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ref="P1732:P1795" si="140">IFERROR(ROUND(E1732/L1732,2),0)</f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40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40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40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40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40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40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40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40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40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40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40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40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40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40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40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40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40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40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40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40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40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40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40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40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40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40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40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40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40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40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40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40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40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40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40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40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40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40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40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40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40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40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40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40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40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40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40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40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40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40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0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0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0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0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0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0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ref="P1796:P1859" si="145">IFERROR(ROUND(E1796/L1796,2),0)</f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5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5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5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5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5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5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5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5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5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5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5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5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5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5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5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5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5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5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5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5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5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5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5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5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5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5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5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5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5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5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5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5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5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5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5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5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5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5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5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5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5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5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5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5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5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5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5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5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5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5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5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5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5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5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5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5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ref="P1860:P1923" si="150">IFERROR(ROUND(E1860/L1860,2),0)</f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50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50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50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50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50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50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50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50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50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50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50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50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50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50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50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50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50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50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50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50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50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50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50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50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50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50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50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50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50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50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50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50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50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50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50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50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50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50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50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50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50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50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50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50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50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50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50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50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50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50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50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50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50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50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50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50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ref="P1924:P1987" si="155">IFERROR(ROUND(E1924/L1924,2),0)</f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5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5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5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5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5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5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5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5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5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5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5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5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5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5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5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5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5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5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5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5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5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5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5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5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5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5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5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5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5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5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5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5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5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5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5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5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5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5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5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5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5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5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5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5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5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5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5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5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5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5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5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5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5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5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5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5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ref="P1988:P2051" si="160">IFERROR(ROUND(E1988/L1988,2),0)</f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60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60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60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60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60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60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60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60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60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60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60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60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60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60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60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60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60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60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60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60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60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60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60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60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60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60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60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60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60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60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60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60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60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60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60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60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60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60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60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60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60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60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60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60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60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60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60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60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60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60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60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60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60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60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60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60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ref="P2052:P2115" si="165">IFERROR(ROUND(E2052/L2052,2),0)</f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5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5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5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5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5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5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5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5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5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5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5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5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5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5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5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5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5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5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5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5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5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5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5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5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5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5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5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5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5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5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5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5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5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5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5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5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5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5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5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5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5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5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5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5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5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5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5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5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5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5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5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5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5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5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5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5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ref="P2116:P2179" si="170">IFERROR(ROUND(E2116/L2116,2),0)</f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70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70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70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70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70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70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70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70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70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70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70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70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70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70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70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70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70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70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70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70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70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70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70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70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70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70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70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70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70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70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70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70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70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70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70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70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70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70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70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70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70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70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70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70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70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70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70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70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70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70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70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70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70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70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70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70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ref="P2180:P2243" si="175">IFERROR(ROUND(E2180/L2180,2),0)</f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5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5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5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5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5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5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5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5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5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5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5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5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5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5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5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5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5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5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5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5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5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5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5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5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5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5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5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5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5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5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5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5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5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5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5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5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5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5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5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5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5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5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5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5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5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5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5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5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5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5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5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5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5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5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5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5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ref="P2244:P2307" si="180">IFERROR(ROUND(E2244/L2244,2),0)</f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80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80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80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80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80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80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80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80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80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80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80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80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80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80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80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80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80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80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80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80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80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80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80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80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80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80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80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80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80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80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80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80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80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80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80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80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80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80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80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80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80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80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80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80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80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80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80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80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80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80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80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80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80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80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80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80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ref="P2308:P2371" si="185">IFERROR(ROUND(E2308/L2308,2),0)</f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5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5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5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5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5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5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5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5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5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5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5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5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5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5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5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5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5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5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5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5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5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5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5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5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5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5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5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5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5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5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5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5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5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5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5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5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5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5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5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5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5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5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5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5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5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5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5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5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5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5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5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5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5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5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5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5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ref="P2372:P2435" si="190">IFERROR(ROUND(E2372/L2372,2),0)</f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90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90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90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90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90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90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90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90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90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90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90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90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90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90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90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90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90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90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90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90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90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90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90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90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90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90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90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90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90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90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90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90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90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90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90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90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90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90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90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90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90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90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90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90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90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90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90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90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90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90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90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90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90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90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90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90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ref="P2436:P2499" si="195">IFERROR(ROUND(E2436/L2436,2),0)</f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5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5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5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5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5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5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5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5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5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5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5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5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5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5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5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5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5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5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5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5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5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5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5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5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5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5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5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5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5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5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5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5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5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5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5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5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5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5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5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5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5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5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5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5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5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5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5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5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5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5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5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5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5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5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5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ref="P2500:P2563" si="200">IFERROR(ROUND(E2500/L2500,2),0)</f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200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200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200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200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200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200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200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200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200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200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200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200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200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200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200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200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200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200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200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200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200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200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200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200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200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200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200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200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200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200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200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200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200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200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200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200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200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200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200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200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200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200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200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200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200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200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200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200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200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200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200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200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200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200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200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200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ref="P2564:P2627" si="205">IFERROR(ROUND(E2564/L2564,2),0)</f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5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5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5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5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5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5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5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5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5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5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5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5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5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5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5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5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5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5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5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5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5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5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5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5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5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5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5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5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5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5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5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5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5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5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5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5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5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5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5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5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5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5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5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5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5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5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5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5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5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5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5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5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5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5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5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5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ref="P2628:P2691" si="210">IFERROR(ROUND(E2628/L2628,2),0)</f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10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10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10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10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10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10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10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10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10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10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10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10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10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10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10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10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10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10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10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10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10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10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10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10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10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10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10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10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10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10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10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10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10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10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10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10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10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10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10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10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10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10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10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10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10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10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10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10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10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10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10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10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10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10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10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10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ref="P2692:P2755" si="215">IFERROR(ROUND(E2692/L2692,2),0)</f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5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5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5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5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5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5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5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5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5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5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5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5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5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5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5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5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5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5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5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5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5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5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5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5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5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5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5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5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5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5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5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5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5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5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5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5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5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5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5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5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5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5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5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5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5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5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5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5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5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5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5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5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5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5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5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5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ref="P2756:P2819" si="220">IFERROR(ROUND(E2756/L2756,2),0)</f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20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20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20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20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20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20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20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20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20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20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20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20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20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20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20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20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20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20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20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20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20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20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20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20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20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20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20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20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20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20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20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20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20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20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20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20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20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20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20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20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20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20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20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20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20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20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20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20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20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20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20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20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20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20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20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20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20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ref="P2820:P2883" si="225">IFERROR(ROUND(E2820/L2820,2),0)</f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5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5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5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5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5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5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5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5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5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5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5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5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5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5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5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5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5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5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5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5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5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5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5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5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5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5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5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5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5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5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5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5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5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5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5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5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5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5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5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5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5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5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5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5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5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5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5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5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5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5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5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5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5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5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5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5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5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ref="P2884:P2947" si="230">IFERROR(ROUND(E2884/L2884,2),0)</f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30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30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30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30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30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30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30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30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30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30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30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30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30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30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30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30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30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30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30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30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30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30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30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30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30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2015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ref="P2948:P3011" si="235">IFERROR(ROUND(E2948/L2948,2),0)</f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5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5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5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5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5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5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5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5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5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5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5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5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5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5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5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5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5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5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5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5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5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5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5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5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5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2016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2016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ref="P3012:P3075" si="240">IFERROR(ROUND(E3012/L3012,2),0)</f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40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40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40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40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40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40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40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40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40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40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40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40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40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40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40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40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40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40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40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40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40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40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40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40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40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ref="P3076:P3139" si="245">IFERROR(ROUND(E3076/L3076,2),0)</f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5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5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5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5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5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5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5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5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5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5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5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5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5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5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2015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5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5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5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5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5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5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5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5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5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5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2016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5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2015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2016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ref="P3140:P3203" si="250">IFERROR(ROUND(E3140/L3140,2),0)</f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50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50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50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50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50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50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50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50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50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50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50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50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50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50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50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50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50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50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50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50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50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50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50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50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50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ref="P3204:P3267" si="255">IFERROR(ROUND(E3204/L3204,2),0)</f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5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5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5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5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5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5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5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5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5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5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5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5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5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5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5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5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5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5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5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5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5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5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5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5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5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ref="P3268:P3331" si="260">IFERROR(ROUND(E3268/L3268,2),0)</f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60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60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60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60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60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60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60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60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60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60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60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60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60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60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60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60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60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60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60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60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60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60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60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60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60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ref="P3332:P3395" si="265">IFERROR(ROUND(E3332/L3332,2),0)</f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5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5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5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5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5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5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5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5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5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5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5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5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5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5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5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5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5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5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5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5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5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5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5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5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5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ref="P3396:P3459" si="270">IFERROR(ROUND(E3396/L3396,2),0)</f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70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70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70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70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70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70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70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70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70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70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70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70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70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70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70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70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70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70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70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70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70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70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70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70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70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ref="P3460:P3523" si="275">IFERROR(ROUND(E3460/L3460,2),0)</f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5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5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5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5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5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5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5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5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5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5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5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5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5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5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5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5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5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5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5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5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5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5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5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5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5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ref="P3524:P3587" si="280">IFERROR(ROUND(E3524/L3524,2),0)</f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80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80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80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80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80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80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80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80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80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80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80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80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80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80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80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80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80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80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80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80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80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80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80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80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80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ref="P3588:P3651" si="285">IFERROR(ROUND(E3588/L3588,2),0)</f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5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5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5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5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5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5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5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5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5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5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5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5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5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5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5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5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5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5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5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5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5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5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5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5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5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ref="P3652:P3715" si="290">IFERROR(ROUND(E3652/L3652,2),0)</f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90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90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90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90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90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90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90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90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90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90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90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90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90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90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90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90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90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90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90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90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90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90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90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90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90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ref="P3716:P3779" si="295">IFERROR(ROUND(E3716/L3716,2),0)</f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5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5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5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5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5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5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5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5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5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5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5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5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5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5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5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5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5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5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5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5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5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5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5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5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5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ref="P3780:P3843" si="300">IFERROR(ROUND(E3780/L3780,2),0)</f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300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300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300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300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300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300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300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300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300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300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300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300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300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300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300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300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300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300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300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300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300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300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300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300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300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ref="P3844:P3907" si="305">IFERROR(ROUND(E3844/L3844,2),0)</f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5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5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5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5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5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5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5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5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5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5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5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5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5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5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5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5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5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5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5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5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5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5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5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5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5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ref="P3908:P3971" si="310">IFERROR(ROUND(E3908/L3908,2),0)</f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10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10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10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10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10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10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10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10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10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10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10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10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10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10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10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10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10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10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10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10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10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10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10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10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10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ref="P3972:P4035" si="315">IFERROR(ROUND(E3972/L3972,2),0)</f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5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5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5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5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5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5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5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5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5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5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5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5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5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5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5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5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5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5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5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5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5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5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5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5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5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ref="P4036:P4099" si="320">IFERROR(ROUND(E4036/L4036,2),0)</f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20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20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20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20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20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20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20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20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20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20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20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20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20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20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20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20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20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20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20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20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20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20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20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20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20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ref="P4100:P4115" si="325">IFERROR(ROUND(E4100/L4100,2),0)</f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5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5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5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5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5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5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5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5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5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5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5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5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5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5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5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2016</v>
      </c>
    </row>
  </sheetData>
  <autoFilter ref="A1:U4115" xr:uid="{00000000-0001-0000-0000-000000000000}"/>
  <conditionalFormatting sqref="F1:F1048576">
    <cfRule type="cellIs" dxfId="14" priority="5" operator="equal">
      <formula>"failed"</formula>
    </cfRule>
    <cfRule type="cellIs" dxfId="13" priority="6" operator="equal">
      <formula>"failed"</formula>
    </cfRule>
    <cfRule type="cellIs" dxfId="12" priority="7" operator="equal">
      <formula>"failed"</formula>
    </cfRule>
    <cfRule type="cellIs" dxfId="11" priority="10" operator="equal">
      <formula>"canceled"</formula>
    </cfRule>
    <cfRule type="cellIs" dxfId="10" priority="11" operator="equal">
      <formula>"successful"</formula>
    </cfRule>
    <cfRule type="cellIs" dxfId="9" priority="12" operator="equal">
      <formula>"live"</formula>
    </cfRule>
    <cfRule type="cellIs" dxfId="8" priority="13" operator="equal">
      <formula>"live"</formula>
    </cfRule>
  </conditionalFormatting>
  <conditionalFormatting sqref="G8">
    <cfRule type="cellIs" dxfId="7" priority="8" operator="equal">
      <formula>"failed"</formula>
    </cfRule>
    <cfRule type="cellIs" dxfId="6" priority="9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5F77F-D676-4F38-B032-77F9196CDB9F}">
  <dimension ref="A1:C14"/>
  <sheetViews>
    <sheetView workbookViewId="0">
      <selection activeCell="C9" sqref="C9"/>
    </sheetView>
  </sheetViews>
  <sheetFormatPr defaultRowHeight="15" x14ac:dyDescent="0.25"/>
  <cols>
    <col min="1" max="1" width="29.42578125" customWidth="1"/>
    <col min="2" max="2" width="12.7109375" customWidth="1"/>
    <col min="3" max="3" width="17.42578125" customWidth="1"/>
  </cols>
  <sheetData>
    <row r="1" spans="1:3" x14ac:dyDescent="0.25">
      <c r="B1" s="18" t="s">
        <v>8385</v>
      </c>
      <c r="C1" s="18" t="s">
        <v>8386</v>
      </c>
    </row>
    <row r="2" spans="1:3" x14ac:dyDescent="0.25">
      <c r="A2" s="18" t="s">
        <v>8387</v>
      </c>
      <c r="B2" s="19" t="e">
        <f>AVERAGE(#REF!)</f>
        <v>#REF!</v>
      </c>
      <c r="C2" s="20" t="e">
        <f>AVERAGE(#REF!)</f>
        <v>#REF!</v>
      </c>
    </row>
    <row r="3" spans="1:3" x14ac:dyDescent="0.25">
      <c r="A3" s="18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5">
      <c r="A4" s="18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s="18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s="18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s="18" t="s">
        <v>8394</v>
      </c>
      <c r="B7" s="19" t="e">
        <f>B5-B6</f>
        <v>#REF!</v>
      </c>
      <c r="C7" s="19" t="e">
        <f>C5-C6</f>
        <v>#REF!</v>
      </c>
    </row>
    <row r="8" spans="1:3" x14ac:dyDescent="0.25">
      <c r="B8" s="19"/>
      <c r="C8" s="19"/>
    </row>
    <row r="9" spans="1:3" x14ac:dyDescent="0.25">
      <c r="A9" s="18" t="s">
        <v>8389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s="18" t="s">
        <v>8390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s="18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s="18" t="s">
        <v>8396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s="18" t="s">
        <v>8397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s="18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9404-A76A-4F9E-94E6-391CA6557CCB}">
  <dimension ref="A3:D16"/>
  <sheetViews>
    <sheetView workbookViewId="0">
      <selection activeCell="H27" sqref="H27"/>
    </sheetView>
  </sheetViews>
  <sheetFormatPr defaultRowHeight="15" x14ac:dyDescent="0.25"/>
  <cols>
    <col min="1" max="1" width="14" bestFit="1" customWidth="1"/>
    <col min="2" max="2" width="27.7109375" style="21" bestFit="1" customWidth="1"/>
    <col min="3" max="3" width="23.85546875" style="21" bestFit="1" customWidth="1"/>
    <col min="4" max="4" width="26.7109375" style="21" bestFit="1" customWidth="1"/>
  </cols>
  <sheetData>
    <row r="3" spans="1:4" x14ac:dyDescent="0.25">
      <c r="A3" s="13" t="s">
        <v>8360</v>
      </c>
      <c r="B3" s="21" t="s">
        <v>8418</v>
      </c>
      <c r="C3" s="21" t="s">
        <v>8419</v>
      </c>
      <c r="D3" s="21" t="s">
        <v>8420</v>
      </c>
    </row>
    <row r="4" spans="1:4" x14ac:dyDescent="0.25">
      <c r="A4" s="14" t="s">
        <v>8406</v>
      </c>
      <c r="B4" s="21">
        <v>0.75806451612903225</v>
      </c>
      <c r="C4" s="21">
        <v>0.24193548387096775</v>
      </c>
      <c r="D4" s="21">
        <v>0</v>
      </c>
    </row>
    <row r="5" spans="1:4" x14ac:dyDescent="0.25">
      <c r="A5" s="14" t="s">
        <v>8407</v>
      </c>
      <c r="B5" s="21">
        <v>0.72659176029962547</v>
      </c>
      <c r="C5" s="21">
        <v>0.27340823970037453</v>
      </c>
      <c r="D5" s="21">
        <v>0</v>
      </c>
    </row>
    <row r="6" spans="1:4" x14ac:dyDescent="0.25">
      <c r="A6" s="14" t="s">
        <v>8408</v>
      </c>
      <c r="B6" s="21">
        <v>0.55029585798816572</v>
      </c>
      <c r="C6" s="21">
        <v>0.44970414201183434</v>
      </c>
      <c r="D6" s="21">
        <v>0</v>
      </c>
    </row>
    <row r="7" spans="1:4" x14ac:dyDescent="0.25">
      <c r="A7" s="14" t="s">
        <v>8409</v>
      </c>
      <c r="B7" s="21">
        <v>0.54166666666666663</v>
      </c>
      <c r="C7" s="21">
        <v>0.45833333333333331</v>
      </c>
      <c r="D7" s="21">
        <v>0</v>
      </c>
    </row>
    <row r="8" spans="1:4" x14ac:dyDescent="0.25">
      <c r="A8" s="14" t="s">
        <v>8410</v>
      </c>
      <c r="B8" s="21">
        <v>0.5</v>
      </c>
      <c r="C8" s="21">
        <v>0.5</v>
      </c>
      <c r="D8" s="21">
        <v>0</v>
      </c>
    </row>
    <row r="9" spans="1:4" x14ac:dyDescent="0.25">
      <c r="A9" s="14" t="s">
        <v>8411</v>
      </c>
      <c r="B9" s="21">
        <v>0.45</v>
      </c>
      <c r="C9" s="21">
        <v>0.55000000000000004</v>
      </c>
      <c r="D9" s="21">
        <v>0</v>
      </c>
    </row>
    <row r="10" spans="1:4" x14ac:dyDescent="0.25">
      <c r="A10" s="14" t="s">
        <v>8412</v>
      </c>
      <c r="B10" s="21">
        <v>0.2</v>
      </c>
      <c r="C10" s="21">
        <v>0.8</v>
      </c>
      <c r="D10" s="21">
        <v>0</v>
      </c>
    </row>
    <row r="11" spans="1:4" x14ac:dyDescent="0.25">
      <c r="A11" s="14" t="s">
        <v>8413</v>
      </c>
      <c r="B11" s="21">
        <v>0.27272727272727271</v>
      </c>
      <c r="C11" s="21">
        <v>0.72727272727272729</v>
      </c>
      <c r="D11" s="21">
        <v>0</v>
      </c>
    </row>
    <row r="12" spans="1:4" x14ac:dyDescent="0.25">
      <c r="A12" s="14" t="s">
        <v>8414</v>
      </c>
      <c r="B12" s="21">
        <v>0.66666666666666663</v>
      </c>
      <c r="C12" s="21">
        <v>0.33333333333333331</v>
      </c>
      <c r="D12" s="21">
        <v>0</v>
      </c>
    </row>
    <row r="13" spans="1:4" x14ac:dyDescent="0.25">
      <c r="A13" s="14" t="s">
        <v>8415</v>
      </c>
      <c r="B13" s="21">
        <v>0.66666666666666663</v>
      </c>
      <c r="C13" s="21">
        <v>0.33333333333333331</v>
      </c>
      <c r="D13" s="21">
        <v>0</v>
      </c>
    </row>
    <row r="14" spans="1:4" x14ac:dyDescent="0.25">
      <c r="A14" s="14" t="s">
        <v>8416</v>
      </c>
      <c r="B14" s="21">
        <v>0</v>
      </c>
      <c r="C14" s="21">
        <v>1</v>
      </c>
      <c r="D14" s="21">
        <v>0</v>
      </c>
    </row>
    <row r="15" spans="1:4" x14ac:dyDescent="0.25">
      <c r="A15" s="14" t="s">
        <v>8417</v>
      </c>
      <c r="B15" s="21">
        <v>0.16666666666666666</v>
      </c>
      <c r="C15" s="21">
        <v>0.83333333333333337</v>
      </c>
      <c r="D15" s="21">
        <v>0</v>
      </c>
    </row>
    <row r="16" spans="1:4" x14ac:dyDescent="0.25">
      <c r="A16" s="14" t="s">
        <v>8359</v>
      </c>
      <c r="B16" s="21">
        <v>5.4993460738107638</v>
      </c>
      <c r="C16" s="21">
        <v>6.5006539261892362</v>
      </c>
      <c r="D16" s="21">
        <v>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4D7E-22A5-4CAB-9F84-BE0EF42E501B}">
  <dimension ref="B1:I13"/>
  <sheetViews>
    <sheetView workbookViewId="0">
      <selection activeCell="C4" sqref="C4"/>
    </sheetView>
  </sheetViews>
  <sheetFormatPr defaultRowHeight="15" x14ac:dyDescent="0.25"/>
  <cols>
    <col min="2" max="2" width="21" customWidth="1"/>
    <col min="3" max="3" width="18.85546875" customWidth="1"/>
    <col min="4" max="4" width="14.7109375" customWidth="1"/>
    <col min="5" max="5" width="17.140625" customWidth="1"/>
    <col min="6" max="6" width="13.28515625" customWidth="1"/>
    <col min="7" max="7" width="20.85546875" customWidth="1"/>
    <col min="8" max="8" width="17" customWidth="1"/>
    <col min="9" max="9" width="19.85546875" customWidth="1"/>
  </cols>
  <sheetData>
    <row r="1" spans="2:9" x14ac:dyDescent="0.25">
      <c r="B1" s="18" t="s">
        <v>8382</v>
      </c>
      <c r="C1" s="18" t="s">
        <v>8399</v>
      </c>
      <c r="D1" s="18" t="s">
        <v>8400</v>
      </c>
      <c r="E1" s="18" t="s">
        <v>8401</v>
      </c>
      <c r="F1" s="18" t="s">
        <v>8402</v>
      </c>
      <c r="G1" s="18" t="s">
        <v>8403</v>
      </c>
      <c r="H1" s="18" t="s">
        <v>8404</v>
      </c>
      <c r="I1" s="18" t="s">
        <v>8405</v>
      </c>
    </row>
    <row r="2" spans="2:9" x14ac:dyDescent="0.25">
      <c r="B2" t="s">
        <v>8406</v>
      </c>
      <c r="C2">
        <f>COUNTIFS(Kickstarter!$D:$D,"&lt;1000",Kickstarter!$F:$F,"successful",Kickstarter!$R:$R,"plays")</f>
        <v>141</v>
      </c>
      <c r="D2">
        <f>COUNTIFS(Kickstarter!$D:$D,"&lt;1000",Kickstarter!$F:$F,"failed",Kickstarter!$R:$R,"plays")</f>
        <v>45</v>
      </c>
      <c r="E2">
        <f>COUNTIFS(Kickstarter!$D:$D,"&lt;1000",Kickstarter!$F:$F, "canceled",Kickstarter!$R:$R, "plays")</f>
        <v>0</v>
      </c>
      <c r="F2">
        <f>SUM(C2:E2)</f>
        <v>186</v>
      </c>
      <c r="G2" s="22">
        <f>SUM(C2/F2)</f>
        <v>0.75806451612903225</v>
      </c>
      <c r="H2" s="22">
        <f>SUM(D2/F2)</f>
        <v>0.24193548387096775</v>
      </c>
      <c r="I2" s="21">
        <f>SUM(E2/F2)</f>
        <v>0</v>
      </c>
    </row>
    <row r="3" spans="2:9" x14ac:dyDescent="0.25">
      <c r="B3" t="s">
        <v>8407</v>
      </c>
      <c r="C3">
        <f>COUNTIFS(Kickstarter!D:D, "&gt;=1000",Kickstarter!D:D, "&lt;=4999", Kickstarter!F:F, "successful", Kickstarter!R:R, "plays")</f>
        <v>388</v>
      </c>
      <c r="D3">
        <f>COUNTIFS(Kickstarter!D:D, "&gt;=1000",Kickstarter!D:D, "&lt;=4999", Kickstarter!F:F, "failed", Kickstarter!R:R, "plays")</f>
        <v>146</v>
      </c>
      <c r="E3">
        <f>COUNTIFS(Kickstarter!$D:$D,"&gt;=1000",Kickstarter!$F:$F,"canceled",Kickstarter!$E:$E,"&lt;=4999",Kickstarter!$R:$R,"plays")</f>
        <v>0</v>
      </c>
      <c r="F3">
        <f t="shared" ref="F3:F13" si="0">SUM(C3:E3)</f>
        <v>534</v>
      </c>
      <c r="G3" s="22">
        <f t="shared" ref="G3:G11" si="1">SUM(C3/F3)</f>
        <v>0.72659176029962547</v>
      </c>
      <c r="H3" s="22">
        <f t="shared" ref="H3:H13" si="2">SUM(D3/F3)</f>
        <v>0.27340823970037453</v>
      </c>
      <c r="I3" s="21">
        <f t="shared" ref="I3:I13" si="3">SUM(E3/F3)</f>
        <v>0</v>
      </c>
    </row>
    <row r="4" spans="2:9" x14ac:dyDescent="0.25">
      <c r="B4" t="s">
        <v>8408</v>
      </c>
      <c r="C4">
        <f>COUNTIFS(Kickstarter!D:D, "&gt;=5000",Kickstarter!D:D, "&lt;=9999", Kickstarter!F:F, "successful", Kickstarter!R:R, "plays")</f>
        <v>93</v>
      </c>
      <c r="D4">
        <f>COUNTIFS(Kickstarter!D:D, "&gt;=5000",Kickstarter!D:D, "&lt;=9999", Kickstarter!F:F, "failed", Kickstarter!R:R, "plays")</f>
        <v>76</v>
      </c>
      <c r="E4">
        <f>COUNTIFS(Kickstarter!$D:$D,"&gt;=5000",Kickstarter!$F:$F,"canceled",Kickstarter!$E:$E,"&lt;=9999",Kickstarter!$R:$R,"plays")</f>
        <v>0</v>
      </c>
      <c r="F4">
        <f t="shared" si="0"/>
        <v>169</v>
      </c>
      <c r="G4" s="22">
        <f t="shared" si="1"/>
        <v>0.55029585798816572</v>
      </c>
      <c r="H4" s="22">
        <f t="shared" si="2"/>
        <v>0.44970414201183434</v>
      </c>
      <c r="I4" s="21">
        <f t="shared" si="3"/>
        <v>0</v>
      </c>
    </row>
    <row r="5" spans="2:9" x14ac:dyDescent="0.25">
      <c r="B5" t="s">
        <v>8409</v>
      </c>
      <c r="C5">
        <f>COUNTIFS(Kickstarter!D:D, "&gt;=10000",Kickstarter!D:D, "&lt;=14999", Kickstarter!F:F, "successful", Kickstarter!R:R, "plays")</f>
        <v>39</v>
      </c>
      <c r="D5">
        <f>COUNTIFS(Kickstarter!D:D, "&gt;=10000",Kickstarter!D:D, "&lt;=14999", Kickstarter!F:F, "failed", Kickstarter!R:R, "plays")</f>
        <v>33</v>
      </c>
      <c r="E5">
        <f>COUNTIFS(Kickstarter!$D:$D,"&gt;=10000",Kickstarter!$F:$F,"canceled",Kickstarter!$E:$E,"&lt;=14999",Kickstarter!$R:$R,"plays")</f>
        <v>0</v>
      </c>
      <c r="F5">
        <f t="shared" si="0"/>
        <v>72</v>
      </c>
      <c r="G5" s="22">
        <f t="shared" si="1"/>
        <v>0.54166666666666663</v>
      </c>
      <c r="H5" s="22">
        <f t="shared" si="2"/>
        <v>0.45833333333333331</v>
      </c>
      <c r="I5" s="21">
        <f t="shared" si="3"/>
        <v>0</v>
      </c>
    </row>
    <row r="6" spans="2:9" x14ac:dyDescent="0.25">
      <c r="B6" t="s">
        <v>8410</v>
      </c>
      <c r="C6">
        <f>COUNTIFS(Kickstarter!D:D, "&gt;=15000",Kickstarter!D:D, "&lt;=19999", Kickstarter!F:F, "successful", Kickstarter!R:R, "plays")</f>
        <v>12</v>
      </c>
      <c r="D6">
        <f>COUNTIFS(Kickstarter!D:D, "&gt;=15000",Kickstarter!D:D, "&lt;=19999", Kickstarter!F:F, "failed", Kickstarter!R:R, "plays")</f>
        <v>12</v>
      </c>
      <c r="E6">
        <f>COUNTIFS(Kickstarter!$D:$D,"&gt;=15000",Kickstarter!$F:$F,"canceled",Kickstarter!$E:$E,"&lt;=19999",Kickstarter!$R:$R,"plays")</f>
        <v>0</v>
      </c>
      <c r="F6">
        <f t="shared" si="0"/>
        <v>24</v>
      </c>
      <c r="G6" s="22">
        <f t="shared" si="1"/>
        <v>0.5</v>
      </c>
      <c r="H6" s="22">
        <f t="shared" si="2"/>
        <v>0.5</v>
      </c>
      <c r="I6" s="21">
        <f t="shared" si="3"/>
        <v>0</v>
      </c>
    </row>
    <row r="7" spans="2:9" x14ac:dyDescent="0.25">
      <c r="B7" t="s">
        <v>8411</v>
      </c>
      <c r="C7">
        <f>COUNTIFS(Kickstarter!D:D, "&gt;=20000",Kickstarter!D:D, "&lt;=24999", Kickstarter!F:F, "successful", Kickstarter!R:R, "plays")</f>
        <v>9</v>
      </c>
      <c r="D7">
        <f>COUNTIFS(Kickstarter!D:D, "&gt;=20000",Kickstarter!D:D, "&lt;=24999", Kickstarter!F:F, "failed", Kickstarter!R:R, "plays")</f>
        <v>11</v>
      </c>
      <c r="E7">
        <f>COUNTIFS(Kickstarter!$D:$D,"&gt;=20000",Kickstarter!$F:$F,"canceled",Kickstarter!$E:$E,"&lt;=24999",Kickstarter!$R:$R,"plays")</f>
        <v>0</v>
      </c>
      <c r="F7">
        <f t="shared" si="0"/>
        <v>20</v>
      </c>
      <c r="G7" s="22">
        <f t="shared" si="1"/>
        <v>0.45</v>
      </c>
      <c r="H7" s="22">
        <f t="shared" si="2"/>
        <v>0.55000000000000004</v>
      </c>
      <c r="I7" s="21">
        <f t="shared" si="3"/>
        <v>0</v>
      </c>
    </row>
    <row r="8" spans="2:9" x14ac:dyDescent="0.25">
      <c r="B8" t="s">
        <v>8412</v>
      </c>
      <c r="C8">
        <f>COUNTIFS(Kickstarter!D:D, "&gt;=25000",Kickstarter!D:D, "&lt;=29999", Kickstarter!F:F, "successful", Kickstarter!R:R, "plays")</f>
        <v>1</v>
      </c>
      <c r="D8">
        <f>COUNTIFS(Kickstarter!D:D, "&gt;=25000",Kickstarter!D:D, "&lt;=29999", Kickstarter!F:F, "failed", Kickstarter!R:R, "plays")</f>
        <v>4</v>
      </c>
      <c r="E8">
        <f>COUNTIFS(Kickstarter!$D:$D,"&gt;=25000",Kickstarter!$F:$F,"canceled",Kickstarter!$E:$E,"&lt;=29999",Kickstarter!$R:$R,"plays")</f>
        <v>0</v>
      </c>
      <c r="F8">
        <f t="shared" si="0"/>
        <v>5</v>
      </c>
      <c r="G8" s="22">
        <f t="shared" si="1"/>
        <v>0.2</v>
      </c>
      <c r="H8" s="22">
        <f t="shared" si="2"/>
        <v>0.8</v>
      </c>
      <c r="I8" s="21">
        <f t="shared" si="3"/>
        <v>0</v>
      </c>
    </row>
    <row r="9" spans="2:9" x14ac:dyDescent="0.25">
      <c r="B9" t="s">
        <v>8413</v>
      </c>
      <c r="C9">
        <f>COUNTIFS(Kickstarter!D:D, "&gt;=30000",Kickstarter!D:D, "&lt;=34999", Kickstarter!F:F, "successful", Kickstarter!R:R, "plays")</f>
        <v>3</v>
      </c>
      <c r="D9">
        <f>COUNTIFS(Kickstarter!D:D, "&gt;=30000",Kickstarter!D:D, "&lt;=34999", Kickstarter!F:F, "failed", Kickstarter!R:R, "plays")</f>
        <v>8</v>
      </c>
      <c r="E9">
        <f>COUNTIFS(Kickstarter!$D:$D,"&gt;=30000",Kickstarter!$F:$F,"canceled",Kickstarter!$E:$E,"&lt;=34999",Kickstarter!$R:$R,"plays")</f>
        <v>0</v>
      </c>
      <c r="F9">
        <f t="shared" si="0"/>
        <v>11</v>
      </c>
      <c r="G9" s="22">
        <f t="shared" si="1"/>
        <v>0.27272727272727271</v>
      </c>
      <c r="H9" s="22">
        <f t="shared" si="2"/>
        <v>0.72727272727272729</v>
      </c>
      <c r="I9" s="21">
        <f t="shared" si="3"/>
        <v>0</v>
      </c>
    </row>
    <row r="10" spans="2:9" x14ac:dyDescent="0.25">
      <c r="B10" t="s">
        <v>8414</v>
      </c>
      <c r="C10">
        <f>COUNTIFS(Kickstarter!D:D, "&gt;=35000",Kickstarter!D:D, "&lt;=39999", Kickstarter!F:F, "successful", Kickstarter!R:R, "plays")</f>
        <v>4</v>
      </c>
      <c r="D10">
        <f>COUNTIFS(Kickstarter!D:D, "&gt;=35000",Kickstarter!D:D, "&lt;=39999", Kickstarter!F:F, "failed", Kickstarter!R:R, "plays")</f>
        <v>2</v>
      </c>
      <c r="E10">
        <f>COUNTIFS(Kickstarter!$D:$D,"&gt;=35000",Kickstarter!$F:$F,"canceled",Kickstarter!$E:$E,"&lt;=39999",Kickstarter!$R:$R,"plays")</f>
        <v>0</v>
      </c>
      <c r="F10">
        <f t="shared" si="0"/>
        <v>6</v>
      </c>
      <c r="G10" s="22">
        <f t="shared" si="1"/>
        <v>0.66666666666666663</v>
      </c>
      <c r="H10" s="22">
        <f t="shared" si="2"/>
        <v>0.33333333333333331</v>
      </c>
      <c r="I10" s="21">
        <f t="shared" si="3"/>
        <v>0</v>
      </c>
    </row>
    <row r="11" spans="2:9" x14ac:dyDescent="0.25">
      <c r="B11" t="s">
        <v>8415</v>
      </c>
      <c r="C11">
        <f>COUNTIFS(Kickstarter!D:D, "&gt;=40000",Kickstarter!D:D, "&lt;=44999", Kickstarter!F:F, "successful", Kickstarter!R:R, "plays")</f>
        <v>2</v>
      </c>
      <c r="D11">
        <f>COUNTIFS(Kickstarter!D:D, "&gt;=40000",Kickstarter!D:D, "&lt;=44999", Kickstarter!F:F, "failed", Kickstarter!R:R, "plays")</f>
        <v>1</v>
      </c>
      <c r="E11">
        <f>COUNTIFS(Kickstarter!$D:$D,"&gt;=40000",Kickstarter!$F:$F,"canceled",Kickstarter!$E:$E,"&lt;=44999",Kickstarter!$R:$R,"plays")</f>
        <v>0</v>
      </c>
      <c r="F11">
        <f t="shared" si="0"/>
        <v>3</v>
      </c>
      <c r="G11" s="22">
        <f t="shared" si="1"/>
        <v>0.66666666666666663</v>
      </c>
      <c r="H11" s="22">
        <f t="shared" si="2"/>
        <v>0.33333333333333331</v>
      </c>
      <c r="I11" s="21">
        <f t="shared" si="3"/>
        <v>0</v>
      </c>
    </row>
    <row r="12" spans="2:9" x14ac:dyDescent="0.25">
      <c r="B12" t="s">
        <v>8416</v>
      </c>
      <c r="C12">
        <f>COUNTIFS(Kickstarter!D:D, "&gt;=45000",Kickstarter!D:D, "&lt;=49999", Kickstarter!F:F, "successful", Kickstarter!R:R, "plays")</f>
        <v>0</v>
      </c>
      <c r="D12">
        <f>COUNTIFS(Kickstarter!D:D, "&gt;=45000",Kickstarter!D:D, "&lt;=49999", Kickstarter!F:F, "failed", Kickstarter!R:R, "plays")</f>
        <v>1</v>
      </c>
      <c r="E12">
        <f>COUNTIFS(Kickstarter!$D:$D,"&gt;=45000",Kickstarter!$F:$F,"canceled",Kickstarter!$E:$E,"&lt;=49999",Kickstarter!$R:$R,"plays")</f>
        <v>0</v>
      </c>
      <c r="F12">
        <f t="shared" si="0"/>
        <v>1</v>
      </c>
      <c r="G12" s="22">
        <f>IFERROR(ROUND(C12/F12,2),"N/A")</f>
        <v>0</v>
      </c>
      <c r="H12" s="22">
        <f t="shared" si="2"/>
        <v>1</v>
      </c>
      <c r="I12" s="23">
        <f>IFERROR(ROUND(E12/H12,0),"N/A")</f>
        <v>0</v>
      </c>
    </row>
    <row r="13" spans="2:9" x14ac:dyDescent="0.25">
      <c r="B13" t="s">
        <v>8417</v>
      </c>
      <c r="C13">
        <f>COUNTIFS(Kickstarter!$D:$D,"&gt;50000",Kickstarter!$F:$F,"successful",Kickstarter!$R:$R,"plays")</f>
        <v>2</v>
      </c>
      <c r="D13">
        <f>COUNTIFS(Kickstarter!$D:$D,"&gt;50000",Kickstarter!$F:$F,"failed",Kickstarter!$R:$R,"plays")</f>
        <v>10</v>
      </c>
      <c r="E13">
        <f>COUNTIFS(Kickstarter!$D:$D,"&gt;50000",Kickstarter!$F:$F,"canceled",Kickstarter!$R:$R,"plays")</f>
        <v>0</v>
      </c>
      <c r="F13">
        <f t="shared" si="0"/>
        <v>12</v>
      </c>
      <c r="G13" s="22">
        <f>SUM(C13/F13)</f>
        <v>0.16666666666666666</v>
      </c>
      <c r="H13" s="22">
        <f t="shared" si="2"/>
        <v>0.83333333333333337</v>
      </c>
      <c r="I13" s="21">
        <f t="shared" si="3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69B9-8465-419D-A3CB-15B0A12C9894}">
  <dimension ref="A1:F6"/>
  <sheetViews>
    <sheetView workbookViewId="0">
      <selection activeCell="G18" sqref="G18:H18"/>
    </sheetView>
  </sheetViews>
  <sheetFormatPr defaultRowHeight="15" x14ac:dyDescent="0.25"/>
  <cols>
    <col min="1" max="1" width="34.85546875" customWidth="1"/>
    <col min="2" max="2" width="113.42578125" customWidth="1"/>
  </cols>
  <sheetData>
    <row r="1" spans="1:6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Descriptive Statistics</vt:lpstr>
      <vt:lpstr>Outcome vs. Goals</vt:lpstr>
      <vt:lpstr>Outcome Based on Goals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Knauff</cp:lastModifiedBy>
  <dcterms:created xsi:type="dcterms:W3CDTF">2017-04-20T15:17:24Z</dcterms:created>
  <dcterms:modified xsi:type="dcterms:W3CDTF">2022-03-22T23:40:28Z</dcterms:modified>
</cp:coreProperties>
</file>